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ndwana.varun\AppData\Local\Microsoft\Windows\Temporary Internet Files\Content.Outlook\FYAX1DA0\"/>
    </mc:Choice>
  </mc:AlternateContent>
  <bookViews>
    <workbookView xWindow="0" yWindow="735" windowWidth="15480" windowHeight="10920" tabRatio="740"/>
  </bookViews>
  <sheets>
    <sheet name="GROWTH" sheetId="2" r:id="rId1"/>
    <sheet name="100 EQUAL WEIGHT" sheetId="3" r:id="rId2"/>
    <sheet name="FOCUSED MULTICAP" sheetId="4" r:id="rId3"/>
    <sheet name="DIVIDEND YIELD" sheetId="5" r:id="rId4"/>
    <sheet name="EMERGING BLUECHIP" sheetId="6" r:id="rId5"/>
    <sheet name="PERSONAL TAX SAVER" sheetId="7" r:id="rId6"/>
    <sheet name="TAX SAVINGS" sheetId="9" r:id="rId7"/>
    <sheet name="GLOBAL OPP" sheetId="10" r:id="rId8"/>
    <sheet name="LOW DURATION" sheetId="11" r:id="rId9"/>
    <sheet name="CREDIT RISK" sheetId="12" r:id="rId10"/>
    <sheet name="DYNAMIC BOND" sheetId="14" r:id="rId11"/>
    <sheet name="SHORT TERM" sheetId="16" r:id="rId12"/>
    <sheet name="CORPORATE BOND" sheetId="18" r:id="rId13"/>
    <sheet name="Hybrid Equity" sheetId="19" r:id="rId14"/>
    <sheet name="CASH MANAGEMENT" sheetId="20" r:id="rId15"/>
    <sheet name="ULTRA SHORT TERM" sheetId="21" r:id="rId16"/>
    <sheet name="Retirement-PROG" sheetId="35" r:id="rId17"/>
    <sheet name="Balanced Advantage" sheetId="8" r:id="rId18"/>
    <sheet name="Equity Savings" sheetId="17" r:id="rId19"/>
    <sheet name="Retirement-MP" sheetId="31" r:id="rId20"/>
    <sheet name="Retirement-CP" sheetId="34" r:id="rId21"/>
    <sheet name="ARBITRAGE FUND" sheetId="36" r:id="rId22"/>
  </sheets>
  <definedNames>
    <definedName name="_xlnm._FilterDatabase" localSheetId="21" hidden="1">'ARBITRAGE FUND'!$B$9:$H$59</definedName>
    <definedName name="_xlnm._FilterDatabase" localSheetId="17" hidden="1">'Balanced Advantage'!$B$36:$H$65</definedName>
    <definedName name="_xlnm._FilterDatabase" localSheetId="18" hidden="1">'Equity Savings'!$B$34:$I$87</definedName>
    <definedName name="_xlnm._FilterDatabase" localSheetId="0" hidden="1">GROWTH!$D$4:$D$148</definedName>
  </definedNames>
  <calcPr calcId="152511"/>
</workbook>
</file>

<file path=xl/calcChain.xml><?xml version="1.0" encoding="utf-8"?>
<calcChain xmlns="http://schemas.openxmlformats.org/spreadsheetml/2006/main">
  <c r="A39" i="8" l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38" i="8"/>
  <c r="A37" i="17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36" i="17"/>
  <c r="A81" i="31"/>
  <c r="A82" i="31" s="1"/>
  <c r="A83" i="31" s="1"/>
  <c r="A84" i="31" s="1"/>
  <c r="A85" i="31" s="1"/>
  <c r="A86" i="31" s="1"/>
  <c r="A87" i="31" s="1"/>
  <c r="A80" i="31"/>
  <c r="A79" i="31"/>
  <c r="A77" i="34"/>
  <c r="A78" i="34" s="1"/>
  <c r="A79" i="34" s="1"/>
  <c r="A80" i="34" s="1"/>
  <c r="A81" i="34" s="1"/>
  <c r="A82" i="34" s="1"/>
  <c r="A83" i="34" s="1"/>
  <c r="A84" i="34" s="1"/>
  <c r="A85" i="34" s="1"/>
  <c r="A86" i="34" s="1"/>
  <c r="A87" i="34" s="1"/>
  <c r="A88" i="34" s="1"/>
  <c r="A76" i="34"/>
  <c r="A11" i="36"/>
  <c r="A12" i="36" s="1"/>
  <c r="A13" i="36" s="1"/>
  <c r="A14" i="36" s="1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26" i="36" s="1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38" i="36" s="1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50" i="36" s="1"/>
  <c r="A51" i="36" s="1"/>
  <c r="A52" i="36" s="1"/>
  <c r="A53" i="36" s="1"/>
  <c r="A54" i="36" s="1"/>
  <c r="A55" i="36" s="1"/>
  <c r="A56" i="36" s="1"/>
  <c r="A57" i="36" s="1"/>
  <c r="A58" i="36" s="1"/>
  <c r="A10" i="36"/>
  <c r="E59" i="36" l="1"/>
  <c r="F59" i="36"/>
  <c r="H58" i="36"/>
  <c r="H56" i="36"/>
  <c r="H54" i="36"/>
  <c r="H52" i="36"/>
  <c r="H50" i="36"/>
  <c r="H48" i="36"/>
  <c r="H46" i="36"/>
  <c r="H44" i="36"/>
  <c r="H42" i="36"/>
  <c r="H40" i="36"/>
  <c r="H38" i="36"/>
  <c r="H36" i="36"/>
  <c r="H34" i="36"/>
  <c r="H32" i="36"/>
  <c r="H30" i="36"/>
  <c r="H28" i="36"/>
  <c r="H26" i="36"/>
  <c r="H24" i="36"/>
  <c r="H22" i="36"/>
  <c r="H20" i="36"/>
  <c r="H18" i="36"/>
  <c r="H16" i="36"/>
  <c r="H14" i="36"/>
  <c r="H10" i="36"/>
  <c r="H12" i="36"/>
  <c r="E89" i="34"/>
  <c r="F89" i="34"/>
  <c r="E72" i="34"/>
  <c r="F72" i="34"/>
  <c r="G87" i="34"/>
  <c r="L16" i="34" s="1"/>
  <c r="G85" i="34"/>
  <c r="G83" i="34"/>
  <c r="G81" i="34"/>
  <c r="G79" i="34"/>
  <c r="G77" i="34"/>
  <c r="G75" i="34"/>
  <c r="E88" i="31"/>
  <c r="F88" i="31"/>
  <c r="E72" i="31"/>
  <c r="F72" i="31"/>
  <c r="G86" i="31"/>
  <c r="G84" i="31"/>
  <c r="G82" i="31"/>
  <c r="G80" i="31"/>
  <c r="G78" i="31"/>
  <c r="F87" i="17"/>
  <c r="H54" i="17"/>
  <c r="G53" i="17"/>
  <c r="L30" i="17" s="1"/>
  <c r="G57" i="17"/>
  <c r="G43" i="17"/>
  <c r="G71" i="17"/>
  <c r="G75" i="17"/>
  <c r="G83" i="17"/>
  <c r="G47" i="17"/>
  <c r="G77" i="17"/>
  <c r="G79" i="17"/>
  <c r="G69" i="17"/>
  <c r="G65" i="17"/>
  <c r="G49" i="17"/>
  <c r="G63" i="17"/>
  <c r="L34" i="17" s="1"/>
  <c r="G85" i="17"/>
  <c r="G61" i="17"/>
  <c r="G55" i="17"/>
  <c r="L31" i="17" s="1"/>
  <c r="G67" i="17"/>
  <c r="G73" i="17"/>
  <c r="L33" i="17" s="1"/>
  <c r="G81" i="17"/>
  <c r="G35" i="17"/>
  <c r="G37" i="17"/>
  <c r="G41" i="17"/>
  <c r="L17" i="17" s="1"/>
  <c r="G39" i="17"/>
  <c r="L16" i="17" s="1"/>
  <c r="G51" i="17"/>
  <c r="L29" i="17" s="1"/>
  <c r="G59" i="17"/>
  <c r="G45" i="17"/>
  <c r="F65" i="8"/>
  <c r="F34" i="8"/>
  <c r="G49" i="8"/>
  <c r="G45" i="8"/>
  <c r="G41" i="8"/>
  <c r="G39" i="8"/>
  <c r="G63" i="8"/>
  <c r="G61" i="8"/>
  <c r="G53" i="8"/>
  <c r="G59" i="8"/>
  <c r="G47" i="8"/>
  <c r="G57" i="8"/>
  <c r="G37" i="8"/>
  <c r="G51" i="8"/>
  <c r="L20" i="8" s="1"/>
  <c r="G55" i="8"/>
  <c r="G43" i="8"/>
  <c r="L19" i="8" s="1"/>
  <c r="H64" i="8"/>
  <c r="H62" i="8"/>
  <c r="H60" i="8"/>
  <c r="H58" i="8"/>
  <c r="H56" i="8"/>
  <c r="H54" i="8"/>
  <c r="H52" i="8"/>
  <c r="H50" i="8"/>
  <c r="H48" i="8"/>
  <c r="H46" i="8"/>
  <c r="H44" i="8"/>
  <c r="H42" i="8"/>
  <c r="H40" i="8"/>
  <c r="H38" i="8"/>
  <c r="H86" i="17"/>
  <c r="H84" i="17"/>
  <c r="H82" i="17"/>
  <c r="H80" i="17"/>
  <c r="H78" i="17"/>
  <c r="H76" i="17"/>
  <c r="H74" i="17"/>
  <c r="H72" i="17"/>
  <c r="H70" i="17"/>
  <c r="H68" i="17"/>
  <c r="H66" i="17"/>
  <c r="H64" i="17"/>
  <c r="H62" i="17"/>
  <c r="H60" i="17"/>
  <c r="H58" i="17"/>
  <c r="H56" i="17"/>
  <c r="H52" i="17"/>
  <c r="H50" i="17"/>
  <c r="H48" i="17"/>
  <c r="H46" i="17"/>
  <c r="H44" i="17"/>
  <c r="H42" i="17"/>
  <c r="H40" i="17"/>
  <c r="H38" i="17"/>
  <c r="H36" i="17"/>
  <c r="H87" i="31"/>
  <c r="H85" i="31"/>
  <c r="H83" i="31"/>
  <c r="H81" i="31"/>
  <c r="H79" i="31"/>
  <c r="H88" i="34"/>
  <c r="H86" i="34"/>
  <c r="H84" i="34"/>
  <c r="H82" i="34"/>
  <c r="H80" i="34"/>
  <c r="H78" i="34"/>
  <c r="H76" i="34"/>
  <c r="G88" i="31" l="1"/>
  <c r="H59" i="36"/>
  <c r="G89" i="34"/>
  <c r="H89" i="34"/>
  <c r="H88" i="31"/>
  <c r="G87" i="17"/>
  <c r="H87" i="17"/>
  <c r="G65" i="8"/>
  <c r="H65" i="8"/>
  <c r="K34" i="7" l="1"/>
  <c r="K33" i="7"/>
  <c r="K36" i="5"/>
  <c r="G94" i="17"/>
  <c r="G57" i="36"/>
  <c r="G55" i="36"/>
  <c r="L27" i="36" s="1"/>
  <c r="G53" i="36"/>
  <c r="L26" i="36" s="1"/>
  <c r="G51" i="36"/>
  <c r="L25" i="36" s="1"/>
  <c r="G49" i="36"/>
  <c r="G47" i="36"/>
  <c r="G45" i="36"/>
  <c r="G43" i="36"/>
  <c r="L24" i="36" s="1"/>
  <c r="G41" i="36"/>
  <c r="L23" i="36" s="1"/>
  <c r="G39" i="36"/>
  <c r="G37" i="36"/>
  <c r="G35" i="36"/>
  <c r="G33" i="36"/>
  <c r="L22" i="36" s="1"/>
  <c r="G31" i="36"/>
  <c r="G29" i="36"/>
  <c r="L19" i="36" s="1"/>
  <c r="G27" i="36"/>
  <c r="L16" i="36" s="1"/>
  <c r="G25" i="36"/>
  <c r="G23" i="36"/>
  <c r="L18" i="36" s="1"/>
  <c r="G21" i="36"/>
  <c r="L17" i="36" s="1"/>
  <c r="G19" i="36"/>
  <c r="G17" i="36"/>
  <c r="G15" i="36"/>
  <c r="G13" i="36"/>
  <c r="L13" i="36" s="1"/>
  <c r="G11" i="36"/>
  <c r="L9" i="36" s="1"/>
  <c r="G71" i="34"/>
  <c r="G70" i="34"/>
  <c r="G69" i="34"/>
  <c r="G68" i="34"/>
  <c r="L34" i="34" s="1"/>
  <c r="G67" i="34"/>
  <c r="G66" i="34"/>
  <c r="G65" i="34"/>
  <c r="G64" i="34"/>
  <c r="L33" i="34" s="1"/>
  <c r="G71" i="31"/>
  <c r="G70" i="31"/>
  <c r="G69" i="31"/>
  <c r="G68" i="31"/>
  <c r="L33" i="31" s="1"/>
  <c r="G67" i="31"/>
  <c r="G66" i="31"/>
  <c r="F44" i="20"/>
  <c r="G9" i="17"/>
  <c r="G10" i="17"/>
  <c r="G11" i="17"/>
  <c r="G12" i="17"/>
  <c r="G13" i="17"/>
  <c r="G14" i="17"/>
  <c r="G15" i="17"/>
  <c r="L28" i="17" s="1"/>
  <c r="G16" i="17"/>
  <c r="G17" i="17"/>
  <c r="G18" i="17"/>
  <c r="G19" i="17"/>
  <c r="G20" i="17"/>
  <c r="L32" i="17" s="1"/>
  <c r="G21" i="17"/>
  <c r="G22" i="17"/>
  <c r="G23" i="17"/>
  <c r="G24" i="17"/>
  <c r="G25" i="17"/>
  <c r="G26" i="17"/>
  <c r="L36" i="17" s="1"/>
  <c r="G27" i="17"/>
  <c r="G28" i="17"/>
  <c r="L25" i="17" s="1"/>
  <c r="G29" i="17"/>
  <c r="G30" i="17"/>
  <c r="G31" i="17"/>
  <c r="L14" i="17" s="1"/>
  <c r="F32" i="17"/>
  <c r="G91" i="17"/>
  <c r="F95" i="17"/>
  <c r="G98" i="17"/>
  <c r="F99" i="17"/>
  <c r="G103" i="17"/>
  <c r="L18" i="17" s="1"/>
  <c r="G104" i="17"/>
  <c r="L22" i="17" s="1"/>
  <c r="G105" i="17"/>
  <c r="L24" i="17" s="1"/>
  <c r="G106" i="17"/>
  <c r="L27" i="17" s="1"/>
  <c r="G107" i="17"/>
  <c r="G108" i="17"/>
  <c r="L35" i="17" s="1"/>
  <c r="G109" i="17"/>
  <c r="F110" i="17"/>
  <c r="G113" i="17"/>
  <c r="F114" i="17"/>
  <c r="G117" i="17"/>
  <c r="F11" i="16"/>
  <c r="F11" i="14"/>
  <c r="G33" i="8"/>
  <c r="G32" i="8"/>
  <c r="G31" i="8"/>
  <c r="L27" i="8" s="1"/>
  <c r="G30" i="8"/>
  <c r="G29" i="8"/>
  <c r="F90" i="2"/>
  <c r="L11" i="36" l="1"/>
  <c r="L14" i="36"/>
  <c r="L10" i="17"/>
  <c r="L13" i="17"/>
  <c r="L9" i="17"/>
  <c r="L20" i="17"/>
  <c r="L12" i="17"/>
  <c r="G114" i="17"/>
  <c r="L21" i="17"/>
  <c r="L23" i="17"/>
  <c r="G99" i="17"/>
  <c r="L37" i="17"/>
  <c r="F118" i="17"/>
  <c r="G118" i="17" s="1"/>
  <c r="L38" i="17" s="1"/>
  <c r="G92" i="17"/>
  <c r="L19" i="17" s="1"/>
  <c r="G93" i="17"/>
  <c r="L15" i="17" s="1"/>
  <c r="G110" i="17"/>
  <c r="G32" i="17"/>
  <c r="F119" i="17" l="1"/>
  <c r="G119" i="17"/>
  <c r="G95" i="17"/>
  <c r="G120" i="17" l="1"/>
  <c r="K40" i="2"/>
  <c r="F94" i="34"/>
  <c r="F98" i="34" s="1"/>
  <c r="G98" i="34" s="1"/>
  <c r="F76" i="35" l="1"/>
  <c r="F93" i="31"/>
  <c r="F41" i="21"/>
  <c r="F39" i="20"/>
  <c r="F81" i="5"/>
  <c r="F43" i="4"/>
  <c r="F37" i="14" l="1"/>
  <c r="F95" i="2" l="1"/>
  <c r="F115" i="3"/>
  <c r="F48" i="4"/>
  <c r="F90" i="5"/>
  <c r="F111" i="6"/>
  <c r="F79" i="7"/>
  <c r="F80" i="9"/>
  <c r="F15" i="10"/>
  <c r="F50" i="11"/>
  <c r="F43" i="12"/>
  <c r="F41" i="16"/>
  <c r="F33" i="18"/>
  <c r="F127" i="19"/>
  <c r="F46" i="21"/>
  <c r="F99" i="34"/>
  <c r="F81" i="35"/>
  <c r="K39" i="2" l="1"/>
  <c r="F32" i="21"/>
  <c r="F38" i="12"/>
  <c r="F27" i="11"/>
  <c r="F10" i="10"/>
  <c r="F80" i="8"/>
  <c r="F100" i="6"/>
  <c r="F110" i="3" l="1"/>
  <c r="F28" i="21" l="1"/>
  <c r="F118" i="19"/>
  <c r="F69" i="19"/>
  <c r="F12" i="11"/>
  <c r="F90" i="8" l="1"/>
  <c r="F72" i="8"/>
  <c r="F68" i="36" l="1"/>
  <c r="F122" i="19" l="1"/>
  <c r="K38" i="2" l="1"/>
  <c r="F75" i="9"/>
  <c r="F69" i="7"/>
  <c r="A9" i="36"/>
  <c r="F17" i="16"/>
  <c r="A9" i="14" l="1"/>
  <c r="A10" i="14" s="1"/>
  <c r="F11" i="20"/>
  <c r="F80" i="19"/>
  <c r="A14" i="14" l="1"/>
  <c r="A15" i="14" l="1"/>
  <c r="A16" i="14" l="1"/>
  <c r="F35" i="20"/>
  <c r="A9" i="20"/>
  <c r="F106" i="19"/>
  <c r="F18" i="12"/>
  <c r="F45" i="11"/>
  <c r="A10" i="20" l="1"/>
  <c r="A17" i="14"/>
  <c r="F36" i="16"/>
  <c r="F114" i="19" l="1"/>
  <c r="F102" i="19"/>
  <c r="F64" i="19"/>
  <c r="F30" i="20"/>
  <c r="F10" i="18" l="1"/>
  <c r="A9" i="18"/>
  <c r="A22" i="14" l="1"/>
  <c r="F72" i="36"/>
  <c r="F76" i="36" s="1"/>
  <c r="G76" i="36" s="1"/>
  <c r="F77" i="36" l="1"/>
  <c r="A23" i="14"/>
  <c r="A24" i="14" s="1"/>
  <c r="A25" i="14" s="1"/>
  <c r="A26" i="14" s="1"/>
  <c r="A27" i="14" s="1"/>
  <c r="A28" i="14" s="1"/>
  <c r="A29" i="14" s="1"/>
  <c r="F94" i="8"/>
  <c r="A30" i="14" l="1"/>
  <c r="A31" i="14"/>
  <c r="G66" i="36"/>
  <c r="L21" i="36" s="1"/>
  <c r="G67" i="36"/>
  <c r="G75" i="36"/>
  <c r="L28" i="36" s="1"/>
  <c r="F75" i="2"/>
  <c r="G77" i="36" l="1"/>
  <c r="F85" i="5"/>
  <c r="F77" i="5"/>
  <c r="F69" i="5"/>
  <c r="F72" i="35" l="1"/>
  <c r="F12" i="21"/>
  <c r="F28" i="18"/>
  <c r="F32" i="14"/>
  <c r="F18" i="14"/>
  <c r="F34" i="12"/>
  <c r="F14" i="12"/>
  <c r="F41" i="11"/>
  <c r="F23" i="11"/>
  <c r="F76" i="8"/>
  <c r="F98" i="8" s="1"/>
  <c r="G98" i="8" s="1"/>
  <c r="F74" i="7"/>
  <c r="F106" i="6"/>
  <c r="F94" i="6"/>
  <c r="F39" i="4"/>
  <c r="F49" i="4" s="1"/>
  <c r="G47" i="4" s="1"/>
  <c r="F85" i="2"/>
  <c r="F96" i="2" s="1"/>
  <c r="G89" i="2" l="1"/>
  <c r="G94" i="2"/>
  <c r="G73" i="2"/>
  <c r="G25" i="8"/>
  <c r="L25" i="8" s="1"/>
  <c r="G28" i="8"/>
  <c r="G24" i="8"/>
  <c r="G70" i="8"/>
  <c r="G26" i="8"/>
  <c r="G27" i="8"/>
  <c r="G71" i="8"/>
  <c r="L28" i="8" s="1"/>
  <c r="G97" i="8"/>
  <c r="L29" i="8" s="1"/>
  <c r="G22" i="8"/>
  <c r="L10" i="8" s="1"/>
  <c r="G21" i="8"/>
  <c r="G23" i="8"/>
  <c r="G89" i="8"/>
  <c r="G42" i="4"/>
  <c r="G71" i="2"/>
  <c r="G72" i="2"/>
  <c r="G46" i="4"/>
  <c r="K26" i="4" s="1"/>
  <c r="L26" i="17" l="1"/>
  <c r="F99" i="8"/>
  <c r="G99" i="8"/>
  <c r="L11" i="17"/>
  <c r="G43" i="4"/>
  <c r="G48" i="4"/>
  <c r="F51" i="11"/>
  <c r="F112" i="6"/>
  <c r="G110" i="6" s="1"/>
  <c r="F91" i="5"/>
  <c r="G89" i="5" s="1"/>
  <c r="G22" i="11" l="1"/>
  <c r="G21" i="11"/>
  <c r="K20" i="11" s="1"/>
  <c r="G49" i="11"/>
  <c r="G11" i="11"/>
  <c r="G10" i="11"/>
  <c r="G105" i="6"/>
  <c r="G104" i="6"/>
  <c r="G99" i="6"/>
  <c r="G98" i="6"/>
  <c r="G109" i="6"/>
  <c r="K42" i="6" s="1"/>
  <c r="G80" i="5"/>
  <c r="G39" i="11"/>
  <c r="K18" i="11" s="1"/>
  <c r="G40" i="11"/>
  <c r="K19" i="11" s="1"/>
  <c r="G66" i="5"/>
  <c r="K33" i="5" s="1"/>
  <c r="G67" i="5"/>
  <c r="K35" i="5" s="1"/>
  <c r="G48" i="11"/>
  <c r="K22" i="11" s="1"/>
  <c r="G88" i="5"/>
  <c r="K37" i="5" s="1"/>
  <c r="G64" i="5"/>
  <c r="G65" i="5"/>
  <c r="G90" i="6"/>
  <c r="G86" i="6"/>
  <c r="K38" i="6" s="1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G88" i="6"/>
  <c r="G76" i="6"/>
  <c r="K37" i="6" s="1"/>
  <c r="G64" i="6"/>
  <c r="G56" i="6"/>
  <c r="K32" i="6" s="1"/>
  <c r="G44" i="6"/>
  <c r="G32" i="6"/>
  <c r="G16" i="6"/>
  <c r="G103" i="6"/>
  <c r="K29" i="6" s="1"/>
  <c r="G93" i="6"/>
  <c r="K41" i="6" s="1"/>
  <c r="G89" i="6"/>
  <c r="K39" i="6" s="1"/>
  <c r="G85" i="6"/>
  <c r="G81" i="6"/>
  <c r="G77" i="6"/>
  <c r="G73" i="6"/>
  <c r="G69" i="6"/>
  <c r="G65" i="6"/>
  <c r="K35" i="6" s="1"/>
  <c r="G61" i="6"/>
  <c r="G57" i="6"/>
  <c r="G53" i="6"/>
  <c r="G49" i="6"/>
  <c r="G45" i="6"/>
  <c r="G41" i="6"/>
  <c r="K31" i="6" s="1"/>
  <c r="G37" i="6"/>
  <c r="G33" i="6"/>
  <c r="K22" i="6" s="1"/>
  <c r="G29" i="6"/>
  <c r="G25" i="6"/>
  <c r="G21" i="6"/>
  <c r="G17" i="6"/>
  <c r="G13" i="6"/>
  <c r="G92" i="6"/>
  <c r="G84" i="6"/>
  <c r="G72" i="6"/>
  <c r="K36" i="6" s="1"/>
  <c r="G60" i="6"/>
  <c r="K34" i="6" s="1"/>
  <c r="G48" i="6"/>
  <c r="G40" i="6"/>
  <c r="G28" i="6"/>
  <c r="G20" i="6"/>
  <c r="G97" i="6"/>
  <c r="K33" i="6" s="1"/>
  <c r="G91" i="6"/>
  <c r="K40" i="6" s="1"/>
  <c r="G87" i="6"/>
  <c r="G83" i="6"/>
  <c r="G79" i="6"/>
  <c r="G75" i="6"/>
  <c r="G71" i="6"/>
  <c r="G67" i="6"/>
  <c r="G63" i="6"/>
  <c r="K25" i="6" s="1"/>
  <c r="G59" i="6"/>
  <c r="G55" i="6"/>
  <c r="G51" i="6"/>
  <c r="G47" i="6"/>
  <c r="G43" i="6"/>
  <c r="G39" i="6"/>
  <c r="K30" i="6" s="1"/>
  <c r="G35" i="6"/>
  <c r="K23" i="6" s="1"/>
  <c r="G31" i="6"/>
  <c r="G27" i="6"/>
  <c r="G23" i="6"/>
  <c r="G19" i="6"/>
  <c r="G15" i="6"/>
  <c r="G11" i="6"/>
  <c r="G80" i="6"/>
  <c r="G68" i="6"/>
  <c r="G52" i="6"/>
  <c r="G36" i="6"/>
  <c r="G24" i="6"/>
  <c r="G12" i="6"/>
  <c r="G62" i="5"/>
  <c r="G63" i="5"/>
  <c r="G26" i="11"/>
  <c r="K21" i="11" s="1"/>
  <c r="G60" i="5"/>
  <c r="G61" i="5"/>
  <c r="K32" i="5" s="1"/>
  <c r="G44" i="11"/>
  <c r="K13" i="11" s="1"/>
  <c r="G37" i="11"/>
  <c r="G57" i="5"/>
  <c r="G59" i="5"/>
  <c r="G58" i="5"/>
  <c r="G20" i="11"/>
  <c r="G19" i="11"/>
  <c r="K20" i="6" l="1"/>
  <c r="K19" i="6"/>
  <c r="K26" i="6"/>
  <c r="K21" i="6"/>
  <c r="K24" i="6"/>
  <c r="K27" i="6"/>
  <c r="K28" i="6"/>
  <c r="K19" i="5"/>
  <c r="G81" i="5"/>
  <c r="K25" i="5"/>
  <c r="G111" i="6"/>
  <c r="K17" i="6"/>
  <c r="K12" i="6"/>
  <c r="K16" i="6"/>
  <c r="K18" i="6"/>
  <c r="K15" i="6"/>
  <c r="K14" i="6"/>
  <c r="K13" i="6"/>
  <c r="G90" i="5"/>
  <c r="G50" i="11"/>
  <c r="G27" i="11"/>
  <c r="G100" i="6"/>
  <c r="G45" i="11"/>
  <c r="G106" i="6"/>
  <c r="A9" i="11" l="1"/>
  <c r="A10" i="11" l="1"/>
  <c r="A11" i="11" s="1"/>
  <c r="G34" i="11"/>
  <c r="K15" i="11" s="1"/>
  <c r="G15" i="11"/>
  <c r="G36" i="11"/>
  <c r="G31" i="11"/>
  <c r="G16" i="11"/>
  <c r="G33" i="11"/>
  <c r="G18" i="11"/>
  <c r="K16" i="11" s="1"/>
  <c r="G32" i="11"/>
  <c r="G35" i="11"/>
  <c r="K17" i="11" s="1"/>
  <c r="G9" i="11"/>
  <c r="K14" i="11" s="1"/>
  <c r="G17" i="11"/>
  <c r="G38" i="11"/>
  <c r="K11" i="11" l="1"/>
  <c r="K10" i="11"/>
  <c r="K12" i="11"/>
  <c r="G12" i="11"/>
  <c r="K9" i="11"/>
  <c r="G41" i="11"/>
  <c r="G23" i="11"/>
  <c r="G51" i="11" l="1"/>
  <c r="A15" i="11" l="1"/>
  <c r="A16" i="11" l="1"/>
  <c r="A17" i="11" l="1"/>
  <c r="A18" i="11" l="1"/>
  <c r="I141" i="7"/>
  <c r="I137" i="7"/>
  <c r="I133" i="7"/>
  <c r="I132" i="7"/>
  <c r="I127" i="7"/>
  <c r="I126" i="7"/>
  <c r="I122" i="7"/>
  <c r="I118" i="7"/>
  <c r="I117" i="7"/>
  <c r="I116" i="7"/>
  <c r="I115" i="7"/>
  <c r="I114" i="7"/>
  <c r="I113" i="7"/>
  <c r="A19" i="11" l="1"/>
  <c r="A20" i="11" l="1"/>
  <c r="A21" i="11" s="1"/>
  <c r="A22" i="11" s="1"/>
  <c r="A26" i="11" l="1"/>
  <c r="A31" i="11" l="1"/>
  <c r="A32" i="11" s="1"/>
  <c r="A33" i="11" s="1"/>
  <c r="A34" i="11" s="1"/>
  <c r="A35" i="11" s="1"/>
  <c r="A36" i="11" s="1"/>
  <c r="A37" i="11" s="1"/>
  <c r="A38" i="11" s="1"/>
  <c r="A39" i="11" s="1"/>
  <c r="A40" i="11" s="1"/>
  <c r="F75" i="31"/>
  <c r="F97" i="31" s="1"/>
  <c r="A9" i="35"/>
  <c r="A9" i="19"/>
  <c r="A9" i="12"/>
  <c r="A9" i="10"/>
  <c r="A9" i="9"/>
  <c r="A9" i="7"/>
  <c r="A9" i="6"/>
  <c r="A9" i="5"/>
  <c r="A9" i="4"/>
  <c r="A9" i="3"/>
  <c r="A9" i="2"/>
  <c r="F45" i="20"/>
  <c r="F81" i="9"/>
  <c r="G79" i="9" s="1"/>
  <c r="F116" i="3"/>
  <c r="G114" i="3" s="1"/>
  <c r="G42" i="20" l="1"/>
  <c r="G43" i="20"/>
  <c r="G29" i="20"/>
  <c r="G28" i="20"/>
  <c r="K13" i="20" s="1"/>
  <c r="G27" i="20"/>
  <c r="K33" i="9"/>
  <c r="G72" i="9"/>
  <c r="A10" i="6"/>
  <c r="F98" i="31"/>
  <c r="G97" i="31"/>
  <c r="A10" i="35"/>
  <c r="A11" i="35" s="1"/>
  <c r="G61" i="34"/>
  <c r="G57" i="34"/>
  <c r="L29" i="34" s="1"/>
  <c r="G53" i="34"/>
  <c r="G49" i="34"/>
  <c r="G45" i="34"/>
  <c r="G41" i="34"/>
  <c r="G37" i="34"/>
  <c r="G33" i="34"/>
  <c r="G29" i="34"/>
  <c r="G25" i="34"/>
  <c r="L27" i="34" s="1"/>
  <c r="G21" i="34"/>
  <c r="G17" i="34"/>
  <c r="G13" i="34"/>
  <c r="G9" i="34"/>
  <c r="G62" i="34"/>
  <c r="G58" i="34"/>
  <c r="L30" i="34" s="1"/>
  <c r="G54" i="34"/>
  <c r="G50" i="34"/>
  <c r="G46" i="34"/>
  <c r="G42" i="34"/>
  <c r="G38" i="34"/>
  <c r="G34" i="34"/>
  <c r="G30" i="34"/>
  <c r="G26" i="34"/>
  <c r="G22" i="34"/>
  <c r="L26" i="34" s="1"/>
  <c r="G18" i="34"/>
  <c r="L22" i="34" s="1"/>
  <c r="G14" i="34"/>
  <c r="G10" i="34"/>
  <c r="G63" i="34"/>
  <c r="L32" i="34" s="1"/>
  <c r="G59" i="34"/>
  <c r="G55" i="34"/>
  <c r="G51" i="34"/>
  <c r="G47" i="34"/>
  <c r="G43" i="34"/>
  <c r="G39" i="34"/>
  <c r="G35" i="34"/>
  <c r="G31" i="34"/>
  <c r="G27" i="34"/>
  <c r="G23" i="34"/>
  <c r="G19" i="34"/>
  <c r="L25" i="34" s="1"/>
  <c r="G15" i="34"/>
  <c r="G11" i="34"/>
  <c r="G60" i="34"/>
  <c r="L31" i="34" s="1"/>
  <c r="G56" i="34"/>
  <c r="G52" i="34"/>
  <c r="G48" i="34"/>
  <c r="G44" i="34"/>
  <c r="G40" i="34"/>
  <c r="G36" i="34"/>
  <c r="L28" i="34" s="1"/>
  <c r="G32" i="34"/>
  <c r="L23" i="34" s="1"/>
  <c r="G28" i="34"/>
  <c r="G24" i="34"/>
  <c r="G20" i="34"/>
  <c r="G16" i="34"/>
  <c r="G12" i="34"/>
  <c r="G92" i="34"/>
  <c r="G93" i="34"/>
  <c r="G38" i="20"/>
  <c r="G26" i="20"/>
  <c r="G10" i="20"/>
  <c r="G70" i="9"/>
  <c r="K32" i="9" s="1"/>
  <c r="G71" i="9"/>
  <c r="G69" i="9"/>
  <c r="G97" i="34"/>
  <c r="L35" i="34" s="1"/>
  <c r="G78" i="9"/>
  <c r="K34" i="9" s="1"/>
  <c r="G113" i="3"/>
  <c r="K36" i="3" s="1"/>
  <c r="G34" i="20"/>
  <c r="G109" i="3"/>
  <c r="G107" i="3"/>
  <c r="G105" i="3"/>
  <c r="G101" i="3"/>
  <c r="G99" i="3"/>
  <c r="G95" i="3"/>
  <c r="G93" i="3"/>
  <c r="G89" i="3"/>
  <c r="G85" i="3"/>
  <c r="G81" i="3"/>
  <c r="G79" i="3"/>
  <c r="G75" i="3"/>
  <c r="G71" i="3"/>
  <c r="G67" i="3"/>
  <c r="K31" i="3" s="1"/>
  <c r="G65" i="3"/>
  <c r="K33" i="3" s="1"/>
  <c r="G61" i="3"/>
  <c r="G57" i="3"/>
  <c r="G108" i="3"/>
  <c r="G104" i="3"/>
  <c r="G98" i="3"/>
  <c r="G92" i="3"/>
  <c r="G88" i="3"/>
  <c r="G84" i="3"/>
  <c r="G80" i="3"/>
  <c r="K35" i="3" s="1"/>
  <c r="G74" i="3"/>
  <c r="G70" i="3"/>
  <c r="G64" i="3"/>
  <c r="K32" i="3" s="1"/>
  <c r="G58" i="3"/>
  <c r="G102" i="3"/>
  <c r="G96" i="3"/>
  <c r="G90" i="3"/>
  <c r="G86" i="3"/>
  <c r="K27" i="3" s="1"/>
  <c r="G82" i="3"/>
  <c r="G76" i="3"/>
  <c r="G72" i="3"/>
  <c r="K34" i="3" s="1"/>
  <c r="G66" i="3"/>
  <c r="G60" i="3"/>
  <c r="G103" i="3"/>
  <c r="G97" i="3"/>
  <c r="G91" i="3"/>
  <c r="G87" i="3"/>
  <c r="G83" i="3"/>
  <c r="G77" i="3"/>
  <c r="G73" i="3"/>
  <c r="G69" i="3"/>
  <c r="G63" i="3"/>
  <c r="G59" i="3"/>
  <c r="G106" i="3"/>
  <c r="G100" i="3"/>
  <c r="G94" i="3"/>
  <c r="G78" i="3"/>
  <c r="K22" i="3" s="1"/>
  <c r="G68" i="3"/>
  <c r="G62" i="3"/>
  <c r="G56" i="3"/>
  <c r="G55" i="3"/>
  <c r="G51" i="3"/>
  <c r="G47" i="3"/>
  <c r="G43" i="3"/>
  <c r="G39" i="3"/>
  <c r="G35" i="3"/>
  <c r="G31" i="3"/>
  <c r="G23" i="3"/>
  <c r="G15" i="3"/>
  <c r="G10" i="3"/>
  <c r="G54" i="3"/>
  <c r="G50" i="3"/>
  <c r="G46" i="3"/>
  <c r="G42" i="3"/>
  <c r="G38" i="3"/>
  <c r="G34" i="3"/>
  <c r="G30" i="3"/>
  <c r="G26" i="3"/>
  <c r="G22" i="3"/>
  <c r="G18" i="3"/>
  <c r="G53" i="3"/>
  <c r="G49" i="3"/>
  <c r="G45" i="3"/>
  <c r="G41" i="3"/>
  <c r="G37" i="3"/>
  <c r="G33" i="3"/>
  <c r="G29" i="3"/>
  <c r="G25" i="3"/>
  <c r="G21" i="3"/>
  <c r="G17" i="3"/>
  <c r="G13" i="3"/>
  <c r="G52" i="3"/>
  <c r="K26" i="3" s="1"/>
  <c r="G48" i="3"/>
  <c r="G44" i="3"/>
  <c r="G40" i="3"/>
  <c r="K30" i="3" s="1"/>
  <c r="G36" i="3"/>
  <c r="G32" i="3"/>
  <c r="G28" i="3"/>
  <c r="K19" i="3" s="1"/>
  <c r="G24" i="3"/>
  <c r="G20" i="3"/>
  <c r="K29" i="3" s="1"/>
  <c r="G16" i="3"/>
  <c r="G12" i="3"/>
  <c r="K24" i="3" s="1"/>
  <c r="G27" i="3"/>
  <c r="G19" i="3"/>
  <c r="G11" i="3"/>
  <c r="K16" i="3" s="1"/>
  <c r="G14" i="3"/>
  <c r="G67" i="9"/>
  <c r="K31" i="9" s="1"/>
  <c r="G68" i="9"/>
  <c r="G66" i="9"/>
  <c r="G65" i="9"/>
  <c r="G9" i="20"/>
  <c r="A10" i="12"/>
  <c r="A11" i="12" s="1"/>
  <c r="A12" i="12" s="1"/>
  <c r="G64" i="9"/>
  <c r="G63" i="9"/>
  <c r="G55" i="5"/>
  <c r="K31" i="5" s="1"/>
  <c r="G56" i="5"/>
  <c r="A10" i="5"/>
  <c r="A10" i="19"/>
  <c r="A10" i="9"/>
  <c r="F42" i="16"/>
  <c r="G40" i="16" s="1"/>
  <c r="G93" i="2"/>
  <c r="K41" i="2" s="1"/>
  <c r="A10" i="3"/>
  <c r="A11" i="3" s="1"/>
  <c r="F82" i="35"/>
  <c r="G80" i="35" s="1"/>
  <c r="A10" i="4"/>
  <c r="A10" i="2"/>
  <c r="F44" i="12"/>
  <c r="G42" i="12" s="1"/>
  <c r="F38" i="14"/>
  <c r="G10" i="14" s="1"/>
  <c r="K12" i="14" s="1"/>
  <c r="F128" i="19"/>
  <c r="G126" i="19" s="1"/>
  <c r="F47" i="21"/>
  <c r="G45" i="21" s="1"/>
  <c r="A10" i="7"/>
  <c r="F34" i="18"/>
  <c r="G32" i="18" s="1"/>
  <c r="F16" i="10"/>
  <c r="G14" i="10" s="1"/>
  <c r="F80" i="7"/>
  <c r="G78" i="7" s="1"/>
  <c r="K13" i="3" l="1"/>
  <c r="K12" i="3"/>
  <c r="K25" i="3"/>
  <c r="K28" i="3"/>
  <c r="K20" i="3"/>
  <c r="K23" i="3"/>
  <c r="K17" i="3"/>
  <c r="K21" i="3"/>
  <c r="A11" i="6"/>
  <c r="K14" i="20"/>
  <c r="L9" i="34"/>
  <c r="L14" i="34"/>
  <c r="L18" i="34"/>
  <c r="L19" i="34"/>
  <c r="L24" i="34"/>
  <c r="L13" i="34"/>
  <c r="L21" i="34"/>
  <c r="G72" i="34"/>
  <c r="K30" i="9"/>
  <c r="L20" i="34"/>
  <c r="G44" i="20"/>
  <c r="L15" i="34"/>
  <c r="G40" i="21"/>
  <c r="G39" i="21"/>
  <c r="G27" i="21"/>
  <c r="G26" i="21"/>
  <c r="G25" i="21"/>
  <c r="G11" i="21"/>
  <c r="G10" i="21"/>
  <c r="G79" i="19"/>
  <c r="G76" i="19"/>
  <c r="K37" i="19" s="1"/>
  <c r="G78" i="19"/>
  <c r="K38" i="19" s="1"/>
  <c r="G77" i="19"/>
  <c r="G59" i="19"/>
  <c r="G55" i="19"/>
  <c r="K39" i="19" s="1"/>
  <c r="G51" i="19"/>
  <c r="G47" i="19"/>
  <c r="G43" i="19"/>
  <c r="G39" i="19"/>
  <c r="G35" i="19"/>
  <c r="G31" i="19"/>
  <c r="K31" i="19" s="1"/>
  <c r="G27" i="19"/>
  <c r="G23" i="19"/>
  <c r="K26" i="19" s="1"/>
  <c r="G19" i="19"/>
  <c r="G15" i="19"/>
  <c r="G11" i="19"/>
  <c r="G57" i="19"/>
  <c r="G49" i="19"/>
  <c r="G41" i="19"/>
  <c r="G33" i="19"/>
  <c r="G25" i="19"/>
  <c r="G17" i="19"/>
  <c r="G60" i="19"/>
  <c r="G52" i="19"/>
  <c r="G44" i="19"/>
  <c r="G36" i="19"/>
  <c r="G28" i="19"/>
  <c r="G20" i="19"/>
  <c r="G12" i="19"/>
  <c r="G62" i="19"/>
  <c r="K48" i="19" s="1"/>
  <c r="G58" i="19"/>
  <c r="K45" i="19" s="1"/>
  <c r="G54" i="19"/>
  <c r="G50" i="19"/>
  <c r="G46" i="19"/>
  <c r="G42" i="19"/>
  <c r="G38" i="19"/>
  <c r="K35" i="19" s="1"/>
  <c r="G34" i="19"/>
  <c r="G30" i="19"/>
  <c r="K30" i="19" s="1"/>
  <c r="G26" i="19"/>
  <c r="K28" i="19" s="1"/>
  <c r="G22" i="19"/>
  <c r="G18" i="19"/>
  <c r="G14" i="19"/>
  <c r="G10" i="19"/>
  <c r="G61" i="19"/>
  <c r="G53" i="19"/>
  <c r="G45" i="19"/>
  <c r="G37" i="19"/>
  <c r="G29" i="19"/>
  <c r="K29" i="19" s="1"/>
  <c r="G21" i="19"/>
  <c r="G13" i="19"/>
  <c r="G56" i="19"/>
  <c r="K41" i="19" s="1"/>
  <c r="G48" i="19"/>
  <c r="G40" i="19"/>
  <c r="G32" i="19"/>
  <c r="K32" i="19" s="1"/>
  <c r="G24" i="19"/>
  <c r="K27" i="19" s="1"/>
  <c r="G16" i="19"/>
  <c r="G16" i="16"/>
  <c r="G15" i="16"/>
  <c r="G10" i="16"/>
  <c r="K15" i="16" s="1"/>
  <c r="A13" i="12"/>
  <c r="G12" i="12"/>
  <c r="K16" i="12" s="1"/>
  <c r="G13" i="12"/>
  <c r="G11" i="12"/>
  <c r="G67" i="7"/>
  <c r="K14" i="3"/>
  <c r="K15" i="3"/>
  <c r="K18" i="3"/>
  <c r="L17" i="34"/>
  <c r="L11" i="34"/>
  <c r="L12" i="34"/>
  <c r="L10" i="34"/>
  <c r="G94" i="34"/>
  <c r="G80" i="9"/>
  <c r="A12" i="35"/>
  <c r="G71" i="35"/>
  <c r="G69" i="35"/>
  <c r="G65" i="35"/>
  <c r="G61" i="35"/>
  <c r="G57" i="35"/>
  <c r="G53" i="35"/>
  <c r="G49" i="35"/>
  <c r="G45" i="35"/>
  <c r="G41" i="35"/>
  <c r="G37" i="35"/>
  <c r="G33" i="35"/>
  <c r="G29" i="35"/>
  <c r="G25" i="35"/>
  <c r="K25" i="35" s="1"/>
  <c r="G21" i="35"/>
  <c r="G17" i="35"/>
  <c r="G13" i="35"/>
  <c r="G12" i="35"/>
  <c r="G68" i="35"/>
  <c r="K32" i="35" s="1"/>
  <c r="G62" i="35"/>
  <c r="G58" i="35"/>
  <c r="G54" i="35"/>
  <c r="G50" i="35"/>
  <c r="G46" i="35"/>
  <c r="G42" i="35"/>
  <c r="G38" i="35"/>
  <c r="G34" i="35"/>
  <c r="G30" i="35"/>
  <c r="G26" i="35"/>
  <c r="G22" i="35"/>
  <c r="G18" i="35"/>
  <c r="K19" i="35" s="1"/>
  <c r="G10" i="35"/>
  <c r="G70" i="35"/>
  <c r="G66" i="35"/>
  <c r="G64" i="35"/>
  <c r="K30" i="35" s="1"/>
  <c r="G60" i="35"/>
  <c r="K29" i="35" s="1"/>
  <c r="G56" i="35"/>
  <c r="G52" i="35"/>
  <c r="G48" i="35"/>
  <c r="G44" i="35"/>
  <c r="G40" i="35"/>
  <c r="G36" i="35"/>
  <c r="G32" i="35"/>
  <c r="G28" i="35"/>
  <c r="G24" i="35"/>
  <c r="G20" i="35"/>
  <c r="G16" i="35"/>
  <c r="G67" i="35"/>
  <c r="G63" i="35"/>
  <c r="K31" i="35" s="1"/>
  <c r="G59" i="35"/>
  <c r="K28" i="35" s="1"/>
  <c r="G55" i="35"/>
  <c r="G51" i="35"/>
  <c r="G47" i="35"/>
  <c r="G43" i="35"/>
  <c r="G39" i="35"/>
  <c r="G35" i="35"/>
  <c r="K27" i="35" s="1"/>
  <c r="G31" i="35"/>
  <c r="G27" i="35"/>
  <c r="G23" i="35"/>
  <c r="K23" i="35" s="1"/>
  <c r="G19" i="35"/>
  <c r="K22" i="35" s="1"/>
  <c r="G15" i="35"/>
  <c r="G11" i="35"/>
  <c r="G14" i="35"/>
  <c r="G75" i="35"/>
  <c r="K8" i="35" s="1"/>
  <c r="G99" i="34"/>
  <c r="G64" i="31"/>
  <c r="L32" i="31" s="1"/>
  <c r="G60" i="31"/>
  <c r="G56" i="31"/>
  <c r="G52" i="31"/>
  <c r="G48" i="31"/>
  <c r="G44" i="31"/>
  <c r="G40" i="31"/>
  <c r="G36" i="31"/>
  <c r="G32" i="31"/>
  <c r="G28" i="31"/>
  <c r="G24" i="31"/>
  <c r="G20" i="31"/>
  <c r="G16" i="31"/>
  <c r="G12" i="31"/>
  <c r="G65" i="31"/>
  <c r="G61" i="31"/>
  <c r="L30" i="31" s="1"/>
  <c r="G57" i="31"/>
  <c r="L27" i="31" s="1"/>
  <c r="G53" i="31"/>
  <c r="G49" i="31"/>
  <c r="G45" i="31"/>
  <c r="G41" i="31"/>
  <c r="G37" i="31"/>
  <c r="G33" i="31"/>
  <c r="G29" i="31"/>
  <c r="L23" i="31" s="1"/>
  <c r="G25" i="31"/>
  <c r="L26" i="31" s="1"/>
  <c r="G21" i="31"/>
  <c r="G17" i="31"/>
  <c r="G13" i="31"/>
  <c r="G9" i="31"/>
  <c r="G62" i="31"/>
  <c r="G58" i="31"/>
  <c r="G54" i="31"/>
  <c r="G50" i="31"/>
  <c r="G46" i="31"/>
  <c r="G42" i="31"/>
  <c r="G38" i="31"/>
  <c r="G34" i="31"/>
  <c r="G30" i="31"/>
  <c r="G26" i="31"/>
  <c r="G22" i="31"/>
  <c r="G18" i="31"/>
  <c r="G14" i="31"/>
  <c r="G10" i="31"/>
  <c r="G63" i="31"/>
  <c r="L31" i="31" s="1"/>
  <c r="G59" i="31"/>
  <c r="L29" i="31" s="1"/>
  <c r="G55" i="31"/>
  <c r="G51" i="31"/>
  <c r="G47" i="31"/>
  <c r="G43" i="31"/>
  <c r="G39" i="31"/>
  <c r="L14" i="31" s="1"/>
  <c r="G35" i="31"/>
  <c r="L28" i="31" s="1"/>
  <c r="G31" i="31"/>
  <c r="G27" i="31"/>
  <c r="G23" i="31"/>
  <c r="L25" i="31" s="1"/>
  <c r="G19" i="31"/>
  <c r="G15" i="31"/>
  <c r="G11" i="31"/>
  <c r="G91" i="31"/>
  <c r="L9" i="31" s="1"/>
  <c r="G92" i="31"/>
  <c r="G44" i="21"/>
  <c r="K16" i="21" s="1"/>
  <c r="G37" i="21"/>
  <c r="G38" i="21"/>
  <c r="G39" i="20"/>
  <c r="G101" i="19"/>
  <c r="K47" i="19" s="1"/>
  <c r="G26" i="18"/>
  <c r="G27" i="18"/>
  <c r="G39" i="16"/>
  <c r="K19" i="16" s="1"/>
  <c r="G34" i="16"/>
  <c r="K18" i="16" s="1"/>
  <c r="G35" i="16"/>
  <c r="G30" i="14"/>
  <c r="K14" i="14" s="1"/>
  <c r="G31" i="14"/>
  <c r="G77" i="7"/>
  <c r="K35" i="7" s="1"/>
  <c r="G66" i="7"/>
  <c r="K32" i="7" s="1"/>
  <c r="G115" i="3"/>
  <c r="G35" i="14"/>
  <c r="K15" i="14" s="1"/>
  <c r="G36" i="14"/>
  <c r="G79" i="35"/>
  <c r="K33" i="35" s="1"/>
  <c r="G96" i="31"/>
  <c r="L34" i="31" s="1"/>
  <c r="G125" i="19"/>
  <c r="K49" i="19" s="1"/>
  <c r="G31" i="18"/>
  <c r="K16" i="18" s="1"/>
  <c r="G41" i="12"/>
  <c r="K20" i="12" s="1"/>
  <c r="G13" i="10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15" i="2"/>
  <c r="G95" i="2"/>
  <c r="G68" i="2"/>
  <c r="G64" i="2"/>
  <c r="G60" i="2"/>
  <c r="G56" i="2"/>
  <c r="G52" i="2"/>
  <c r="G48" i="2"/>
  <c r="G44" i="2"/>
  <c r="G40" i="2"/>
  <c r="G36" i="2"/>
  <c r="G32" i="2"/>
  <c r="G28" i="2"/>
  <c r="G24" i="2"/>
  <c r="G20" i="2"/>
  <c r="G16" i="2"/>
  <c r="G12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1" i="2"/>
  <c r="G36" i="21"/>
  <c r="G46" i="21"/>
  <c r="G113" i="19"/>
  <c r="G25" i="18"/>
  <c r="G9" i="10"/>
  <c r="G10" i="10" s="1"/>
  <c r="G65" i="7"/>
  <c r="G63" i="7"/>
  <c r="K31" i="7" s="1"/>
  <c r="G64" i="7"/>
  <c r="G9" i="14"/>
  <c r="K11" i="14" s="1"/>
  <c r="G23" i="21"/>
  <c r="G19" i="21"/>
  <c r="G24" i="21"/>
  <c r="G20" i="21"/>
  <c r="G21" i="21"/>
  <c r="G22" i="21"/>
  <c r="G16" i="21"/>
  <c r="G17" i="21"/>
  <c r="G18" i="21"/>
  <c r="G15" i="21"/>
  <c r="G24" i="18"/>
  <c r="G22" i="18"/>
  <c r="G23" i="18"/>
  <c r="G21" i="18"/>
  <c r="G61" i="7"/>
  <c r="K30" i="7" s="1"/>
  <c r="G60" i="7"/>
  <c r="K28" i="7" s="1"/>
  <c r="G62" i="7"/>
  <c r="K37" i="2"/>
  <c r="G110" i="19"/>
  <c r="G98" i="19"/>
  <c r="K44" i="19" s="1"/>
  <c r="G94" i="19"/>
  <c r="G90" i="19"/>
  <c r="G86" i="19"/>
  <c r="G72" i="19"/>
  <c r="G117" i="19"/>
  <c r="G118" i="19" s="1"/>
  <c r="G109" i="19"/>
  <c r="G97" i="19"/>
  <c r="K42" i="19" s="1"/>
  <c r="G93" i="19"/>
  <c r="G89" i="19"/>
  <c r="G85" i="19"/>
  <c r="G75" i="19"/>
  <c r="G68" i="19"/>
  <c r="G112" i="19"/>
  <c r="G105" i="19"/>
  <c r="K40" i="19" s="1"/>
  <c r="G100" i="19"/>
  <c r="G96" i="19"/>
  <c r="G92" i="19"/>
  <c r="G88" i="19"/>
  <c r="K36" i="19" s="1"/>
  <c r="G84" i="19"/>
  <c r="G74" i="19"/>
  <c r="G121" i="19"/>
  <c r="K34" i="19" s="1"/>
  <c r="G111" i="19"/>
  <c r="G99" i="19"/>
  <c r="K46" i="19" s="1"/>
  <c r="G95" i="19"/>
  <c r="K43" i="19" s="1"/>
  <c r="G91" i="19"/>
  <c r="G87" i="19"/>
  <c r="G73" i="19"/>
  <c r="K17" i="19"/>
  <c r="G32" i="12"/>
  <c r="G31" i="12"/>
  <c r="G33" i="12"/>
  <c r="G30" i="12"/>
  <c r="A44" i="11"/>
  <c r="G29" i="12"/>
  <c r="G59" i="7"/>
  <c r="K29" i="7" s="1"/>
  <c r="G18" i="18"/>
  <c r="G16" i="18"/>
  <c r="G19" i="18"/>
  <c r="K13" i="18" s="1"/>
  <c r="G17" i="18"/>
  <c r="K11" i="18" s="1"/>
  <c r="G20" i="18"/>
  <c r="G15" i="18"/>
  <c r="G14" i="16"/>
  <c r="G11" i="20"/>
  <c r="G58" i="7"/>
  <c r="G37" i="12"/>
  <c r="K17" i="12" s="1"/>
  <c r="G17" i="12"/>
  <c r="K19" i="12" s="1"/>
  <c r="G57" i="7"/>
  <c r="K33" i="2"/>
  <c r="K35" i="2"/>
  <c r="K34" i="2"/>
  <c r="G32" i="16"/>
  <c r="K17" i="16" s="1"/>
  <c r="G53" i="7"/>
  <c r="G49" i="7"/>
  <c r="G45" i="7"/>
  <c r="G41" i="7"/>
  <c r="G37" i="7"/>
  <c r="G33" i="7"/>
  <c r="G29" i="7"/>
  <c r="G25" i="7"/>
  <c r="G21" i="7"/>
  <c r="G17" i="7"/>
  <c r="G13" i="7"/>
  <c r="G11" i="7"/>
  <c r="G56" i="7"/>
  <c r="G52" i="7"/>
  <c r="G48" i="7"/>
  <c r="G44" i="7"/>
  <c r="G40" i="7"/>
  <c r="G36" i="7"/>
  <c r="G32" i="7"/>
  <c r="G28" i="7"/>
  <c r="G24" i="7"/>
  <c r="G20" i="7"/>
  <c r="G16" i="7"/>
  <c r="G12" i="7"/>
  <c r="G55" i="7"/>
  <c r="G51" i="7"/>
  <c r="G47" i="7"/>
  <c r="G43" i="7"/>
  <c r="G39" i="7"/>
  <c r="G35" i="7"/>
  <c r="G31" i="7"/>
  <c r="G27" i="7"/>
  <c r="G23" i="7"/>
  <c r="G19" i="7"/>
  <c r="G15" i="7"/>
  <c r="G54" i="7"/>
  <c r="G50" i="7"/>
  <c r="G46" i="7"/>
  <c r="G42" i="7"/>
  <c r="G38" i="7"/>
  <c r="G34" i="7"/>
  <c r="G30" i="7"/>
  <c r="G26" i="7"/>
  <c r="G22" i="7"/>
  <c r="G18" i="7"/>
  <c r="G14" i="7"/>
  <c r="G10" i="7"/>
  <c r="G28" i="12"/>
  <c r="K18" i="12" s="1"/>
  <c r="G31" i="21"/>
  <c r="K15" i="21" s="1"/>
  <c r="G17" i="14"/>
  <c r="G9" i="18"/>
  <c r="K15" i="18" s="1"/>
  <c r="G88" i="2"/>
  <c r="G90" i="2" s="1"/>
  <c r="G27" i="12"/>
  <c r="G29" i="14"/>
  <c r="G9" i="12"/>
  <c r="K15" i="12" s="1"/>
  <c r="G10" i="12"/>
  <c r="G28" i="14"/>
  <c r="G27" i="14"/>
  <c r="K13" i="14" s="1"/>
  <c r="G15" i="14"/>
  <c r="G14" i="14"/>
  <c r="G16" i="14"/>
  <c r="G26" i="14"/>
  <c r="G33" i="16"/>
  <c r="G31" i="16"/>
  <c r="G27" i="16"/>
  <c r="K13" i="16" s="1"/>
  <c r="G23" i="16"/>
  <c r="G30" i="16"/>
  <c r="G26" i="16"/>
  <c r="K12" i="16" s="1"/>
  <c r="G22" i="16"/>
  <c r="K11" i="16" s="1"/>
  <c r="G24" i="16"/>
  <c r="G29" i="16"/>
  <c r="K10" i="16" s="1"/>
  <c r="G25" i="16"/>
  <c r="G21" i="16"/>
  <c r="G28" i="16"/>
  <c r="G9" i="16"/>
  <c r="K14" i="16" s="1"/>
  <c r="G25" i="14"/>
  <c r="G23" i="20"/>
  <c r="G20" i="20"/>
  <c r="G16" i="20"/>
  <c r="G22" i="20"/>
  <c r="K12" i="20" s="1"/>
  <c r="G21" i="20"/>
  <c r="G17" i="20"/>
  <c r="G24" i="20"/>
  <c r="A11" i="9"/>
  <c r="A12" i="9" s="1"/>
  <c r="A11" i="7"/>
  <c r="A11" i="5"/>
  <c r="A11" i="2"/>
  <c r="G25" i="12"/>
  <c r="G23" i="12"/>
  <c r="G26" i="12"/>
  <c r="G24" i="12"/>
  <c r="G28" i="5"/>
  <c r="A11" i="4"/>
  <c r="A11" i="19"/>
  <c r="G61" i="9"/>
  <c r="G18" i="9"/>
  <c r="G53" i="5"/>
  <c r="G48" i="5"/>
  <c r="K29" i="5" s="1"/>
  <c r="G84" i="5"/>
  <c r="K34" i="5" s="1"/>
  <c r="G31" i="5"/>
  <c r="G31" i="9"/>
  <c r="G38" i="9"/>
  <c r="G49" i="9"/>
  <c r="G42" i="9"/>
  <c r="G46" i="9"/>
  <c r="G9" i="35"/>
  <c r="G15" i="20"/>
  <c r="G22" i="12"/>
  <c r="K14" i="12" s="1"/>
  <c r="G39" i="9"/>
  <c r="G41" i="9"/>
  <c r="G50" i="9"/>
  <c r="G24" i="9"/>
  <c r="G53" i="9"/>
  <c r="G35" i="9"/>
  <c r="G26" i="9"/>
  <c r="G52" i="9"/>
  <c r="G23" i="9"/>
  <c r="G27" i="9"/>
  <c r="G30" i="9"/>
  <c r="G21" i="9"/>
  <c r="G44" i="5"/>
  <c r="K27" i="5" s="1"/>
  <c r="G24" i="5"/>
  <c r="G27" i="5"/>
  <c r="G19" i="5"/>
  <c r="G21" i="5"/>
  <c r="G45" i="5"/>
  <c r="G46" i="5"/>
  <c r="G26" i="5"/>
  <c r="G38" i="5"/>
  <c r="G10" i="5"/>
  <c r="G16" i="5"/>
  <c r="G11" i="5"/>
  <c r="G41" i="5"/>
  <c r="G35" i="5"/>
  <c r="G43" i="5"/>
  <c r="K26" i="5" s="1"/>
  <c r="G20" i="5"/>
  <c r="G18" i="5"/>
  <c r="G12" i="5"/>
  <c r="G36" i="5"/>
  <c r="G37" i="5"/>
  <c r="G34" i="5"/>
  <c r="K24" i="5" s="1"/>
  <c r="G40" i="5"/>
  <c r="G17" i="5"/>
  <c r="G47" i="5"/>
  <c r="G32" i="5"/>
  <c r="G9" i="5"/>
  <c r="G49" i="5"/>
  <c r="K28" i="5" s="1"/>
  <c r="G50" i="5"/>
  <c r="K30" i="5" s="1"/>
  <c r="G30" i="5"/>
  <c r="G29" i="5"/>
  <c r="G39" i="5"/>
  <c r="G42" i="5"/>
  <c r="G25" i="5"/>
  <c r="G14" i="5"/>
  <c r="G23" i="5"/>
  <c r="G52" i="5"/>
  <c r="K22" i="5" s="1"/>
  <c r="G22" i="5"/>
  <c r="G13" i="5"/>
  <c r="G15" i="5"/>
  <c r="G33" i="5"/>
  <c r="K20" i="5" s="1"/>
  <c r="G51" i="5"/>
  <c r="K23" i="5" s="1"/>
  <c r="G54" i="5"/>
  <c r="G59" i="9"/>
  <c r="A12" i="3"/>
  <c r="A13" i="3" s="1"/>
  <c r="G74" i="31"/>
  <c r="G14" i="20"/>
  <c r="G19" i="20"/>
  <c r="G18" i="20"/>
  <c r="G24" i="14"/>
  <c r="G56" i="9"/>
  <c r="G54" i="9"/>
  <c r="G28" i="9"/>
  <c r="G9" i="3"/>
  <c r="K11" i="3" s="1"/>
  <c r="G9" i="2"/>
  <c r="G22" i="14"/>
  <c r="G17" i="9"/>
  <c r="G9" i="21"/>
  <c r="G9" i="19"/>
  <c r="G14" i="18"/>
  <c r="G23" i="14"/>
  <c r="G29" i="9"/>
  <c r="G37" i="9"/>
  <c r="G13" i="9"/>
  <c r="G40" i="9"/>
  <c r="G12" i="9"/>
  <c r="G33" i="9"/>
  <c r="G14" i="9"/>
  <c r="G25" i="9"/>
  <c r="K23" i="9" s="1"/>
  <c r="G48" i="9"/>
  <c r="G16" i="9"/>
  <c r="G55" i="9"/>
  <c r="G22" i="9"/>
  <c r="G62" i="9"/>
  <c r="K29" i="9" s="1"/>
  <c r="G15" i="9"/>
  <c r="G57" i="9"/>
  <c r="G11" i="9"/>
  <c r="G58" i="9"/>
  <c r="G47" i="9"/>
  <c r="G19" i="9"/>
  <c r="G9" i="9"/>
  <c r="G32" i="9"/>
  <c r="G60" i="9"/>
  <c r="G44" i="9"/>
  <c r="G36" i="9"/>
  <c r="G20" i="9"/>
  <c r="G51" i="9"/>
  <c r="G43" i="9"/>
  <c r="G34" i="9"/>
  <c r="G33" i="20"/>
  <c r="K11" i="20" s="1"/>
  <c r="G25" i="20"/>
  <c r="G9" i="7"/>
  <c r="G45" i="9"/>
  <c r="G10" i="9"/>
  <c r="A14" i="18"/>
  <c r="K16" i="16" l="1"/>
  <c r="K21" i="35"/>
  <c r="K17" i="35"/>
  <c r="K18" i="35"/>
  <c r="K20" i="35"/>
  <c r="K26" i="9"/>
  <c r="K9" i="18"/>
  <c r="K15" i="7"/>
  <c r="K26" i="7"/>
  <c r="K24" i="35"/>
  <c r="K26" i="35"/>
  <c r="A12" i="6"/>
  <c r="L17" i="31"/>
  <c r="L20" i="31"/>
  <c r="L18" i="31"/>
  <c r="L15" i="31"/>
  <c r="L22" i="31"/>
  <c r="G72" i="31"/>
  <c r="L19" i="31"/>
  <c r="K23" i="19"/>
  <c r="K24" i="19"/>
  <c r="K21" i="19"/>
  <c r="K25" i="19"/>
  <c r="K22" i="19"/>
  <c r="K33" i="19"/>
  <c r="K12" i="21"/>
  <c r="K14" i="21"/>
  <c r="K27" i="9"/>
  <c r="K13" i="12"/>
  <c r="K25" i="9"/>
  <c r="K23" i="7"/>
  <c r="K21" i="5"/>
  <c r="K18" i="5"/>
  <c r="K12" i="18"/>
  <c r="K24" i="7"/>
  <c r="K10" i="35"/>
  <c r="K9" i="35"/>
  <c r="K12" i="35"/>
  <c r="K15" i="35"/>
  <c r="K11" i="35"/>
  <c r="L73" i="35" s="1"/>
  <c r="K13" i="35"/>
  <c r="K16" i="35"/>
  <c r="K14" i="35"/>
  <c r="L10" i="31"/>
  <c r="K13" i="21"/>
  <c r="K11" i="21"/>
  <c r="K10" i="21"/>
  <c r="K18" i="19"/>
  <c r="K15" i="19"/>
  <c r="K19" i="19"/>
  <c r="K14" i="18"/>
  <c r="K10" i="18"/>
  <c r="G11" i="16"/>
  <c r="G11" i="14"/>
  <c r="K9" i="14"/>
  <c r="K10" i="14"/>
  <c r="K11" i="12"/>
  <c r="K12" i="12"/>
  <c r="K10" i="10"/>
  <c r="K18" i="9"/>
  <c r="K28" i="9"/>
  <c r="K19" i="9"/>
  <c r="K24" i="9"/>
  <c r="K22" i="9"/>
  <c r="K16" i="9"/>
  <c r="K13" i="9"/>
  <c r="K11" i="9"/>
  <c r="K17" i="7"/>
  <c r="K18" i="7"/>
  <c r="K25" i="7"/>
  <c r="K20" i="7"/>
  <c r="K22" i="7"/>
  <c r="K21" i="7"/>
  <c r="K27" i="7"/>
  <c r="K14" i="7"/>
  <c r="K16" i="7"/>
  <c r="K15" i="5"/>
  <c r="K16" i="5"/>
  <c r="L13" i="31"/>
  <c r="L16" i="31"/>
  <c r="L11" i="31"/>
  <c r="L24" i="31"/>
  <c r="L21" i="31"/>
  <c r="L12" i="31"/>
  <c r="K13" i="5"/>
  <c r="K14" i="5"/>
  <c r="K10" i="20"/>
  <c r="G41" i="16"/>
  <c r="K21" i="9"/>
  <c r="K12" i="9"/>
  <c r="K20" i="9"/>
  <c r="K10" i="9"/>
  <c r="K14" i="9"/>
  <c r="K15" i="9"/>
  <c r="K17" i="9"/>
  <c r="K19" i="7"/>
  <c r="K9" i="21"/>
  <c r="K20" i="19"/>
  <c r="K14" i="19"/>
  <c r="K13" i="19"/>
  <c r="K16" i="19"/>
  <c r="K10" i="5"/>
  <c r="K17" i="5"/>
  <c r="K11" i="5"/>
  <c r="K12" i="5"/>
  <c r="A13" i="35"/>
  <c r="G76" i="35"/>
  <c r="G93" i="31"/>
  <c r="G98" i="31"/>
  <c r="G41" i="21"/>
  <c r="G127" i="19"/>
  <c r="G33" i="18"/>
  <c r="G43" i="12"/>
  <c r="G15" i="10"/>
  <c r="G79" i="7"/>
  <c r="G81" i="35"/>
  <c r="G37" i="14"/>
  <c r="K12" i="19"/>
  <c r="G38" i="12"/>
  <c r="G32" i="21"/>
  <c r="K10" i="12"/>
  <c r="G35" i="20"/>
  <c r="K11" i="19"/>
  <c r="K10" i="19"/>
  <c r="K9" i="16"/>
  <c r="K12" i="7"/>
  <c r="K13" i="7"/>
  <c r="K11" i="7"/>
  <c r="K10" i="7"/>
  <c r="A14" i="3"/>
  <c r="A15" i="3" s="1"/>
  <c r="A16" i="3" s="1"/>
  <c r="K8" i="14"/>
  <c r="K32" i="2"/>
  <c r="G69" i="19"/>
  <c r="G28" i="21"/>
  <c r="K8" i="21"/>
  <c r="A12" i="7"/>
  <c r="A13" i="7" s="1"/>
  <c r="K10" i="3"/>
  <c r="K9" i="3"/>
  <c r="G106" i="19"/>
  <c r="G122" i="19"/>
  <c r="K31" i="2"/>
  <c r="K28" i="2"/>
  <c r="K30" i="2"/>
  <c r="G75" i="9"/>
  <c r="G69" i="7"/>
  <c r="G85" i="5"/>
  <c r="G17" i="16"/>
  <c r="K22" i="2"/>
  <c r="K8" i="16"/>
  <c r="K20" i="2"/>
  <c r="K29" i="2"/>
  <c r="K26" i="2"/>
  <c r="G80" i="19"/>
  <c r="K17" i="2"/>
  <c r="K21" i="2"/>
  <c r="K27" i="2"/>
  <c r="K24" i="2"/>
  <c r="K23" i="2"/>
  <c r="K13" i="2"/>
  <c r="K10" i="2"/>
  <c r="K25" i="2"/>
  <c r="K14" i="2"/>
  <c r="K19" i="2"/>
  <c r="K16" i="2"/>
  <c r="K11" i="2"/>
  <c r="K15" i="2"/>
  <c r="K36" i="2"/>
  <c r="K12" i="2"/>
  <c r="K18" i="2"/>
  <c r="G18" i="12"/>
  <c r="K9" i="20"/>
  <c r="G64" i="19"/>
  <c r="G102" i="19"/>
  <c r="G114" i="19"/>
  <c r="G30" i="20"/>
  <c r="G10" i="18"/>
  <c r="G75" i="2"/>
  <c r="A12" i="2"/>
  <c r="K9" i="5"/>
  <c r="G69" i="5"/>
  <c r="A12" i="4"/>
  <c r="G72" i="35"/>
  <c r="G28" i="18"/>
  <c r="G12" i="21"/>
  <c r="G36" i="16"/>
  <c r="G32" i="14"/>
  <c r="G18" i="14"/>
  <c r="G34" i="12"/>
  <c r="G14" i="12"/>
  <c r="G110" i="3"/>
  <c r="K9" i="19"/>
  <c r="A12" i="5"/>
  <c r="G75" i="31"/>
  <c r="K9" i="12"/>
  <c r="K9" i="10"/>
  <c r="K9" i="2"/>
  <c r="K9" i="9"/>
  <c r="K9" i="7"/>
  <c r="A15" i="18"/>
  <c r="A16" i="18" s="1"/>
  <c r="A12" i="19"/>
  <c r="A13" i="9"/>
  <c r="A13" i="6" l="1"/>
  <c r="A14" i="6" s="1"/>
  <c r="A14" i="35"/>
  <c r="M93" i="31"/>
  <c r="M88" i="31"/>
  <c r="A13" i="4"/>
  <c r="G96" i="2"/>
  <c r="A17" i="3"/>
  <c r="A14" i="7"/>
  <c r="L28" i="21"/>
  <c r="A13" i="5"/>
  <c r="A17" i="12"/>
  <c r="G100" i="34"/>
  <c r="A13" i="2"/>
  <c r="A17" i="18"/>
  <c r="G99" i="31"/>
  <c r="L12" i="18"/>
  <c r="M73" i="34"/>
  <c r="M72" i="31"/>
  <c r="L12" i="21"/>
  <c r="L32" i="19"/>
  <c r="G42" i="16"/>
  <c r="G16" i="10"/>
  <c r="G81" i="9"/>
  <c r="L32" i="3"/>
  <c r="G128" i="19"/>
  <c r="L29" i="9"/>
  <c r="L26" i="7"/>
  <c r="G91" i="5"/>
  <c r="A14" i="9"/>
  <c r="A13" i="19"/>
  <c r="G82" i="35"/>
  <c r="G47" i="21"/>
  <c r="G44" i="12"/>
  <c r="G38" i="14"/>
  <c r="G45" i="20"/>
  <c r="A9" i="21"/>
  <c r="G116" i="3"/>
  <c r="G34" i="18"/>
  <c r="G80" i="7"/>
  <c r="A10" i="21" l="1"/>
  <c r="A11" i="21" s="1"/>
  <c r="A15" i="7"/>
  <c r="A15" i="6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14" i="4"/>
  <c r="A15" i="4" s="1"/>
  <c r="A18" i="18"/>
  <c r="A19" i="18" s="1"/>
  <c r="A18" i="3"/>
  <c r="A14" i="5"/>
  <c r="A14" i="2"/>
  <c r="A15" i="9"/>
  <c r="A14" i="19"/>
  <c r="A16" i="7"/>
  <c r="A9" i="16"/>
  <c r="A10" i="16" l="1"/>
  <c r="A17" i="6"/>
  <c r="A16" i="6"/>
  <c r="A16" i="9"/>
  <c r="A17" i="9" s="1"/>
  <c r="A18" i="9" s="1"/>
  <c r="A18" i="6"/>
  <c r="A19" i="3"/>
  <c r="A20" i="18"/>
  <c r="A21" i="18" s="1"/>
  <c r="A22" i="18" s="1"/>
  <c r="A23" i="18" s="1"/>
  <c r="A15" i="5"/>
  <c r="A16" i="5" s="1"/>
  <c r="A17" i="5" s="1"/>
  <c r="A22" i="12"/>
  <c r="A15" i="2"/>
  <c r="A16" i="2" s="1"/>
  <c r="A15" i="19"/>
  <c r="A17" i="7"/>
  <c r="A16" i="4"/>
  <c r="A19" i="9" l="1"/>
  <c r="A20" i="9" s="1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19" i="6"/>
  <c r="A75" i="35"/>
  <c r="A20" i="3"/>
  <c r="A24" i="18"/>
  <c r="A25" i="18" s="1"/>
  <c r="A26" i="18" s="1"/>
  <c r="A27" i="18" s="1"/>
  <c r="A14" i="16"/>
  <c r="A15" i="16" s="1"/>
  <c r="A16" i="16" s="1"/>
  <c r="A23" i="12"/>
  <c r="A24" i="12" s="1"/>
  <c r="A25" i="12" s="1"/>
  <c r="A26" i="12" s="1"/>
  <c r="A27" i="12" s="1"/>
  <c r="A28" i="12" s="1"/>
  <c r="A18" i="5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16" i="19"/>
  <c r="A17" i="19" s="1"/>
  <c r="A18" i="7"/>
  <c r="A17" i="4"/>
  <c r="A18" i="4" s="1"/>
  <c r="A17" i="2"/>
  <c r="A18" i="2" s="1"/>
  <c r="A9" i="8" l="1"/>
  <c r="A21" i="3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29" i="12"/>
  <c r="A56" i="5"/>
  <c r="A57" i="5" s="1"/>
  <c r="A18" i="19"/>
  <c r="A19" i="19" s="1"/>
  <c r="A21" i="9"/>
  <c r="A19" i="7"/>
  <c r="A19" i="4"/>
  <c r="A19" i="2"/>
  <c r="A10" i="8" l="1"/>
  <c r="A11" i="8" s="1"/>
  <c r="A9" i="17"/>
  <c r="A55" i="3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30" i="12"/>
  <c r="A58" i="5"/>
  <c r="A59" i="5" s="1"/>
  <c r="A60" i="5" s="1"/>
  <c r="A61" i="5" s="1"/>
  <c r="A62" i="5" s="1"/>
  <c r="A63" i="5" s="1"/>
  <c r="A64" i="5" s="1"/>
  <c r="A20" i="19"/>
  <c r="A22" i="9"/>
  <c r="A20" i="7"/>
  <c r="A20" i="4"/>
  <c r="A20" i="2"/>
  <c r="A12" i="8" l="1"/>
  <c r="A14" i="8" s="1"/>
  <c r="A13" i="8"/>
  <c r="A15" i="8" s="1"/>
  <c r="A10" i="17"/>
  <c r="A9" i="31"/>
  <c r="A65" i="5"/>
  <c r="A66" i="5" s="1"/>
  <c r="A67" i="5" s="1"/>
  <c r="A68" i="5" s="1"/>
  <c r="A15" i="21"/>
  <c r="A31" i="12"/>
  <c r="A21" i="16"/>
  <c r="A21" i="19"/>
  <c r="A23" i="9"/>
  <c r="A21" i="7"/>
  <c r="A21" i="4"/>
  <c r="A21" i="2"/>
  <c r="A11" i="17" l="1"/>
  <c r="A16" i="8"/>
  <c r="A10" i="31"/>
  <c r="A17" i="8"/>
  <c r="A18" i="8" s="1"/>
  <c r="A19" i="8" s="1"/>
  <c r="A20" i="8" s="1"/>
  <c r="A12" i="17"/>
  <c r="A22" i="16"/>
  <c r="A23" i="16" s="1"/>
  <c r="A24" i="16" s="1"/>
  <c r="A25" i="16" s="1"/>
  <c r="A26" i="16" s="1"/>
  <c r="A16" i="21"/>
  <c r="A17" i="21" s="1"/>
  <c r="A18" i="21" s="1"/>
  <c r="A32" i="12"/>
  <c r="A33" i="12" s="1"/>
  <c r="A14" i="20"/>
  <c r="A22" i="19"/>
  <c r="A24" i="9"/>
  <c r="A22" i="7"/>
  <c r="A22" i="4"/>
  <c r="A22" i="2"/>
  <c r="A11" i="31" l="1"/>
  <c r="A21" i="8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13" i="17"/>
  <c r="A27" i="16"/>
  <c r="A28" i="16" s="1"/>
  <c r="A29" i="16" s="1"/>
  <c r="A30" i="16" s="1"/>
  <c r="A31" i="16" s="1"/>
  <c r="A32" i="16" s="1"/>
  <c r="A33" i="16" s="1"/>
  <c r="A19" i="21"/>
  <c r="A37" i="12"/>
  <c r="A15" i="20"/>
  <c r="A16" i="20" s="1"/>
  <c r="A17" i="20" s="1"/>
  <c r="A18" i="20" s="1"/>
  <c r="A23" i="19"/>
  <c r="A25" i="9"/>
  <c r="A23" i="7"/>
  <c r="A23" i="4"/>
  <c r="A23" i="2"/>
  <c r="A34" i="16" l="1"/>
  <c r="A35" i="16" s="1"/>
  <c r="A12" i="31"/>
  <c r="A14" i="17"/>
  <c r="A9" i="34"/>
  <c r="A20" i="21"/>
  <c r="A21" i="21" s="1"/>
  <c r="A22" i="21" s="1"/>
  <c r="A19" i="20"/>
  <c r="A24" i="19"/>
  <c r="A26" i="9"/>
  <c r="A24" i="7"/>
  <c r="A24" i="4"/>
  <c r="A24" i="2"/>
  <c r="A13" i="31" l="1"/>
  <c r="A10" i="34"/>
  <c r="A15" i="17"/>
  <c r="A16" i="17" s="1"/>
  <c r="A17" i="17"/>
  <c r="A18" i="17" s="1"/>
  <c r="A23" i="21"/>
  <c r="A24" i="21" s="1"/>
  <c r="A20" i="20"/>
  <c r="A25" i="19"/>
  <c r="A27" i="9"/>
  <c r="A25" i="7"/>
  <c r="A25" i="4"/>
  <c r="A25" i="2"/>
  <c r="A11" i="34" l="1"/>
  <c r="A12" i="34"/>
  <c r="A14" i="31"/>
  <c r="A31" i="21"/>
  <c r="A36" i="21" s="1"/>
  <c r="A25" i="21"/>
  <c r="A26" i="21" s="1"/>
  <c r="A27" i="21" s="1"/>
  <c r="A19" i="17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7" i="8"/>
  <c r="A21" i="20"/>
  <c r="A22" i="20" s="1"/>
  <c r="A23" i="20" s="1"/>
  <c r="A24" i="20" s="1"/>
  <c r="A25" i="20" s="1"/>
  <c r="A26" i="20" s="1"/>
  <c r="A27" i="20" s="1"/>
  <c r="A28" i="20" s="1"/>
  <c r="A29" i="20" s="1"/>
  <c r="A26" i="19"/>
  <c r="A28" i="9"/>
  <c r="A26" i="7"/>
  <c r="A26" i="4"/>
  <c r="A26" i="2"/>
  <c r="A15" i="31" l="1"/>
  <c r="A37" i="21"/>
  <c r="A38" i="21" s="1"/>
  <c r="A39" i="21" s="1"/>
  <c r="A40" i="21" s="1"/>
  <c r="A13" i="34"/>
  <c r="A27" i="19"/>
  <c r="A29" i="9"/>
  <c r="A27" i="7"/>
  <c r="A27" i="4"/>
  <c r="A27" i="2"/>
  <c r="A16" i="31" l="1"/>
  <c r="A17" i="31" s="1"/>
  <c r="A14" i="34"/>
  <c r="A18" i="3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28" i="19"/>
  <c r="A30" i="9"/>
  <c r="A28" i="7"/>
  <c r="A28" i="4"/>
  <c r="A28" i="2"/>
  <c r="A78" i="31" l="1"/>
  <c r="A91" i="31" s="1"/>
  <c r="A92" i="31" s="1"/>
  <c r="A15" i="34"/>
  <c r="A17" i="34" s="1"/>
  <c r="A16" i="34"/>
  <c r="A33" i="20"/>
  <c r="A34" i="20" s="1"/>
  <c r="A29" i="19"/>
  <c r="A31" i="9"/>
  <c r="A29" i="7"/>
  <c r="A29" i="4"/>
  <c r="A29" i="2"/>
  <c r="A18" i="34" l="1"/>
  <c r="A19" i="34" s="1"/>
  <c r="A20" i="34" s="1"/>
  <c r="A21" i="34" s="1"/>
  <c r="A35" i="17"/>
  <c r="A38" i="20"/>
  <c r="A30" i="19"/>
  <c r="A32" i="9"/>
  <c r="A30" i="7"/>
  <c r="A30" i="4"/>
  <c r="A30" i="2"/>
  <c r="G12" i="4"/>
  <c r="G33" i="4"/>
  <c r="K23" i="4" s="1"/>
  <c r="G21" i="4"/>
  <c r="K19" i="4" s="1"/>
  <c r="G36" i="4"/>
  <c r="G14" i="4"/>
  <c r="G38" i="4"/>
  <c r="G35" i="4"/>
  <c r="G26" i="4"/>
  <c r="G18" i="4"/>
  <c r="G25" i="4"/>
  <c r="K20" i="4" s="1"/>
  <c r="G28" i="4"/>
  <c r="G9" i="4"/>
  <c r="G19" i="4"/>
  <c r="K18" i="4" s="1"/>
  <c r="G16" i="4"/>
  <c r="G24" i="4"/>
  <c r="G30" i="4"/>
  <c r="G34" i="4"/>
  <c r="K24" i="4" s="1"/>
  <c r="G29" i="4"/>
  <c r="G13" i="4"/>
  <c r="G20" i="4"/>
  <c r="G17" i="4"/>
  <c r="G32" i="4"/>
  <c r="K22" i="4" s="1"/>
  <c r="G31" i="4"/>
  <c r="G37" i="4"/>
  <c r="K25" i="4" s="1"/>
  <c r="G10" i="4"/>
  <c r="K14" i="4" s="1"/>
  <c r="G15" i="4"/>
  <c r="G22" i="4"/>
  <c r="G27" i="4"/>
  <c r="K21" i="4" s="1"/>
  <c r="G23" i="4"/>
  <c r="G11" i="4"/>
  <c r="K13" i="4" s="1"/>
  <c r="A22" i="34" l="1"/>
  <c r="A23" i="34" s="1"/>
  <c r="A24" i="34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38" i="34" s="1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50" i="34" s="1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2" i="34" s="1"/>
  <c r="A63" i="34" s="1"/>
  <c r="A64" i="34" s="1"/>
  <c r="A65" i="34" s="1"/>
  <c r="A66" i="34" s="1"/>
  <c r="A67" i="34" s="1"/>
  <c r="A68" i="34" s="1"/>
  <c r="A69" i="34" s="1"/>
  <c r="A70" i="34" s="1"/>
  <c r="A71" i="34" s="1"/>
  <c r="K17" i="4"/>
  <c r="K15" i="4"/>
  <c r="K16" i="4"/>
  <c r="K12" i="4"/>
  <c r="K10" i="4"/>
  <c r="K11" i="4"/>
  <c r="G39" i="4"/>
  <c r="G49" i="4" s="1"/>
  <c r="K9" i="4"/>
  <c r="A31" i="19"/>
  <c r="A33" i="9"/>
  <c r="A31" i="7"/>
  <c r="A31" i="4"/>
  <c r="A31" i="2"/>
  <c r="A75" i="34" l="1"/>
  <c r="A32" i="19"/>
  <c r="A34" i="9"/>
  <c r="A32" i="7"/>
  <c r="A32" i="4"/>
  <c r="A32" i="2"/>
  <c r="A33" i="19" l="1"/>
  <c r="A35" i="9"/>
  <c r="A33" i="7"/>
  <c r="A33" i="4"/>
  <c r="A33" i="2"/>
  <c r="A34" i="19" l="1"/>
  <c r="A36" i="9"/>
  <c r="A34" i="7"/>
  <c r="A34" i="4"/>
  <c r="A34" i="2"/>
  <c r="A35" i="19" l="1"/>
  <c r="A37" i="9"/>
  <c r="A35" i="7"/>
  <c r="A35" i="4"/>
  <c r="A35" i="2"/>
  <c r="A92" i="34" l="1"/>
  <c r="A93" i="34" s="1"/>
  <c r="A36" i="19"/>
  <c r="A38" i="9"/>
  <c r="A36" i="7"/>
  <c r="A36" i="4"/>
  <c r="A36" i="2"/>
  <c r="A37" i="19" l="1"/>
  <c r="A39" i="9"/>
  <c r="A37" i="7"/>
  <c r="A37" i="4"/>
  <c r="A37" i="2"/>
  <c r="A38" i="19" l="1"/>
  <c r="A40" i="9"/>
  <c r="A38" i="7"/>
  <c r="A38" i="4"/>
  <c r="A42" i="4" s="1"/>
  <c r="A38" i="2"/>
  <c r="A39" i="19" l="1"/>
  <c r="A41" i="9"/>
  <c r="A39" i="7"/>
  <c r="A39" i="2"/>
  <c r="A40" i="19" l="1"/>
  <c r="A42" i="9"/>
  <c r="A40" i="7"/>
  <c r="A40" i="2"/>
  <c r="A41" i="19" l="1"/>
  <c r="A43" i="9"/>
  <c r="A41" i="7"/>
  <c r="A41" i="2"/>
  <c r="A42" i="19" l="1"/>
  <c r="A44" i="9"/>
  <c r="A42" i="7"/>
  <c r="A42" i="2"/>
  <c r="G9" i="6"/>
  <c r="K10" i="6" l="1"/>
  <c r="K11" i="6"/>
  <c r="G94" i="6"/>
  <c r="K9" i="6"/>
  <c r="A43" i="19"/>
  <c r="A45" i="9"/>
  <c r="A43" i="7"/>
  <c r="A43" i="2"/>
  <c r="L36" i="6" l="1"/>
  <c r="A44" i="19"/>
  <c r="A46" i="9"/>
  <c r="A44" i="7"/>
  <c r="G112" i="6"/>
  <c r="A44" i="2"/>
  <c r="A45" i="19" l="1"/>
  <c r="A47" i="9"/>
  <c r="A45" i="7"/>
  <c r="A45" i="2"/>
  <c r="A46" i="19" l="1"/>
  <c r="A48" i="9"/>
  <c r="A46" i="7"/>
  <c r="A46" i="2"/>
  <c r="A47" i="19" l="1"/>
  <c r="A49" i="9"/>
  <c r="A47" i="7"/>
  <c r="A47" i="2"/>
  <c r="A48" i="19" l="1"/>
  <c r="A50" i="9"/>
  <c r="A48" i="7"/>
  <c r="A48" i="2"/>
  <c r="A49" i="19" l="1"/>
  <c r="A51" i="9"/>
  <c r="A49" i="7"/>
  <c r="A50" i="7" s="1"/>
  <c r="A51" i="7" s="1"/>
  <c r="A52" i="7" s="1"/>
  <c r="A49" i="2"/>
  <c r="A53" i="7" l="1"/>
  <c r="A54" i="7" s="1"/>
  <c r="A55" i="7" s="1"/>
  <c r="A56" i="7" s="1"/>
  <c r="A57" i="7" s="1"/>
  <c r="A58" i="7" s="1"/>
  <c r="A50" i="19"/>
  <c r="A52" i="9"/>
  <c r="A50" i="2"/>
  <c r="A59" i="7" l="1"/>
  <c r="A60" i="7" s="1"/>
  <c r="A51" i="19"/>
  <c r="A53" i="9"/>
  <c r="A51" i="2"/>
  <c r="A61" i="7" l="1"/>
  <c r="A62" i="7" s="1"/>
  <c r="A63" i="7" s="1"/>
  <c r="A64" i="7" s="1"/>
  <c r="A65" i="7" s="1"/>
  <c r="A66" i="7" s="1"/>
  <c r="A67" i="7" s="1"/>
  <c r="A68" i="7" s="1"/>
  <c r="A52" i="19"/>
  <c r="A54" i="9"/>
  <c r="A52" i="2"/>
  <c r="A72" i="7" l="1"/>
  <c r="A53" i="19"/>
  <c r="A55" i="9"/>
  <c r="A53" i="2"/>
  <c r="A73" i="7" l="1"/>
  <c r="A54" i="19"/>
  <c r="A56" i="9"/>
  <c r="A54" i="2"/>
  <c r="A55" i="19" l="1"/>
  <c r="A57" i="9"/>
  <c r="A55" i="2"/>
  <c r="A56" i="19" l="1"/>
  <c r="A58" i="9"/>
  <c r="A56" i="2"/>
  <c r="A57" i="19" l="1"/>
  <c r="A59" i="9"/>
  <c r="A57" i="2"/>
  <c r="A58" i="19" l="1"/>
  <c r="A60" i="9"/>
  <c r="A58" i="2"/>
  <c r="A59" i="19" l="1"/>
  <c r="A60" i="19" s="1"/>
  <c r="A61" i="19" s="1"/>
  <c r="A62" i="19" s="1"/>
  <c r="A63" i="19" s="1"/>
  <c r="A61" i="9"/>
  <c r="A59" i="2"/>
  <c r="A62" i="9" l="1"/>
  <c r="A60" i="2"/>
  <c r="A68" i="19" l="1"/>
  <c r="A63" i="9"/>
  <c r="A61" i="2"/>
  <c r="A64" i="9" l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62" i="2"/>
  <c r="A72" i="19" l="1"/>
  <c r="A73" i="19" s="1"/>
  <c r="A74" i="19" s="1"/>
  <c r="A63" i="2"/>
  <c r="A75" i="19" l="1"/>
  <c r="A76" i="19" s="1"/>
  <c r="A64" i="2"/>
  <c r="A77" i="19" l="1"/>
  <c r="A78" i="19" s="1"/>
  <c r="A79" i="19" s="1"/>
  <c r="A65" i="2"/>
  <c r="A66" i="2" s="1"/>
  <c r="A67" i="2" s="1"/>
  <c r="A68" i="2" s="1"/>
  <c r="A69" i="2" s="1"/>
  <c r="A70" i="2" s="1"/>
  <c r="A71" i="2" s="1"/>
  <c r="A72" i="2" s="1"/>
  <c r="A73" i="2" s="1"/>
  <c r="A74" i="2" s="1"/>
  <c r="A84" i="19" l="1"/>
  <c r="A85" i="19" s="1"/>
  <c r="A86" i="19" s="1"/>
  <c r="A87" i="19" l="1"/>
  <c r="A88" i="19" s="1"/>
  <c r="A89" i="19" s="1"/>
  <c r="A90" i="19" s="1"/>
  <c r="A91" i="19" l="1"/>
  <c r="A92" i="19" l="1"/>
  <c r="A93" i="19" s="1"/>
  <c r="A94" i="19" s="1"/>
  <c r="A95" i="19" l="1"/>
  <c r="A96" i="19" s="1"/>
  <c r="A97" i="19" s="1"/>
  <c r="A98" i="19" s="1"/>
  <c r="A99" i="19" s="1"/>
  <c r="A100" i="19" s="1"/>
  <c r="A101" i="19" s="1"/>
  <c r="A105" i="19" l="1"/>
  <c r="A109" i="19" s="1"/>
  <c r="A110" i="19" s="1"/>
  <c r="A111" i="19" s="1"/>
  <c r="A112" i="19" s="1"/>
  <c r="A113" i="19" s="1"/>
  <c r="A117" i="19" l="1"/>
  <c r="A72" i="5" l="1"/>
  <c r="A73" i="5" s="1"/>
  <c r="A74" i="5" s="1"/>
  <c r="A75" i="5" s="1"/>
  <c r="A76" i="5" s="1"/>
  <c r="A80" i="5" s="1"/>
  <c r="A121" i="19" l="1"/>
  <c r="A84" i="5" l="1"/>
  <c r="A97" i="6" l="1"/>
  <c r="A98" i="6" s="1"/>
  <c r="A99" i="6" s="1"/>
  <c r="A78" i="2"/>
  <c r="A79" i="2" s="1"/>
  <c r="A80" i="2" s="1"/>
  <c r="A81" i="2" s="1"/>
  <c r="A82" i="2" s="1"/>
  <c r="A103" i="6" l="1"/>
  <c r="A104" i="6" s="1"/>
  <c r="A105" i="6" s="1"/>
  <c r="A83" i="2"/>
  <c r="A84" i="2" s="1"/>
  <c r="A88" i="2" s="1"/>
  <c r="A89" i="2" s="1"/>
  <c r="A91" i="17" l="1"/>
  <c r="A92" i="17" l="1"/>
  <c r="A93" i="17" s="1"/>
  <c r="A94" i="17" s="1"/>
  <c r="A98" i="17" l="1"/>
  <c r="A103" i="17" s="1"/>
  <c r="A104" i="17" l="1"/>
  <c r="A105" i="17" s="1"/>
  <c r="A106" i="17" s="1"/>
  <c r="A107" i="17" s="1"/>
  <c r="A108" i="17" l="1"/>
  <c r="A109" i="17" s="1"/>
  <c r="A69" i="8"/>
  <c r="A70" i="8" l="1"/>
  <c r="A71" i="8" s="1"/>
  <c r="A113" i="17"/>
  <c r="A75" i="8" l="1"/>
  <c r="A79" i="8" s="1"/>
  <c r="A84" i="8" l="1"/>
  <c r="A85" i="8" s="1"/>
  <c r="A86" i="8" s="1"/>
  <c r="A87" i="8" s="1"/>
  <c r="A88" i="8" s="1"/>
  <c r="A63" i="36"/>
  <c r="A89" i="8" l="1"/>
  <c r="A64" i="36"/>
  <c r="A65" i="36" s="1"/>
  <c r="A66" i="36" l="1"/>
  <c r="A67" i="36" s="1"/>
  <c r="A71" i="36" s="1"/>
  <c r="A93" i="8"/>
  <c r="G65" i="36" l="1"/>
  <c r="L20" i="36" s="1"/>
  <c r="G71" i="36"/>
  <c r="L10" i="36" s="1"/>
  <c r="G63" i="36"/>
  <c r="L12" i="36" s="1"/>
  <c r="G64" i="36"/>
  <c r="L15" i="36" s="1"/>
  <c r="G9" i="36"/>
  <c r="G59" i="36" l="1"/>
  <c r="L8" i="36"/>
  <c r="G72" i="36"/>
  <c r="G68" i="36"/>
  <c r="G78" i="36" l="1"/>
  <c r="G20" i="8" l="1"/>
  <c r="L17" i="8" s="1"/>
  <c r="G17" i="8"/>
  <c r="L12" i="8" s="1"/>
  <c r="G18" i="8"/>
  <c r="L24" i="8" s="1"/>
  <c r="G19" i="8"/>
  <c r="G79" i="8"/>
  <c r="G80" i="8" s="1"/>
  <c r="G84" i="8"/>
  <c r="G14" i="8"/>
  <c r="L22" i="8" s="1"/>
  <c r="G86" i="8"/>
  <c r="G12" i="8"/>
  <c r="G9" i="8"/>
  <c r="G93" i="8"/>
  <c r="L21" i="8" s="1"/>
  <c r="G16" i="8"/>
  <c r="G88" i="8"/>
  <c r="G10" i="8"/>
  <c r="G13" i="8"/>
  <c r="G87" i="8"/>
  <c r="L23" i="8" s="1"/>
  <c r="G11" i="8"/>
  <c r="L41" i="8" s="1"/>
  <c r="G85" i="8"/>
  <c r="G75" i="8"/>
  <c r="L26" i="8" s="1"/>
  <c r="G69" i="8"/>
  <c r="L14" i="8" s="1"/>
  <c r="G15" i="8"/>
  <c r="L15" i="8" l="1"/>
  <c r="L9" i="8"/>
  <c r="L49" i="8"/>
  <c r="L18" i="8"/>
  <c r="L11" i="8"/>
  <c r="L16" i="8"/>
  <c r="L45" i="8"/>
  <c r="L51" i="8"/>
  <c r="L39" i="8"/>
  <c r="L47" i="8"/>
  <c r="L53" i="8"/>
  <c r="L37" i="8"/>
  <c r="L43" i="8"/>
  <c r="G34" i="8"/>
  <c r="L13" i="8"/>
  <c r="G94" i="8"/>
  <c r="G76" i="8"/>
  <c r="G90" i="8"/>
  <c r="G72" i="8"/>
  <c r="G100" i="8" l="1"/>
</calcChain>
</file>

<file path=xl/sharedStrings.xml><?xml version="1.0" encoding="utf-8"?>
<sst xmlns="http://schemas.openxmlformats.org/spreadsheetml/2006/main" count="5088" uniqueCount="802">
  <si>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</si>
  <si>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</si>
  <si>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</si>
  <si>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</si>
  <si>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</si>
  <si>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</si>
  <si>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Maturity Date</t>
  </si>
  <si>
    <t>ISIN</t>
  </si>
  <si>
    <t>EQUITY &amp; EQUITY RELATED</t>
  </si>
  <si>
    <t>Banks</t>
  </si>
  <si>
    <t>INE090A01021</t>
  </si>
  <si>
    <t>Percent</t>
  </si>
  <si>
    <t>INE040A01026</t>
  </si>
  <si>
    <t>Software</t>
  </si>
  <si>
    <t>INE009A01021</t>
  </si>
  <si>
    <t>State Bank of India</t>
  </si>
  <si>
    <t>INE062A01020</t>
  </si>
  <si>
    <t>Cement</t>
  </si>
  <si>
    <t>INE467B01029</t>
  </si>
  <si>
    <t>Auto</t>
  </si>
  <si>
    <t>INE155A01022</t>
  </si>
  <si>
    <t>Pharmaceuticals</t>
  </si>
  <si>
    <t>Finance</t>
  </si>
  <si>
    <t>INE860A01027</t>
  </si>
  <si>
    <t>Consumer Non Durables</t>
  </si>
  <si>
    <t>INE001A01036</t>
  </si>
  <si>
    <t>Construction Project</t>
  </si>
  <si>
    <t>INE238A01034</t>
  </si>
  <si>
    <t>Petroleum Products</t>
  </si>
  <si>
    <t>INE002A01018</t>
  </si>
  <si>
    <t>Construction</t>
  </si>
  <si>
    <t>INE823G01014</t>
  </si>
  <si>
    <t>Telecom - Services</t>
  </si>
  <si>
    <t>INE055A01016</t>
  </si>
  <si>
    <t>Power</t>
  </si>
  <si>
    <t>Transportation</t>
  </si>
  <si>
    <t>Auto Ancillaries</t>
  </si>
  <si>
    <t>INE917I01010</t>
  </si>
  <si>
    <t>Bank of Baroda</t>
  </si>
  <si>
    <t>Industrial Products</t>
  </si>
  <si>
    <t>INE028A01039</t>
  </si>
  <si>
    <t>Textile Products</t>
  </si>
  <si>
    <t>INE202B01012</t>
  </si>
  <si>
    <t>Non - Ferrous Metals</t>
  </si>
  <si>
    <t>INE154A01025</t>
  </si>
  <si>
    <t>Gas</t>
  </si>
  <si>
    <t>INE216A01022</t>
  </si>
  <si>
    <t>INE585B01010</t>
  </si>
  <si>
    <t>INE358A01014</t>
  </si>
  <si>
    <t>Minerals/Mining</t>
  </si>
  <si>
    <t>INE175A01038</t>
  </si>
  <si>
    <t>INE481G01011</t>
  </si>
  <si>
    <t>Health Care Equipment</t>
  </si>
  <si>
    <t>INE647A01010</t>
  </si>
  <si>
    <t>Personal Products</t>
  </si>
  <si>
    <t>INE050A01025</t>
  </si>
  <si>
    <t>Travel</t>
  </si>
  <si>
    <t>INE987B01026</t>
  </si>
  <si>
    <t>Paper Products</t>
  </si>
  <si>
    <t>INE406A01037</t>
  </si>
  <si>
    <t>Diversified Financial Services</t>
  </si>
  <si>
    <t>INE220B01022</t>
  </si>
  <si>
    <t>Cash &amp; Equivalent</t>
  </si>
  <si>
    <t>INE397D01024</t>
  </si>
  <si>
    <t>INE389H01022</t>
  </si>
  <si>
    <t>INE383A01012</t>
  </si>
  <si>
    <t>INE044A01036</t>
  </si>
  <si>
    <t>INE059A01026</t>
  </si>
  <si>
    <t>INE171A01029</t>
  </si>
  <si>
    <t>INE018A01030</t>
  </si>
  <si>
    <t>INE549A01026</t>
  </si>
  <si>
    <t>INE821I01014</t>
  </si>
  <si>
    <t>INE053A01029</t>
  </si>
  <si>
    <t>INE399K01017</t>
  </si>
  <si>
    <t>INE439A01020</t>
  </si>
  <si>
    <t>INE775A01035</t>
  </si>
  <si>
    <t>INE522F01014</t>
  </si>
  <si>
    <t>INE094A01015</t>
  </si>
  <si>
    <t>INE267A01025</t>
  </si>
  <si>
    <t>INE136B01020</t>
  </si>
  <si>
    <t>INE151H01018</t>
  </si>
  <si>
    <t>INE852S01026</t>
  </si>
  <si>
    <t>Total</t>
  </si>
  <si>
    <t>INE431E01011</t>
  </si>
  <si>
    <t>INE348C01011</t>
  </si>
  <si>
    <t>INE147E01013</t>
  </si>
  <si>
    <t>INE604A01011</t>
  </si>
  <si>
    <t>INE406B01019</t>
  </si>
  <si>
    <t>MONEY MARKET INSTRUMENT</t>
  </si>
  <si>
    <t>Investment Funds/Mutual Funds</t>
  </si>
  <si>
    <t>CBLO / Reverse Repo Investments</t>
  </si>
  <si>
    <t>Cash &amp; Cash Equivalents</t>
  </si>
  <si>
    <t>Net Receivable/Payable</t>
  </si>
  <si>
    <t>Grand Total</t>
  </si>
  <si>
    <t>INE237A01028</t>
  </si>
  <si>
    <t>Oil</t>
  </si>
  <si>
    <t>INE101A01026</t>
  </si>
  <si>
    <t>INE030A01027</t>
  </si>
  <si>
    <t>Media &amp; Entertainment</t>
  </si>
  <si>
    <t>INE095A01012</t>
  </si>
  <si>
    <t>INE326A01037</t>
  </si>
  <si>
    <t>Industrial Capital Goods</t>
  </si>
  <si>
    <t>Ferrous Metals</t>
  </si>
  <si>
    <t>INE213A01029</t>
  </si>
  <si>
    <t>CRISIL AAA</t>
  </si>
  <si>
    <t>INE089A01023</t>
  </si>
  <si>
    <t>INE021A01026</t>
  </si>
  <si>
    <t>INE075A01022</t>
  </si>
  <si>
    <t>INE158A01026</t>
  </si>
  <si>
    <t>INE669C01036</t>
  </si>
  <si>
    <t>INE752E01010</t>
  </si>
  <si>
    <t>INE733E01010</t>
  </si>
  <si>
    <t>INE742F01042</t>
  </si>
  <si>
    <t>INE029A01011</t>
  </si>
  <si>
    <t>INE256A01028</t>
  </si>
  <si>
    <t>INE129A01019</t>
  </si>
  <si>
    <t>INE079A01024</t>
  </si>
  <si>
    <t>INE081A01012</t>
  </si>
  <si>
    <t>INE012A01025</t>
  </si>
  <si>
    <t>INE038A01020</t>
  </si>
  <si>
    <t>BONDS &amp; NCDs</t>
  </si>
  <si>
    <t>INE070A01015</t>
  </si>
  <si>
    <t>INE259A01022</t>
  </si>
  <si>
    <t>IN9155A01020</t>
  </si>
  <si>
    <t>Principal Dividend Yield Fund</t>
  </si>
  <si>
    <t>INE118A01012</t>
  </si>
  <si>
    <t>Pesticides</t>
  </si>
  <si>
    <t>Chemicals</t>
  </si>
  <si>
    <t>INE439L01019</t>
  </si>
  <si>
    <t>INE710A01016</t>
  </si>
  <si>
    <t>INE246F01010</t>
  </si>
  <si>
    <t>INE603J01030</t>
  </si>
  <si>
    <t>INE092A01019</t>
  </si>
  <si>
    <t>INE759J01022</t>
  </si>
  <si>
    <t>DERIVATIVES</t>
  </si>
  <si>
    <t>Principal Emerging Bluechip Fund</t>
  </si>
  <si>
    <t>INE066A01013</t>
  </si>
  <si>
    <t>Consumer Durables</t>
  </si>
  <si>
    <t>INE685A01028</t>
  </si>
  <si>
    <t>INE883A01011</t>
  </si>
  <si>
    <t>INE399G01015</t>
  </si>
  <si>
    <t>Textiles - Cotton</t>
  </si>
  <si>
    <t>INE235A01022</t>
  </si>
  <si>
    <t>INE226A01021</t>
  </si>
  <si>
    <t>INE100A01010</t>
  </si>
  <si>
    <t>INE825A01012</t>
  </si>
  <si>
    <t>INE176A01028</t>
  </si>
  <si>
    <t>INE180K01011</t>
  </si>
  <si>
    <t>INE212H01026</t>
  </si>
  <si>
    <t>INE628A01036</t>
  </si>
  <si>
    <t>Principal Personal Tax Saver Fund</t>
  </si>
  <si>
    <t>INE181A01010</t>
  </si>
  <si>
    <t>CRISIL A1+</t>
  </si>
  <si>
    <t>Principal Tax Savings Fund</t>
  </si>
  <si>
    <t>Principal Global Opportunities Fund</t>
  </si>
  <si>
    <t>Canara Bank</t>
  </si>
  <si>
    <t>CARE AAA</t>
  </si>
  <si>
    <t>Treasury Bill</t>
  </si>
  <si>
    <t>CENTRAL GOVERNMENT SECURITIES</t>
  </si>
  <si>
    <t>Principal Cash Management Fund</t>
  </si>
  <si>
    <t>CARE AA+</t>
  </si>
  <si>
    <t>INE242A01010</t>
  </si>
  <si>
    <t>INE347G01014</t>
  </si>
  <si>
    <t>INE302A01020</t>
  </si>
  <si>
    <t>INE036A01016</t>
  </si>
  <si>
    <t>INE424H01027</t>
  </si>
  <si>
    <t>INE476A01014</t>
  </si>
  <si>
    <t>INE614G01033</t>
  </si>
  <si>
    <t>Quantity</t>
  </si>
  <si>
    <t>Overseas ETF</t>
  </si>
  <si>
    <t>Units of Mutual Fund / Units Trust</t>
  </si>
  <si>
    <t>**Thinly traded/Non traded securities and illiquid securities as defined in SEBI Regulations and Guidelines.</t>
  </si>
  <si>
    <t>*** Value below 0.01% of NAV</t>
  </si>
  <si>
    <t>$$ lliquid securities</t>
  </si>
  <si>
    <t># Valued at Nil as these equity shares have been pending under objection for considerable period of time.</t>
  </si>
  <si>
    <t>Principal Dynamic Bond Fund</t>
  </si>
  <si>
    <t>HDFC Bank Ltd.</t>
  </si>
  <si>
    <t>Infosys Ltd.</t>
  </si>
  <si>
    <t>Reliance Industries Ltd.</t>
  </si>
  <si>
    <t>ICICI Bank Ltd.</t>
  </si>
  <si>
    <t>Tata Motors Ltd.</t>
  </si>
  <si>
    <t>HCL Technologies Ltd.</t>
  </si>
  <si>
    <t>Housing Development Finance Corporation Ltd.</t>
  </si>
  <si>
    <t>Bajaj Auto Ltd.</t>
  </si>
  <si>
    <t>Century Textiles &amp; Industries Ltd.</t>
  </si>
  <si>
    <t>ITC Ltd.</t>
  </si>
  <si>
    <t>Dewan Housing Finance Corporation Ltd.</t>
  </si>
  <si>
    <t>Britannia Industries Ltd.</t>
  </si>
  <si>
    <t>Ultratech Cement Ltd.</t>
  </si>
  <si>
    <t>Abbott India Ltd.</t>
  </si>
  <si>
    <t>Jain Irrigation Systems Ltd.</t>
  </si>
  <si>
    <t>JK Cement Ltd.</t>
  </si>
  <si>
    <t>Cipla Ltd.</t>
  </si>
  <si>
    <t>Maruti Suzuki India Ltd.</t>
  </si>
  <si>
    <t>SRF Ltd.</t>
  </si>
  <si>
    <t>The Indian Hotels Company Ltd.</t>
  </si>
  <si>
    <t>Kotak Mahindra Bank Ltd.</t>
  </si>
  <si>
    <t>Natco Pharma Ltd.</t>
  </si>
  <si>
    <t>Bharti Airtel Ltd.</t>
  </si>
  <si>
    <t>Aurobindo Pharma Ltd.</t>
  </si>
  <si>
    <t>Tata Consultancy Services Ltd.</t>
  </si>
  <si>
    <t>Axis Bank Ltd.</t>
  </si>
  <si>
    <t>IRB Infrastructure Developers Ltd.</t>
  </si>
  <si>
    <t>Rattanindia Power Ltd.</t>
  </si>
  <si>
    <t>Kalpataru Power Transmission Ltd.</t>
  </si>
  <si>
    <t>Jet Airways (India) Ltd.</t>
  </si>
  <si>
    <t>INE802G01018</t>
  </si>
  <si>
    <t>The Federal Bank Ltd.</t>
  </si>
  <si>
    <t>KEC International Ltd.</t>
  </si>
  <si>
    <t>Larsen &amp; Toubro Ltd.</t>
  </si>
  <si>
    <t>Motherson Sumi Systems Ltd.</t>
  </si>
  <si>
    <t>Indraprastha Gas Ltd.</t>
  </si>
  <si>
    <t>Coal India Ltd.</t>
  </si>
  <si>
    <t>Hindustan Petroleum Corporation Ltd.</t>
  </si>
  <si>
    <t>Hindustan Zinc Ltd.</t>
  </si>
  <si>
    <t>United Spirits Ltd.</t>
  </si>
  <si>
    <t>Hindustan Unilever Ltd.</t>
  </si>
  <si>
    <t>Mahindra &amp; Mahindra Ltd.</t>
  </si>
  <si>
    <t>IndusInd Bank Ltd.</t>
  </si>
  <si>
    <t>Lupin Ltd.</t>
  </si>
  <si>
    <t>Oil &amp; Natural Gas Corporation Ltd.</t>
  </si>
  <si>
    <t>Dr. Reddy's Laboratories Ltd.</t>
  </si>
  <si>
    <t>Asian Paints Ltd.</t>
  </si>
  <si>
    <t>Wipro Ltd.</t>
  </si>
  <si>
    <t>Power Grid Corporation of India Ltd.</t>
  </si>
  <si>
    <t>Hero MotoCorp Ltd.</t>
  </si>
  <si>
    <t>Tech Mahindra Ltd.</t>
  </si>
  <si>
    <t>NTPC Ltd.</t>
  </si>
  <si>
    <t>Yes Bank Ltd.</t>
  </si>
  <si>
    <t>Bharat Petroleum Corporation Ltd.</t>
  </si>
  <si>
    <t>Zee Entertainment Enterprises Ltd.</t>
  </si>
  <si>
    <t>Adani Ports and Special Economic Zone Ltd.</t>
  </si>
  <si>
    <t>GAIL (India) Ltd.</t>
  </si>
  <si>
    <t>Tata Steel Ltd.</t>
  </si>
  <si>
    <t>Ambuja Cements Ltd.</t>
  </si>
  <si>
    <t>ACC Ltd.</t>
  </si>
  <si>
    <t>Hindalco Industries Ltd.</t>
  </si>
  <si>
    <t>Colgate Palmolive (India) Ltd.</t>
  </si>
  <si>
    <t>Bharat Electronics Ltd.</t>
  </si>
  <si>
    <t>Dalmia Bharat Ltd.</t>
  </si>
  <si>
    <t>VST Industries Ltd.</t>
  </si>
  <si>
    <t>Gujarat State Petronet Ltd.</t>
  </si>
  <si>
    <t>PI Industries Ltd.</t>
  </si>
  <si>
    <t>Tata Chemicals Ltd.</t>
  </si>
  <si>
    <t>Cyient Ltd.</t>
  </si>
  <si>
    <t>Eicher Motors Ltd.</t>
  </si>
  <si>
    <t>Torrent Pharmaceuticals Ltd.</t>
  </si>
  <si>
    <t>Bajaj Finance Ltd.</t>
  </si>
  <si>
    <t>MRF Ltd.</t>
  </si>
  <si>
    <t>Mold-Tek Packaging Ltd.</t>
  </si>
  <si>
    <t>Voltas Ltd.</t>
  </si>
  <si>
    <t>Vardhman Textiles Ltd.</t>
  </si>
  <si>
    <t>Ramkrishna Forgings Ltd.</t>
  </si>
  <si>
    <t>Bata India Ltd.</t>
  </si>
  <si>
    <t>Atul Ltd.</t>
  </si>
  <si>
    <t>AIA Engineering Ltd.</t>
  </si>
  <si>
    <t>UPL Ltd.</t>
  </si>
  <si>
    <t>Petronet LNG Ltd.</t>
  </si>
  <si>
    <t>INE513A01014</t>
  </si>
  <si>
    <t>Indian Oil Corporation Ltd.</t>
  </si>
  <si>
    <t>Finolex Cables Ltd.</t>
  </si>
  <si>
    <t>[ICRA]A1+</t>
  </si>
  <si>
    <t>Cox &amp; Kings Ltd.</t>
  </si>
  <si>
    <t>[ICRA]AA</t>
  </si>
  <si>
    <t>IN0020120054</t>
  </si>
  <si>
    <t>Reliance Infrastructure Ltd.</t>
  </si>
  <si>
    <t>Exide Industries Ltd.</t>
  </si>
  <si>
    <t>Sun TV Network Ltd.</t>
  </si>
  <si>
    <t>Reliance Power Ltd.</t>
  </si>
  <si>
    <t>INF173K01GP0</t>
  </si>
  <si>
    <t>INF173K01FS6</t>
  </si>
  <si>
    <t>Privately Placed / Unlisted $$ **</t>
  </si>
  <si>
    <t>Listed / awaiting listing on the stock exchanges **</t>
  </si>
  <si>
    <t>Commercial Paper **</t>
  </si>
  <si>
    <t>@Pending Listing on Stock Exchange</t>
  </si>
  <si>
    <t>Bombay Burmah Trading Corporation Ltd.</t>
  </si>
  <si>
    <t>Asahi India Glass Ltd.</t>
  </si>
  <si>
    <t>The India Cements Ltd.</t>
  </si>
  <si>
    <t>Bajaj Holdings &amp; Investment Ltd.</t>
  </si>
  <si>
    <t>Navin Fluorine International Ltd.</t>
  </si>
  <si>
    <t>INE893J01029</t>
  </si>
  <si>
    <t>8.12% Government of India Security</t>
  </si>
  <si>
    <t>Bajaj Electricals Ltd.</t>
  </si>
  <si>
    <t>INE193E01025</t>
  </si>
  <si>
    <t>Hindustan Construction Company Ltd.</t>
  </si>
  <si>
    <t>Mutual Fund</t>
  </si>
  <si>
    <t>City Union Bank Ltd.</t>
  </si>
  <si>
    <t>INE491A01021</t>
  </si>
  <si>
    <t>Stock Future</t>
  </si>
  <si>
    <t>Bharti Infratel Ltd.</t>
  </si>
  <si>
    <t>INE121J01017</t>
  </si>
  <si>
    <t>PRINCIPAL ARBITRAGE FUND</t>
  </si>
  <si>
    <t>Principal Low Duration Fund</t>
  </si>
  <si>
    <t>INE658R07141</t>
  </si>
  <si>
    <t>Principal Low Duration Fund - Direct Plan - Growth Option</t>
  </si>
  <si>
    <t>IDFC Ltd.</t>
  </si>
  <si>
    <t>INE043D01016</t>
  </si>
  <si>
    <t>Birla Corporation Ltd.</t>
  </si>
  <si>
    <t>INE340A01012</t>
  </si>
  <si>
    <t>NBCC (India) Ltd.</t>
  </si>
  <si>
    <t>Principal Equity Savings Fund</t>
  </si>
  <si>
    <t>Ashok Leyland Ltd.</t>
  </si>
  <si>
    <t>INE208A01029</t>
  </si>
  <si>
    <t>Telecom -  Equipment &amp; Accessories</t>
  </si>
  <si>
    <t>Phillips Carbon Black Ltd.</t>
  </si>
  <si>
    <t>Bharat Financial Inclusion Ltd.</t>
  </si>
  <si>
    <t>Indiabulls Housing Finance Ltd.</t>
  </si>
  <si>
    <t>INE148I01020</t>
  </si>
  <si>
    <t>INF173K01DA9</t>
  </si>
  <si>
    <t>Orient Paper &amp; Industries Ltd.</t>
  </si>
  <si>
    <t>INE592A01026</t>
  </si>
  <si>
    <t>S. P. Apparels Ltd.</t>
  </si>
  <si>
    <t>INE212I01016</t>
  </si>
  <si>
    <t>TCI Express Ltd.</t>
  </si>
  <si>
    <t>9.10% Dewan Housing Finance Corporation Ltd.</t>
  </si>
  <si>
    <t>BWR AAA</t>
  </si>
  <si>
    <t>INE296A01024</t>
  </si>
  <si>
    <t>INE586V01016</t>
  </si>
  <si>
    <t>Rico Auto Industries Ltd.</t>
  </si>
  <si>
    <t>INE209B01025</t>
  </si>
  <si>
    <t>YW01</t>
  </si>
  <si>
    <t>CBLO</t>
  </si>
  <si>
    <t/>
  </si>
  <si>
    <t>YW02</t>
  </si>
  <si>
    <t>YW04</t>
  </si>
  <si>
    <t>YW05</t>
  </si>
  <si>
    <t>YW06</t>
  </si>
  <si>
    <t>YW07</t>
  </si>
  <si>
    <t>YW08</t>
  </si>
  <si>
    <t>YW09</t>
  </si>
  <si>
    <t>YW10</t>
  </si>
  <si>
    <t>YW11</t>
  </si>
  <si>
    <t>YW12</t>
  </si>
  <si>
    <t>YW14</t>
  </si>
  <si>
    <t>YW16</t>
  </si>
  <si>
    <t>YW18</t>
  </si>
  <si>
    <t>YW19</t>
  </si>
  <si>
    <t>YW20</t>
  </si>
  <si>
    <t>YW21</t>
  </si>
  <si>
    <t>YW22</t>
  </si>
  <si>
    <t>YW46</t>
  </si>
  <si>
    <t>YW47</t>
  </si>
  <si>
    <t>YW48</t>
  </si>
  <si>
    <t>YW49</t>
  </si>
  <si>
    <t>INE016A01026</t>
  </si>
  <si>
    <t>Dabur India Ltd.</t>
  </si>
  <si>
    <t>INE148I07FX0</t>
  </si>
  <si>
    <t>Tata Motors Ltd. A-DVR</t>
  </si>
  <si>
    <t>Aarti Industries Ltd.</t>
  </si>
  <si>
    <t>INE769A01020</t>
  </si>
  <si>
    <t>Himatsingka Seide Ltd.</t>
  </si>
  <si>
    <t>INE049A01027</t>
  </si>
  <si>
    <t>PVR Ltd.</t>
  </si>
  <si>
    <t>INE191H01014</t>
  </si>
  <si>
    <t>Sovereign</t>
  </si>
  <si>
    <t>INE036D01028</t>
  </si>
  <si>
    <t>Listed / awaiting listing on the stock exchanges</t>
  </si>
  <si>
    <t>INE733E07KB4</t>
  </si>
  <si>
    <t>Chambal Fertilisers and Chemicals Ltd.</t>
  </si>
  <si>
    <t>INE085A01013</t>
  </si>
  <si>
    <t>Fertilisers</t>
  </si>
  <si>
    <t>8.80% Indiabulls Housing Finance Ltd.</t>
  </si>
  <si>
    <t>INE148I07FQ4</t>
  </si>
  <si>
    <t>INE202B07IJ3</t>
  </si>
  <si>
    <t>IT Consulting &amp; Services</t>
  </si>
  <si>
    <t>Sun Pharmaceutical Industries Ltd.</t>
  </si>
  <si>
    <t>CL Educate Ltd.</t>
  </si>
  <si>
    <t>INE201M01011</t>
  </si>
  <si>
    <t>Diversified Consumer Services</t>
  </si>
  <si>
    <t>JSW Steel Ltd.</t>
  </si>
  <si>
    <t>INE019A01038</t>
  </si>
  <si>
    <t>INE556F08IV6</t>
  </si>
  <si>
    <t>INE202B07HQ0</t>
  </si>
  <si>
    <t>STATE GOVERNMENT SECURITIES</t>
  </si>
  <si>
    <t>INE514E08BS9</t>
  </si>
  <si>
    <t>Vedanta Ltd.</t>
  </si>
  <si>
    <t>INE205A01025</t>
  </si>
  <si>
    <t>INE263A01024</t>
  </si>
  <si>
    <t>Himadri Speciality Chemical Ltd.</t>
  </si>
  <si>
    <t>INE019C01026</t>
  </si>
  <si>
    <t>Principal Cash Management Fund - Growth Option</t>
  </si>
  <si>
    <t>CRISIL AA</t>
  </si>
  <si>
    <t>9.05% Dewan Housing Finance Corporation Ltd.</t>
  </si>
  <si>
    <t>Magma Fincorp Ltd.</t>
  </si>
  <si>
    <t>INE511C01022</t>
  </si>
  <si>
    <t>INE001A07QE5</t>
  </si>
  <si>
    <t>Milestone Global Ltd. **</t>
  </si>
  <si>
    <t>Apollo Tyres Ltd. #</t>
  </si>
  <si>
    <t>Muthoot Finance Ltd.</t>
  </si>
  <si>
    <t>INE414G01012</t>
  </si>
  <si>
    <t>PSP Projects Ltd.</t>
  </si>
  <si>
    <t>INE488V01015</t>
  </si>
  <si>
    <t>INE087P07071</t>
  </si>
  <si>
    <t>6.84% Government of India Security</t>
  </si>
  <si>
    <t>IN0020160050</t>
  </si>
  <si>
    <t>INE385W01011</t>
  </si>
  <si>
    <t>BEML Ltd.</t>
  </si>
  <si>
    <t>INE258A01016</t>
  </si>
  <si>
    <t>Uflex Ltd.</t>
  </si>
  <si>
    <t>INE516A01017</t>
  </si>
  <si>
    <t>Ganesha Ecosphere Ltd.</t>
  </si>
  <si>
    <t>INE845D01014</t>
  </si>
  <si>
    <t>Textiles - Synthetic</t>
  </si>
  <si>
    <t>Escorts Ltd.</t>
  </si>
  <si>
    <t>INE042A01014</t>
  </si>
  <si>
    <t>8.15% Piramal Enterprises Ltd.</t>
  </si>
  <si>
    <t>INE140A07344</t>
  </si>
  <si>
    <t>Hotels, Resorts and Other Recreational Activities</t>
  </si>
  <si>
    <t>Raymond Ltd.</t>
  </si>
  <si>
    <t>INE301A01014</t>
  </si>
  <si>
    <t>Shriram Transport Finance Company Ltd.</t>
  </si>
  <si>
    <t>INE721A01013</t>
  </si>
  <si>
    <t>L&amp;T Technology Services Ltd.</t>
  </si>
  <si>
    <t>INE010V01017</t>
  </si>
  <si>
    <t>Grasim Industries Ltd.</t>
  </si>
  <si>
    <t>INE047A01021</t>
  </si>
  <si>
    <t>INE048G01026</t>
  </si>
  <si>
    <t>Apollo Tyres Ltd.</t>
  </si>
  <si>
    <t>INE438A01022</t>
  </si>
  <si>
    <t>Paper</t>
  </si>
  <si>
    <t>Mahindra &amp; Mahindra Financial Services Ltd.</t>
  </si>
  <si>
    <t>INE774D01024</t>
  </si>
  <si>
    <t>SREI Equipment Finance Ltd.</t>
  </si>
  <si>
    <t>INE523H07841</t>
  </si>
  <si>
    <t>7.50% Power Finance Corporation Ltd.</t>
  </si>
  <si>
    <t>INE134E08IW3</t>
  </si>
  <si>
    <t>ITD Cementation India Ltd.</t>
  </si>
  <si>
    <t>INE686A01026</t>
  </si>
  <si>
    <t>Bajaj Finserv Ltd.</t>
  </si>
  <si>
    <t>INE918I01018</t>
  </si>
  <si>
    <t>Oil India Ltd.</t>
  </si>
  <si>
    <t>INE274J01014</t>
  </si>
  <si>
    <t>HEG Ltd.</t>
  </si>
  <si>
    <t>INE545A01016</t>
  </si>
  <si>
    <t>Schaeffler India Ltd.</t>
  </si>
  <si>
    <t>Security and Intelligence Services (I) Ltd.</t>
  </si>
  <si>
    <t>INE285J01010</t>
  </si>
  <si>
    <t>Commercial Services</t>
  </si>
  <si>
    <t>Container Corporation of India Ltd.</t>
  </si>
  <si>
    <t>8.70% JM Financial Products Ltd.</t>
  </si>
  <si>
    <t>INE202B07IK1</t>
  </si>
  <si>
    <t>INE069R07117</t>
  </si>
  <si>
    <t>INE155A08365</t>
  </si>
  <si>
    <t>***</t>
  </si>
  <si>
    <t>INE528G01027</t>
  </si>
  <si>
    <t>Dishman Carbogen Amcis Ltd.</t>
  </si>
  <si>
    <t>Rain Industries Ltd.</t>
  </si>
  <si>
    <t>INE855B01025</t>
  </si>
  <si>
    <t>National Aluminium Company Ltd.</t>
  </si>
  <si>
    <t>INE139A01034</t>
  </si>
  <si>
    <t>Vijaya Bank</t>
  </si>
  <si>
    <t>INE705A01016</t>
  </si>
  <si>
    <t>Graphite India Ltd.</t>
  </si>
  <si>
    <t>INE371A01025</t>
  </si>
  <si>
    <t>Dixon Technologies (India) Ltd.</t>
  </si>
  <si>
    <t>INE935N01012</t>
  </si>
  <si>
    <t>INE008I14JK1</t>
  </si>
  <si>
    <t>National Bank for Agriculture and Rural Development</t>
  </si>
  <si>
    <t>HCL Infosystems Ltd.</t>
  </si>
  <si>
    <t>[ICRA]A1</t>
  </si>
  <si>
    <t>INE261F08907</t>
  </si>
  <si>
    <t>INE002A08476</t>
  </si>
  <si>
    <t>Chennai Super Kings Ltd. @**</t>
  </si>
  <si>
    <t>BWR A1+</t>
  </si>
  <si>
    <t>TBILL 91 DAYS 2018</t>
  </si>
  <si>
    <t>INE001A07PT5</t>
  </si>
  <si>
    <t>Tata Power Company Ltd.</t>
  </si>
  <si>
    <t>INE245A01021</t>
  </si>
  <si>
    <t>GlaxoSmithKline Consumer Healthcare Ltd.</t>
  </si>
  <si>
    <t>INE264A01014</t>
  </si>
  <si>
    <t>Steel Authority of India Ltd.</t>
  </si>
  <si>
    <t>INE114A01011</t>
  </si>
  <si>
    <t>INE203G01027</t>
  </si>
  <si>
    <t>Shankara Building Products Ltd.</t>
  </si>
  <si>
    <t>INE274V01019</t>
  </si>
  <si>
    <t>Parag Milk Foods Ltd.</t>
  </si>
  <si>
    <t>INE883N01014</t>
  </si>
  <si>
    <t>INE008I14KL7</t>
  </si>
  <si>
    <t>INE008I14KK9</t>
  </si>
  <si>
    <t>INE936D07067</t>
  </si>
  <si>
    <t>INE752E07BB3</t>
  </si>
  <si>
    <t>Karur Vysya Bank Ltd.</t>
  </si>
  <si>
    <t>Syndicate Bank</t>
  </si>
  <si>
    <t>INE667A01018</t>
  </si>
  <si>
    <t>Kirloskar Ferrous Industries Ltd.</t>
  </si>
  <si>
    <t>INE884B01025</t>
  </si>
  <si>
    <t>Sasken Technologies Ltd.</t>
  </si>
  <si>
    <t>INE231F01020</t>
  </si>
  <si>
    <t>Amara Raja Batteries Ltd.</t>
  </si>
  <si>
    <t>INE110L07054</t>
  </si>
  <si>
    <t>INE053F09FU0</t>
  </si>
  <si>
    <t>DLF Ltd.</t>
  </si>
  <si>
    <t>INE271C01023</t>
  </si>
  <si>
    <t>Reliance Capital Ltd.</t>
  </si>
  <si>
    <t>INE013A01015</t>
  </si>
  <si>
    <t>INE001A07QV9</t>
  </si>
  <si>
    <t>INF173K01FX6</t>
  </si>
  <si>
    <t>IND A (SO)</t>
  </si>
  <si>
    <t>CARE AA+ (SO)</t>
  </si>
  <si>
    <t>All corporate ratings are assigned by rating agencies like CRISIL; CARE; ICRA; IND; BRW.</t>
  </si>
  <si>
    <t>Shree Cement Ltd.</t>
  </si>
  <si>
    <t>Texmaco Rail &amp; Engineering Ltd.</t>
  </si>
  <si>
    <t>INE621L01012</t>
  </si>
  <si>
    <t>INE124N07085</t>
  </si>
  <si>
    <t>INE140A07369</t>
  </si>
  <si>
    <t>CESC Ltd.</t>
  </si>
  <si>
    <t>INE486A01013</t>
  </si>
  <si>
    <t>Dish TV India Ltd.</t>
  </si>
  <si>
    <t>INE836F01026</t>
  </si>
  <si>
    <t>Industry / Rating</t>
  </si>
  <si>
    <t>Interglobe Aviation Ltd.</t>
  </si>
  <si>
    <t>INE646L01027</t>
  </si>
  <si>
    <t>Sterlite Technologies Ltd.</t>
  </si>
  <si>
    <t>INE089C01029</t>
  </si>
  <si>
    <t>Avanse Financial Services Ltd.</t>
  </si>
  <si>
    <t>Cash Future Arbitrage</t>
  </si>
  <si>
    <t>Gayatri Projects Ltd.</t>
  </si>
  <si>
    <t>INE336H01023</t>
  </si>
  <si>
    <t>Bandhan Bank Ltd.</t>
  </si>
  <si>
    <t>INE545U01014</t>
  </si>
  <si>
    <t>Rural Electrification Corporation Ltd.</t>
  </si>
  <si>
    <t>INE020B14516</t>
  </si>
  <si>
    <t>8.55% Indiabulls Housing Finance Ltd.</t>
  </si>
  <si>
    <t>9.20% Avanse Financial Services Ltd.</t>
  </si>
  <si>
    <t>10.35% Ess Kay Fincorp Ltd.</t>
  </si>
  <si>
    <t>Sprit Infrapower &amp; Multiventures Pvt. Ltd. (ZCB)</t>
  </si>
  <si>
    <t>INE428Q08040</t>
  </si>
  <si>
    <t>[ICRA]A-</t>
  </si>
  <si>
    <t>INE090A08UB4</t>
  </si>
  <si>
    <t>[ICRA]AA+</t>
  </si>
  <si>
    <t>7.35% Government of India Security</t>
  </si>
  <si>
    <t>IN0020090034</t>
  </si>
  <si>
    <t>INE557F08FA4</t>
  </si>
  <si>
    <t>INE134E08JO8</t>
  </si>
  <si>
    <t>IL&amp;FS Financial Services Ltd.</t>
  </si>
  <si>
    <t>Piramal Enterprises Ltd.</t>
  </si>
  <si>
    <t>Certificate of Deposit **</t>
  </si>
  <si>
    <t>Principal Multi Cap Growth Fund</t>
  </si>
  <si>
    <t>INE602A01023</t>
  </si>
  <si>
    <t>ICICI Prudential Life Insurance Company Ltd.</t>
  </si>
  <si>
    <t>INE726G01019</t>
  </si>
  <si>
    <t>Titan Company Ltd.</t>
  </si>
  <si>
    <t>INE280A01028</t>
  </si>
  <si>
    <t>Cadila Healthcare Ltd.</t>
  </si>
  <si>
    <t>INE010B01027</t>
  </si>
  <si>
    <t>INE095N01031</t>
  </si>
  <si>
    <t>INE238A161A6</t>
  </si>
  <si>
    <t>8.75% Muthoot Finance Ltd.</t>
  </si>
  <si>
    <t>INE414G07CM0</t>
  </si>
  <si>
    <t>7.37% Government of India Security</t>
  </si>
  <si>
    <t>IN0020180025</t>
  </si>
  <si>
    <t>8.95% Reliance Utilities &amp; Power Private Ltd.</t>
  </si>
  <si>
    <t>INE020B08AN6</t>
  </si>
  <si>
    <t>7.99% Power Finance Corporation Ltd.</t>
  </si>
  <si>
    <t>INE038A07266</t>
  </si>
  <si>
    <t>Aadhar Housing Finance Ltd.</t>
  </si>
  <si>
    <t>Multi Commodity Exchange of India Ltd.</t>
  </si>
  <si>
    <t>INE745G01035</t>
  </si>
  <si>
    <t>TV18 Broadcast Ltd.</t>
  </si>
  <si>
    <t>INE886H01027</t>
  </si>
  <si>
    <t>Unlisted **</t>
  </si>
  <si>
    <t>Balmer Lawrie Freight Containers Ltd.</t>
  </si>
  <si>
    <t>Sangam Health Care Products Ltd.</t>
  </si>
  <si>
    <t>Virtual Dynamics Software Ltd.</t>
  </si>
  <si>
    <t>Noble Brothers Impex Ltd.</t>
  </si>
  <si>
    <t>Precision Fasteners Ltd.</t>
  </si>
  <si>
    <t>Crescent Finstock Ltd.</t>
  </si>
  <si>
    <t>Mukerian Papers Ltd.</t>
  </si>
  <si>
    <t>Western Paques (India) Ltd.</t>
  </si>
  <si>
    <t>Minerava Holdings Ltd.</t>
  </si>
  <si>
    <t>Crystal Cable Industries Ltd.</t>
  </si>
  <si>
    <t>Sandur Laminates Ltd.</t>
  </si>
  <si>
    <t>Tirrihannah Company Ltd.</t>
  </si>
  <si>
    <t>Punjab Wireless Systems Ltd.</t>
  </si>
  <si>
    <t>Principal Nifty 100 Equal Weight Fund</t>
  </si>
  <si>
    <t>Principal Focused Multicap Fund</t>
  </si>
  <si>
    <t>Principal Credit Risk Fund</t>
  </si>
  <si>
    <t>Principal Short Term Debt Fund</t>
  </si>
  <si>
    <t>Principal Corporate Bond Fund</t>
  </si>
  <si>
    <t>Principal Ultra Short Term Fund</t>
  </si>
  <si>
    <t>Principal Short Term Debt Fund - Direct Plan - Growth Option</t>
  </si>
  <si>
    <t>Pidilite Industries Ltd.</t>
  </si>
  <si>
    <t>INE318A01026</t>
  </si>
  <si>
    <t>Avenue Supermarts Ltd.</t>
  </si>
  <si>
    <t>INE192R01011</t>
  </si>
  <si>
    <t>Retailing</t>
  </si>
  <si>
    <t>Havells India Ltd.</t>
  </si>
  <si>
    <t>INE176B01034</t>
  </si>
  <si>
    <t>L&amp;T Finance Holdings Ltd.</t>
  </si>
  <si>
    <t>INE498L01015</t>
  </si>
  <si>
    <t>Bosch Ltd.</t>
  </si>
  <si>
    <t>INE323A01026</t>
  </si>
  <si>
    <t>Godrej Consumer Products Ltd.</t>
  </si>
  <si>
    <t>INE102D01028</t>
  </si>
  <si>
    <t>SBI Life Insurance Company Ltd.</t>
  </si>
  <si>
    <t>INE123W01016</t>
  </si>
  <si>
    <t>Oracle Financial Services Software Ltd.</t>
  </si>
  <si>
    <t>INE881D01027</t>
  </si>
  <si>
    <t>General Insurance Corporation Of India</t>
  </si>
  <si>
    <t>INE481Y01014</t>
  </si>
  <si>
    <t>Bharat Heavy Electricals Ltd.</t>
  </si>
  <si>
    <t>INE257A01026</t>
  </si>
  <si>
    <t>NHPC Ltd.</t>
  </si>
  <si>
    <t>INE848E01016</t>
  </si>
  <si>
    <t>Procter &amp; Gamble Hygiene and Health Care Ltd.</t>
  </si>
  <si>
    <t>INE179A01014</t>
  </si>
  <si>
    <t>Marico Ltd.</t>
  </si>
  <si>
    <t>INE196A01026</t>
  </si>
  <si>
    <t>Aditya Birla Capital Ltd.</t>
  </si>
  <si>
    <t>INE674K01013</t>
  </si>
  <si>
    <t>Emami Ltd.</t>
  </si>
  <si>
    <t>INE548C01032</t>
  </si>
  <si>
    <t>NMDC Ltd.</t>
  </si>
  <si>
    <t>INE584A01023</t>
  </si>
  <si>
    <t>INE140A01024</t>
  </si>
  <si>
    <t>Cummins India Ltd.</t>
  </si>
  <si>
    <t>INE298A01020</t>
  </si>
  <si>
    <t>ABB India Ltd.</t>
  </si>
  <si>
    <t>INE117A01022</t>
  </si>
  <si>
    <t>Siemens Ltd.</t>
  </si>
  <si>
    <t>INE003A01024</t>
  </si>
  <si>
    <t>INE020B01018</t>
  </si>
  <si>
    <t>Power Finance Corporation Ltd.</t>
  </si>
  <si>
    <t>INE134E01011</t>
  </si>
  <si>
    <t>LIC Housing Finance Ltd.</t>
  </si>
  <si>
    <t>INE115A01026</t>
  </si>
  <si>
    <t>Punjab National Bank</t>
  </si>
  <si>
    <t>INE160A01022</t>
  </si>
  <si>
    <t>Idea Cellular Ltd.</t>
  </si>
  <si>
    <t>INE669E01016</t>
  </si>
  <si>
    <t>Jubilant Foodworks Ltd.</t>
  </si>
  <si>
    <t>INE797F01012</t>
  </si>
  <si>
    <t>Thomas Cook (India) Ltd.</t>
  </si>
  <si>
    <t>INE332A01027</t>
  </si>
  <si>
    <t>Services</t>
  </si>
  <si>
    <t>Biocon Ltd.</t>
  </si>
  <si>
    <t>INE376G01013</t>
  </si>
  <si>
    <t>INE556F08JC4</t>
  </si>
  <si>
    <t>PGIF Origin Global Smaller Companies Fund - Usd I Class Accumulation</t>
  </si>
  <si>
    <t>IE00B94VTJ31</t>
  </si>
  <si>
    <t>INE038A07258</t>
  </si>
  <si>
    <t>7.16% Government of India Security</t>
  </si>
  <si>
    <t>IN0020130012</t>
  </si>
  <si>
    <t>8.79% Government of India Security</t>
  </si>
  <si>
    <t>IN0020110030</t>
  </si>
  <si>
    <t>8.88% Export-Import Bank of India</t>
  </si>
  <si>
    <t>7.48% Housing Development Finance Corporation Ltd.</t>
  </si>
  <si>
    <t>7.40% Tata Motors Ltd.</t>
  </si>
  <si>
    <t>7.00% Reliance Industries Ltd.</t>
  </si>
  <si>
    <t>INE871D07MZ9</t>
  </si>
  <si>
    <t>[ICRA]AAA</t>
  </si>
  <si>
    <t>7.50% Small Industries Development Bank of India</t>
  </si>
  <si>
    <t>INE556F08JE0</t>
  </si>
  <si>
    <t>INE850M14745</t>
  </si>
  <si>
    <t>Principal Credit Risk Fund - Direct Plan - Growth Option</t>
  </si>
  <si>
    <t>INE008I14MB4</t>
  </si>
  <si>
    <t>IIFL Home Finance Ltd.</t>
  </si>
  <si>
    <t>INE477L14DI9</t>
  </si>
  <si>
    <t>CBLO / Reverse Repo</t>
  </si>
  <si>
    <t>Principal Balanced Advantage Fund</t>
  </si>
  <si>
    <t>Principal Hybrid Equity Fund</t>
  </si>
  <si>
    <t>Principal Retirement Savings Fund - Moderate Plan</t>
  </si>
  <si>
    <t>Principal Retirement Savings Fund - Conservative Plan</t>
  </si>
  <si>
    <t>Principal Retirement Savings Fund - Progressive Plan</t>
  </si>
  <si>
    <t>INE854D01024</t>
  </si>
  <si>
    <t>INE111A01025</t>
  </si>
  <si>
    <t>NIIT Ltd.</t>
  </si>
  <si>
    <t>INE161A01038</t>
  </si>
  <si>
    <t>Spicejet Ltd.</t>
  </si>
  <si>
    <t>INE285B01017</t>
  </si>
  <si>
    <t>INE686Y01026</t>
  </si>
  <si>
    <t>Jindal Steel &amp; Power Ltd.</t>
  </si>
  <si>
    <t>INE749A01030</t>
  </si>
  <si>
    <t>Future Retail Ltd.</t>
  </si>
  <si>
    <t>INE752P01024</t>
  </si>
  <si>
    <t>IN002018X096</t>
  </si>
  <si>
    <t>8.90% Dewan Housing Finance Corporation Ltd.</t>
  </si>
  <si>
    <t>INE202B07IY2</t>
  </si>
  <si>
    <t>7.60% Vedanta Ltd.</t>
  </si>
  <si>
    <t>INE205A07113</t>
  </si>
  <si>
    <t>INE556F16432</t>
  </si>
  <si>
    <t>INE238A16Z24</t>
  </si>
  <si>
    <t>INE002A14896</t>
  </si>
  <si>
    <t>INE121H14JU3</t>
  </si>
  <si>
    <t>8.10% Reliance Jio Infocomm Ltd.</t>
  </si>
  <si>
    <t>INE236A14HL7</t>
  </si>
  <si>
    <t>INE477L07818</t>
  </si>
  <si>
    <t>8.25% National Bank for Agriculture and Rural Development</t>
  </si>
  <si>
    <t>INE261F08AH9</t>
  </si>
  <si>
    <t>INE087P14515</t>
  </si>
  <si>
    <t>6.98% National Bank for Agriculture and Rural Development</t>
  </si>
  <si>
    <t>IDFC Bank Ltd.</t>
  </si>
  <si>
    <t>INE092T16FL3</t>
  </si>
  <si>
    <t>INE002A14AR5</t>
  </si>
  <si>
    <t>INE881J14NZ9</t>
  </si>
  <si>
    <t>INE121H14JR9</t>
  </si>
  <si>
    <t>INE538L14AV7</t>
  </si>
  <si>
    <t>INE538L14AU9</t>
  </si>
  <si>
    <t>INE087P14499</t>
  </si>
  <si>
    <t>INE261F14CW2</t>
  </si>
  <si>
    <t>IN002018X112</t>
  </si>
  <si>
    <t>Cash Management Bill</t>
  </si>
  <si>
    <t>CMB 45 DAYS 2018</t>
  </si>
  <si>
    <t>IN002018U035</t>
  </si>
  <si>
    <t>-</t>
  </si>
  <si>
    <t>Derivatives   % to Net Assets</t>
  </si>
  <si>
    <t>Portfolio as on July 31, 2018</t>
  </si>
  <si>
    <t>Principal Cash Management Fund - Direct Plan - Growth Option</t>
  </si>
  <si>
    <t>INF173K01GU0</t>
  </si>
  <si>
    <t>NOCIL Ltd.</t>
  </si>
  <si>
    <t>INE163A01018</t>
  </si>
  <si>
    <t>Fine Organic Industries Ltd.</t>
  </si>
  <si>
    <t>International Paper Appm Ltd.</t>
  </si>
  <si>
    <t>INE435A01028</t>
  </si>
  <si>
    <t>Varroc Engineering Ltd.</t>
  </si>
  <si>
    <t>INE665L01035</t>
  </si>
  <si>
    <t>Sheela Foam Ltd.</t>
  </si>
  <si>
    <t>INE916U01025</t>
  </si>
  <si>
    <t>MindTree Ltd.</t>
  </si>
  <si>
    <t>INE018I01017</t>
  </si>
  <si>
    <t>INE885A01032</t>
  </si>
  <si>
    <t>Adani Enterprises Ltd.</t>
  </si>
  <si>
    <t>INE423A01024</t>
  </si>
  <si>
    <t>Trading</t>
  </si>
  <si>
    <t>Wockhardt Ltd.</t>
  </si>
  <si>
    <t>INE049B01025</t>
  </si>
  <si>
    <t>Infina Finance Private Ltd.</t>
  </si>
  <si>
    <t>INE879F14CB5</t>
  </si>
  <si>
    <t>INE040A16CC8</t>
  </si>
  <si>
    <t>IND A1+</t>
  </si>
  <si>
    <t>Edelweiss Agri Value Chain Ltd.</t>
  </si>
  <si>
    <t>INE616U14297</t>
  </si>
  <si>
    <t>10.95% Aspire Home Finance Corporation Ltd.</t>
  </si>
  <si>
    <t>[ICRA]A+</t>
  </si>
  <si>
    <t>BWR AA- (SO)</t>
  </si>
  <si>
    <t>ECL Finance Ltd.</t>
  </si>
  <si>
    <t>INE804I14RX9</t>
  </si>
  <si>
    <t>7.80% Power Finance Corporation Ltd.</t>
  </si>
  <si>
    <t>INE134E08JL4</t>
  </si>
  <si>
    <t>8.85% HDFC Bank Ltd.</t>
  </si>
  <si>
    <t>INE040A08377</t>
  </si>
  <si>
    <t>CRISIL AA+</t>
  </si>
  <si>
    <t>INE538L14BA9</t>
  </si>
  <si>
    <t>8.76% Maharashtra State Government Security</t>
  </si>
  <si>
    <t>IN2220110109</t>
  </si>
  <si>
    <t>INE028A16BA9</t>
  </si>
  <si>
    <t>L&amp;T Housing Finance Ltd.</t>
  </si>
  <si>
    <t>INE476M14BM5</t>
  </si>
  <si>
    <t>Aditya Birla Finance Ltd.</t>
  </si>
  <si>
    <t>INE860H14G68</t>
  </si>
  <si>
    <t>INE881J14OK9</t>
  </si>
  <si>
    <t>Aggregate investments by other schemes of Principal Mutual Fund at the end of the period is Rs.8859.82 Lakhs</t>
  </si>
  <si>
    <t>Aggregate investments by other schemes of Principal Mutual Fund at the end of the period is Rs.1563.79 Lakhs</t>
  </si>
  <si>
    <t>Aggregate investments by other schemes of Principal Mutual Fund at the end of the period is Rs.113.78 Lakhs</t>
  </si>
  <si>
    <t>Aggregate investments by other schemes of Principal Mutual Fund at the end of the period is Rs.1188.53 Lakhs</t>
  </si>
  <si>
    <t>8.90% Dewan Housing Finance Corporation Ltd. **</t>
  </si>
  <si>
    <t>7.60% Vedanta Ltd. **</t>
  </si>
  <si>
    <t>8.70% JM Financial Products Ltd. **</t>
  </si>
  <si>
    <t>8.15% Piramal Enterprises Ltd. **</t>
  </si>
  <si>
    <t>9.10% Dewan Housing Finance Corporation Ltd. **</t>
  </si>
  <si>
    <t>8.80% Indiabulls Housing Finance Ltd. **</t>
  </si>
  <si>
    <t>Certificate of Deposit</t>
  </si>
  <si>
    <t>Small Industries Development Bank of India **</t>
  </si>
  <si>
    <t>Axis Bank Ltd. **</t>
  </si>
  <si>
    <t>11.55% Suryoday Small Finance Bank Ltd. **</t>
  </si>
  <si>
    <t>8.65% IIFL Home Finance Ltd. **</t>
  </si>
  <si>
    <t>9.55% Hindalco Industries Ltd. **</t>
  </si>
  <si>
    <t>9.05% Dewan Housing Finance Corporation Ltd. **</t>
  </si>
  <si>
    <t>8.10% Reliance Jio Infocomm Ltd. **</t>
  </si>
  <si>
    <t>10.35% Ess Kay Fincorp Ltd. **</t>
  </si>
  <si>
    <t>8.13% Piramal Enterprises Ltd. **</t>
  </si>
  <si>
    <t>8.55% Indian Railway Finance Corporation Ltd. **</t>
  </si>
  <si>
    <t>7.25% Small Industries Development Bank of India **</t>
  </si>
  <si>
    <t>8.10% NTPC Ltd. **</t>
  </si>
  <si>
    <t>7.59% National Housing Bank **</t>
  </si>
  <si>
    <t>6.99% Rural Electrification Corporation Ltd. **</t>
  </si>
  <si>
    <t>9.20% Avanse Financial Services Ltd. **</t>
  </si>
  <si>
    <t>7.80% Power Finance Corporation Ltd. **</t>
  </si>
  <si>
    <t>8.55% Indiabulls Housing Finance Ltd. **</t>
  </si>
  <si>
    <t>11.00% Infrastructure Leasing &amp; Financial Services Ltd. **</t>
  </si>
  <si>
    <t>7.99% Power Finance Corporation Ltd. **</t>
  </si>
  <si>
    <t>8.25% National Bank for Agriculture and Rural Development **</t>
  </si>
  <si>
    <t>8.75% Muthoot Finance Ltd. **</t>
  </si>
  <si>
    <t>9.25% Power Grid Corporation of India Ltd. **</t>
  </si>
  <si>
    <t>7.00% Reliance Industries Ltd. **</t>
  </si>
  <si>
    <t>7.85% Small Industries Development Bank of India **</t>
  </si>
  <si>
    <t>7.50% Small Industries Development Bank of India **</t>
  </si>
  <si>
    <t>7.40% Tata Motors Ltd. **</t>
  </si>
  <si>
    <t>8.95% Reliance Utilities &amp; Power Private Ltd. **</t>
  </si>
  <si>
    <t>7.21% Housing Development Finance Corporation Ltd. **</t>
  </si>
  <si>
    <t>7.65% Housing Development Finance Corporation Ltd. **</t>
  </si>
  <si>
    <t>9.15% ICICI Bank Ltd. **</t>
  </si>
  <si>
    <t>10.95% Aspire Home Finance Corporation Ltd. **</t>
  </si>
  <si>
    <t>Commercial Paper</t>
  </si>
  <si>
    <t>Infina Finance Private Ltd. **</t>
  </si>
  <si>
    <t>Northern Arc Capital Ltd. **</t>
  </si>
  <si>
    <t>Aadhar Housing Finance Ltd. **</t>
  </si>
  <si>
    <t>Cox &amp; Kings Ltd. **</t>
  </si>
  <si>
    <t>IL&amp;FS Financial Services Ltd. **</t>
  </si>
  <si>
    <t>HCL Infosystems Ltd. **</t>
  </si>
  <si>
    <t>ECL Finance Ltd. **</t>
  </si>
  <si>
    <t>Bank of Baroda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</si>
</sst>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 * #,##0.00_ ;_ * \-#,##0.00_ ;_ * &quot;-&quot;??_ ;_ @_ "/>
    <numFmt numFmtId="165" formatCode="[$-409]dd\-mmm\-yy;@"/>
    <numFmt numFmtId="166" formatCode="_ * #,##0_)_£_ ;_ * \(#,##0\)_£_ ;_ * &quot;-&quot;??_)_£_ ;_ @_ "/>
    <numFmt numFmtId="167" formatCode="dd\-mmm\-yyyy"/>
    <numFmt numFmtId="168" formatCode="_(* #,##0_);_(* \(#,##0\);_(* &quot;-&quot;??_);_(@_)"/>
    <numFmt numFmtId="169" formatCode="0.0000%"/>
    <numFmt numFmtId="170" formatCode="0.000%"/>
    <numFmt numFmtId="171" formatCode="0.000"/>
    <numFmt numFmtId="172" formatCode="0.000000%"/>
    <numFmt numFmtId="173" formatCode="#,##0.000"/>
    <numFmt numFmtId="174" formatCode="#,##0.000000000000_ ;\-#,##0.000000000000\ "/>
    <numFmt numFmtId="175" formatCode="##0.00_);\(##0.00\)%"/>
  </numFmts>
  <fonts count="18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color indexed="9"/>
      <name val="Times New Roman"/>
      <family val="1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theme="0"/>
      <name val="Arial"/>
      <family val="2"/>
    </font>
    <font>
      <b/>
      <sz val="10"/>
      <color indexed="62"/>
      <name val="Arial"/>
      <family val="2"/>
    </font>
    <font>
      <sz val="10"/>
      <color indexed="6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4" fillId="0" borderId="0" xfId="0" applyFont="1"/>
    <xf numFmtId="14" fontId="7" fillId="0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right"/>
    </xf>
    <xf numFmtId="10" fontId="10" fillId="0" borderId="1" xfId="4" applyNumberFormat="1" applyFont="1" applyFill="1" applyBorder="1" applyAlignment="1">
      <alignment horizontal="right"/>
    </xf>
    <xf numFmtId="0" fontId="10" fillId="0" borderId="1" xfId="0" applyFont="1" applyFill="1" applyBorder="1" applyAlignment="1">
      <alignment horizontal="center"/>
    </xf>
    <xf numFmtId="14" fontId="7" fillId="0" borderId="1" xfId="0" applyNumberFormat="1" applyFont="1" applyFill="1" applyBorder="1" applyAlignment="1"/>
    <xf numFmtId="0" fontId="5" fillId="2" borderId="1" xfId="0" applyFont="1" applyFill="1" applyBorder="1" applyAlignment="1">
      <alignment horizontal="center" vertical="top" wrapText="1"/>
    </xf>
    <xf numFmtId="166" fontId="5" fillId="2" borderId="1" xfId="1" applyNumberFormat="1" applyFont="1" applyFill="1" applyBorder="1" applyAlignment="1">
      <alignment horizontal="center" vertical="top" wrapText="1"/>
    </xf>
    <xf numFmtId="39" fontId="5" fillId="2" borderId="1" xfId="1" applyNumberFormat="1" applyFont="1" applyFill="1" applyBorder="1" applyAlignment="1">
      <alignment horizontal="center" vertical="top" wrapText="1"/>
    </xf>
    <xf numFmtId="10" fontId="5" fillId="2" borderId="1" xfId="4" applyNumberFormat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167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167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67" fontId="13" fillId="2" borderId="0" xfId="0" applyNumberFormat="1" applyFont="1" applyFill="1"/>
    <xf numFmtId="168" fontId="5" fillId="2" borderId="1" xfId="1" applyNumberFormat="1" applyFont="1" applyFill="1" applyBorder="1" applyAlignment="1">
      <alignment horizontal="center" vertical="top" wrapText="1"/>
    </xf>
    <xf numFmtId="168" fontId="7" fillId="0" borderId="1" xfId="1" applyNumberFormat="1" applyFont="1" applyFill="1" applyBorder="1" applyAlignment="1">
      <alignment horizontal="center"/>
    </xf>
    <xf numFmtId="168" fontId="0" fillId="0" borderId="0" xfId="1" applyNumberFormat="1" applyFont="1"/>
    <xf numFmtId="168" fontId="12" fillId="3" borderId="0" xfId="1" applyNumberFormat="1" applyFont="1" applyFill="1"/>
    <xf numFmtId="168" fontId="13" fillId="2" borderId="0" xfId="1" applyNumberFormat="1" applyFont="1" applyFill="1"/>
    <xf numFmtId="0" fontId="11" fillId="0" borderId="0" xfId="0" applyFont="1" applyFill="1"/>
    <xf numFmtId="167" fontId="5" fillId="2" borderId="2" xfId="1" applyNumberFormat="1" applyFont="1" applyFill="1" applyBorder="1" applyAlignment="1">
      <alignment horizontal="center" vertical="top" wrapText="1"/>
    </xf>
    <xf numFmtId="0" fontId="4" fillId="0" borderId="0" xfId="0" applyFont="1" applyFill="1" applyBorder="1"/>
    <xf numFmtId="43" fontId="8" fillId="0" borderId="0" xfId="1" applyFont="1" applyFill="1" applyBorder="1" applyAlignment="1">
      <alignment horizontal="center" vertical="top" wrapText="1"/>
    </xf>
    <xf numFmtId="0" fontId="11" fillId="0" borderId="0" xfId="0" applyFont="1" applyFill="1" applyBorder="1"/>
    <xf numFmtId="10" fontId="0" fillId="0" borderId="0" xfId="4" applyNumberFormat="1" applyFont="1"/>
    <xf numFmtId="10" fontId="12" fillId="0" borderId="0" xfId="4" applyNumberFormat="1" applyFont="1" applyBorder="1" applyAlignment="1">
      <alignment horizontal="left" vertical="top"/>
    </xf>
    <xf numFmtId="168" fontId="0" fillId="0" borderId="0" xfId="1" applyNumberFormat="1" applyFont="1" applyFill="1"/>
    <xf numFmtId="4" fontId="11" fillId="0" borderId="0" xfId="0" applyNumberFormat="1" applyFont="1" applyFill="1" applyBorder="1"/>
    <xf numFmtId="3" fontId="0" fillId="0" borderId="0" xfId="0" applyNumberFormat="1"/>
    <xf numFmtId="164" fontId="4" fillId="0" borderId="0" xfId="0" applyNumberFormat="1" applyFont="1" applyFill="1" applyBorder="1"/>
    <xf numFmtId="4" fontId="0" fillId="0" borderId="0" xfId="0" applyNumberFormat="1"/>
    <xf numFmtId="43" fontId="0" fillId="0" borderId="0" xfId="1" applyFont="1"/>
    <xf numFmtId="39" fontId="0" fillId="0" borderId="0" xfId="0" applyNumberFormat="1" applyFill="1"/>
    <xf numFmtId="10" fontId="0" fillId="0" borderId="0" xfId="0" applyNumberFormat="1" applyFill="1"/>
    <xf numFmtId="0" fontId="0" fillId="0" borderId="0" xfId="0" applyFill="1"/>
    <xf numFmtId="167" fontId="0" fillId="0" borderId="0" xfId="0" applyNumberFormat="1" applyFill="1"/>
    <xf numFmtId="10" fontId="0" fillId="0" borderId="0" xfId="4" applyNumberFormat="1" applyFont="1" applyFill="1"/>
    <xf numFmtId="10" fontId="11" fillId="0" borderId="0" xfId="0" applyNumberFormat="1" applyFont="1" applyFill="1" applyBorder="1"/>
    <xf numFmtId="43" fontId="12" fillId="3" borderId="0" xfId="1" applyFont="1" applyFill="1"/>
    <xf numFmtId="10" fontId="12" fillId="3" borderId="0" xfId="0" applyNumberFormat="1" applyFont="1" applyFill="1" applyAlignment="1">
      <alignment horizontal="right"/>
    </xf>
    <xf numFmtId="168" fontId="0" fillId="0" borderId="0" xfId="0" applyNumberFormat="1"/>
    <xf numFmtId="0" fontId="11" fillId="0" borderId="0" xfId="0" quotePrefix="1" applyFont="1"/>
    <xf numFmtId="10" fontId="14" fillId="0" borderId="0" xfId="0" applyNumberFormat="1" applyFont="1"/>
    <xf numFmtId="169" fontId="11" fillId="0" borderId="0" xfId="0" applyNumberFormat="1" applyFont="1" applyFill="1" applyBorder="1"/>
    <xf numFmtId="169" fontId="4" fillId="0" borderId="0" xfId="0" applyNumberFormat="1" applyFont="1" applyFill="1" applyBorder="1"/>
    <xf numFmtId="168" fontId="4" fillId="0" borderId="0" xfId="1" applyNumberFormat="1" applyFont="1"/>
    <xf numFmtId="39" fontId="4" fillId="0" borderId="0" xfId="0" applyNumberFormat="1" applyFont="1"/>
    <xf numFmtId="10" fontId="4" fillId="0" borderId="0" xfId="0" applyNumberFormat="1" applyFont="1"/>
    <xf numFmtId="167" fontId="4" fillId="0" borderId="0" xfId="0" applyNumberFormat="1" applyFont="1"/>
    <xf numFmtId="10" fontId="4" fillId="0" borderId="0" xfId="4" applyNumberFormat="1" applyFont="1"/>
    <xf numFmtId="2" fontId="0" fillId="0" borderId="0" xfId="0" applyNumberFormat="1"/>
    <xf numFmtId="0" fontId="11" fillId="4" borderId="0" xfId="0" applyFont="1" applyFill="1" applyBorder="1"/>
    <xf numFmtId="15" fontId="4" fillId="0" borderId="0" xfId="0" applyNumberFormat="1" applyFont="1" applyFill="1" applyBorder="1"/>
    <xf numFmtId="0" fontId="1" fillId="0" borderId="0" xfId="0" applyFont="1"/>
    <xf numFmtId="0" fontId="6" fillId="2" borderId="0" xfId="0" applyFont="1" applyFill="1" applyBorder="1" applyAlignment="1">
      <alignment horizontal="left" vertical="center" wrapText="1"/>
    </xf>
    <xf numFmtId="0" fontId="12" fillId="0" borderId="0" xfId="0" applyFont="1" applyFill="1"/>
    <xf numFmtId="168" fontId="12" fillId="0" borderId="0" xfId="1" applyNumberFormat="1" applyFont="1" applyFill="1"/>
    <xf numFmtId="39" fontId="12" fillId="0" borderId="0" xfId="0" applyNumberFormat="1" applyFont="1" applyFill="1"/>
    <xf numFmtId="10" fontId="12" fillId="0" borderId="0" xfId="0" applyNumberFormat="1" applyFont="1" applyFill="1"/>
    <xf numFmtId="167" fontId="12" fillId="0" borderId="0" xfId="0" applyNumberFormat="1" applyFont="1" applyFill="1"/>
    <xf numFmtId="170" fontId="4" fillId="0" borderId="0" xfId="0" applyNumberFormat="1" applyFont="1" applyFill="1" applyBorder="1"/>
    <xf numFmtId="0" fontId="1" fillId="0" borderId="0" xfId="0" applyFont="1" applyFill="1" applyBorder="1"/>
    <xf numFmtId="168" fontId="1" fillId="0" borderId="0" xfId="1" applyNumberFormat="1" applyFont="1" applyFill="1"/>
    <xf numFmtId="39" fontId="1" fillId="0" borderId="0" xfId="0" applyNumberFormat="1" applyFont="1" applyFill="1"/>
    <xf numFmtId="10" fontId="1" fillId="0" borderId="0" xfId="0" applyNumberFormat="1" applyFont="1" applyFill="1"/>
    <xf numFmtId="0" fontId="1" fillId="0" borderId="0" xfId="0" applyFont="1" applyFill="1"/>
    <xf numFmtId="10" fontId="14" fillId="0" borderId="0" xfId="4" applyNumberFormat="1" applyFont="1" applyFill="1"/>
    <xf numFmtId="43" fontId="1" fillId="0" borderId="0" xfId="1" applyFont="1" applyFill="1"/>
    <xf numFmtId="0" fontId="3" fillId="0" borderId="0" xfId="0" applyFont="1" applyBorder="1" applyAlignment="1">
      <alignment horizontal="left" vertical="top"/>
    </xf>
    <xf numFmtId="15" fontId="11" fillId="0" borderId="0" xfId="0" applyNumberFormat="1" applyFont="1" applyFill="1" applyBorder="1"/>
    <xf numFmtId="15" fontId="8" fillId="0" borderId="0" xfId="1" applyNumberFormat="1" applyFont="1" applyFill="1" applyBorder="1" applyAlignment="1">
      <alignment horizontal="center" vertical="top" wrapText="1"/>
    </xf>
    <xf numFmtId="10" fontId="1" fillId="0" borderId="0" xfId="4" applyNumberFormat="1" applyFont="1"/>
    <xf numFmtId="168" fontId="1" fillId="0" borderId="0" xfId="1" applyNumberFormat="1" applyFont="1"/>
    <xf numFmtId="39" fontId="1" fillId="0" borderId="0" xfId="0" applyNumberFormat="1" applyFont="1"/>
    <xf numFmtId="171" fontId="0" fillId="0" borderId="0" xfId="0" applyNumberFormat="1"/>
    <xf numFmtId="172" fontId="0" fillId="0" borderId="0" xfId="4" applyNumberFormat="1" applyFont="1"/>
    <xf numFmtId="167" fontId="1" fillId="0" borderId="0" xfId="0" applyNumberFormat="1" applyFont="1"/>
    <xf numFmtId="10" fontId="1" fillId="0" borderId="0" xfId="0" applyNumberFormat="1" applyFont="1"/>
    <xf numFmtId="4" fontId="1" fillId="0" borderId="0" xfId="0" applyNumberFormat="1" applyFont="1"/>
    <xf numFmtId="173" fontId="0" fillId="0" borderId="0" xfId="0" applyNumberFormat="1"/>
    <xf numFmtId="0" fontId="1" fillId="0" borderId="0" xfId="0" applyFont="1" applyAlignment="1">
      <alignment horizontal="left"/>
    </xf>
    <xf numFmtId="0" fontId="8" fillId="2" borderId="1" xfId="2" applyFont="1" applyFill="1" applyBorder="1" applyAlignment="1" applyProtection="1">
      <alignment horizontal="center" vertical="center" wrapText="1"/>
    </xf>
    <xf numFmtId="0" fontId="14" fillId="0" borderId="0" xfId="0" applyFont="1"/>
    <xf numFmtId="14" fontId="11" fillId="0" borderId="1" xfId="0" applyNumberFormat="1" applyFont="1" applyFill="1" applyBorder="1" applyAlignment="1">
      <alignment horizontal="center"/>
    </xf>
    <xf numFmtId="168" fontId="0" fillId="0" borderId="0" xfId="0" applyNumberFormat="1" applyFill="1"/>
    <xf numFmtId="14" fontId="1" fillId="0" borderId="0" xfId="0" applyNumberFormat="1" applyFont="1" applyFill="1" applyBorder="1"/>
    <xf numFmtId="15" fontId="1" fillId="0" borderId="0" xfId="0" applyNumberFormat="1" applyFont="1" applyFill="1" applyBorder="1"/>
    <xf numFmtId="174" fontId="0" fillId="0" borderId="0" xfId="0" applyNumberFormat="1"/>
    <xf numFmtId="164" fontId="1" fillId="0" borderId="0" xfId="0" applyNumberFormat="1" applyFont="1" applyFill="1" applyBorder="1"/>
    <xf numFmtId="10" fontId="11" fillId="0" borderId="0" xfId="4" applyNumberFormat="1" applyFont="1" applyBorder="1" applyAlignment="1">
      <alignment horizontal="left" vertical="top"/>
    </xf>
    <xf numFmtId="10" fontId="1" fillId="0" borderId="0" xfId="4" applyNumberFormat="1" applyFont="1" applyFill="1"/>
    <xf numFmtId="167" fontId="1" fillId="0" borderId="0" xfId="0" applyNumberFormat="1" applyFont="1" applyFill="1"/>
    <xf numFmtId="10" fontId="1" fillId="0" borderId="0" xfId="0" applyNumberFormat="1" applyFont="1" applyFill="1" applyBorder="1"/>
    <xf numFmtId="0" fontId="3" fillId="0" borderId="0" xfId="0" applyFont="1" applyFill="1" applyBorder="1" applyAlignment="1">
      <alignment horizontal="left" vertical="top"/>
    </xf>
    <xf numFmtId="10" fontId="4" fillId="0" borderId="0" xfId="0" applyNumberFormat="1" applyFont="1" applyFill="1" applyBorder="1"/>
    <xf numFmtId="10" fontId="11" fillId="0" borderId="0" xfId="0" applyNumberFormat="1" applyFont="1" applyAlignment="1">
      <alignment horizontal="right"/>
    </xf>
    <xf numFmtId="0" fontId="11" fillId="2" borderId="1" xfId="2" applyFont="1" applyFill="1" applyBorder="1" applyAlignment="1" applyProtection="1">
      <alignment horizontal="center" vertical="center" wrapText="1"/>
    </xf>
    <xf numFmtId="14" fontId="11" fillId="0" borderId="1" xfId="0" applyNumberFormat="1" applyFont="1" applyFill="1" applyBorder="1" applyAlignment="1">
      <alignment horizontal="left"/>
    </xf>
    <xf numFmtId="165" fontId="15" fillId="0" borderId="1" xfId="0" applyNumberFormat="1" applyFont="1" applyFill="1" applyBorder="1" applyAlignment="1">
      <alignment horizontal="center"/>
    </xf>
    <xf numFmtId="168" fontId="15" fillId="0" borderId="1" xfId="1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right"/>
    </xf>
    <xf numFmtId="10" fontId="1" fillId="0" borderId="1" xfId="4" applyNumberFormat="1" applyFont="1" applyFill="1" applyBorder="1" applyAlignment="1">
      <alignment horizontal="right"/>
    </xf>
    <xf numFmtId="0" fontId="1" fillId="0" borderId="1" xfId="0" applyFont="1" applyFill="1" applyBorder="1" applyAlignment="1">
      <alignment horizontal="center"/>
    </xf>
    <xf numFmtId="14" fontId="15" fillId="0" borderId="1" xfId="0" applyNumberFormat="1" applyFont="1" applyFill="1" applyBorder="1" applyAlignment="1"/>
    <xf numFmtId="14" fontId="15" fillId="0" borderId="1" xfId="0" applyNumberFormat="1" applyFont="1" applyFill="1" applyBorder="1" applyAlignment="1">
      <alignment horizontal="center"/>
    </xf>
    <xf numFmtId="15" fontId="11" fillId="0" borderId="0" xfId="1" applyNumberFormat="1" applyFont="1" applyFill="1" applyBorder="1" applyAlignment="1">
      <alignment horizontal="center" vertical="top" wrapText="1"/>
    </xf>
    <xf numFmtId="0" fontId="1" fillId="0" borderId="0" xfId="0" applyNumberFormat="1" applyFont="1"/>
    <xf numFmtId="0" fontId="17" fillId="0" borderId="0" xfId="0" applyFont="1"/>
    <xf numFmtId="0" fontId="1" fillId="0" borderId="0" xfId="0" applyFont="1" applyAlignment="1">
      <alignment horizontal="center"/>
    </xf>
    <xf numFmtId="175" fontId="0" fillId="0" borderId="0" xfId="0" applyNumberFormat="1"/>
    <xf numFmtId="10" fontId="11" fillId="4" borderId="0" xfId="0" applyNumberFormat="1" applyFont="1" applyFill="1"/>
    <xf numFmtId="175" fontId="11" fillId="4" borderId="0" xfId="0" applyNumberFormat="1" applyFont="1" applyFill="1"/>
    <xf numFmtId="10" fontId="3" fillId="0" borderId="0" xfId="4" applyNumberFormat="1" applyFont="1" applyBorder="1" applyAlignment="1">
      <alignment horizontal="left" vertical="top"/>
    </xf>
    <xf numFmtId="43" fontId="11" fillId="4" borderId="0" xfId="1" applyFont="1" applyFill="1"/>
    <xf numFmtId="10" fontId="5" fillId="2" borderId="2" xfId="4" applyNumberFormat="1" applyFont="1" applyFill="1" applyBorder="1" applyAlignment="1">
      <alignment horizontal="center" vertical="top" wrapText="1"/>
    </xf>
    <xf numFmtId="175" fontId="1" fillId="0" borderId="0" xfId="0" applyNumberFormat="1" applyFont="1" applyFill="1"/>
    <xf numFmtId="10" fontId="3" fillId="0" borderId="0" xfId="4" applyNumberFormat="1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</cellXfs>
  <cellStyles count="5">
    <cellStyle name="Comma" xfId="1" builtinId="3"/>
    <cellStyle name="Hyperlink" xfId="2" builtinId="8"/>
    <cellStyle name="Normal" xfId="0" builtinId="0"/>
    <cellStyle name="Normal 2" xfId="3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48"/>
  <sheetViews>
    <sheetView tabSelected="1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855468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  <col min="13" max="13" width="17.7109375" bestFit="1" customWidth="1"/>
  </cols>
  <sheetData>
    <row r="1" spans="1:15" ht="18.75" x14ac:dyDescent="0.2">
      <c r="A1" s="93" t="s">
        <v>320</v>
      </c>
      <c r="B1" s="129" t="s">
        <v>537</v>
      </c>
      <c r="C1" s="130"/>
      <c r="D1" s="130"/>
      <c r="E1" s="130"/>
      <c r="F1" s="130"/>
      <c r="G1" s="130"/>
      <c r="H1" s="131"/>
    </row>
    <row r="2" spans="1:15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5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5" ht="12.75" customHeight="1" x14ac:dyDescent="0.2">
      <c r="F5" s="13"/>
      <c r="G5" s="14"/>
      <c r="H5" s="15"/>
    </row>
    <row r="6" spans="1:15" ht="12.75" customHeight="1" x14ac:dyDescent="0.2">
      <c r="F6" s="13"/>
      <c r="G6" s="14"/>
      <c r="H6" s="15"/>
    </row>
    <row r="7" spans="1:15" ht="12.75" customHeight="1" x14ac:dyDescent="0.2">
      <c r="B7" s="16" t="s">
        <v>8</v>
      </c>
      <c r="C7" s="16"/>
      <c r="F7" s="13"/>
      <c r="G7" s="14"/>
      <c r="H7" s="15"/>
    </row>
    <row r="8" spans="1:15" ht="12.75" customHeight="1" x14ac:dyDescent="0.2">
      <c r="B8" s="16" t="s">
        <v>356</v>
      </c>
      <c r="C8" s="16"/>
      <c r="F8" s="13"/>
      <c r="G8" s="14"/>
      <c r="H8" s="15"/>
      <c r="J8" s="17" t="s">
        <v>509</v>
      </c>
      <c r="K8" s="37" t="s">
        <v>11</v>
      </c>
    </row>
    <row r="9" spans="1:15" ht="12.75" customHeight="1" x14ac:dyDescent="0.2">
      <c r="A9">
        <f>+MAX($A$8:A8)+1</f>
        <v>1</v>
      </c>
      <c r="B9" t="s">
        <v>176</v>
      </c>
      <c r="C9" t="s">
        <v>12</v>
      </c>
      <c r="D9" t="s">
        <v>9</v>
      </c>
      <c r="E9" s="28">
        <v>164365</v>
      </c>
      <c r="F9" s="13">
        <v>3582.3351750000002</v>
      </c>
      <c r="G9" s="14">
        <f t="shared" ref="G9:G40" si="0">+ROUND(F9/VLOOKUP("Grand Total",$B$4:$F$285,5,0),4)</f>
        <v>5.1900000000000002E-2</v>
      </c>
      <c r="H9" s="15"/>
      <c r="I9" s="15"/>
      <c r="J9" s="14" t="s">
        <v>9</v>
      </c>
      <c r="K9" s="48">
        <f t="shared" ref="K9:K40" si="1">SUMIFS($G$5:$G$323,$D$5:$D$323,J9)</f>
        <v>0.20299999999999999</v>
      </c>
    </row>
    <row r="10" spans="1:15" ht="12.75" customHeight="1" x14ac:dyDescent="0.2">
      <c r="A10">
        <f>+MAX($A$8:A9)+1</f>
        <v>2</v>
      </c>
      <c r="B10" t="s">
        <v>178</v>
      </c>
      <c r="C10" t="s">
        <v>29</v>
      </c>
      <c r="D10" t="s">
        <v>28</v>
      </c>
      <c r="E10" s="28">
        <v>267332</v>
      </c>
      <c r="F10" s="13">
        <v>3170.5575199999998</v>
      </c>
      <c r="G10" s="14">
        <f t="shared" si="0"/>
        <v>4.5900000000000003E-2</v>
      </c>
      <c r="H10" s="15"/>
      <c r="J10" s="14" t="s">
        <v>24</v>
      </c>
      <c r="K10" s="48">
        <f t="shared" si="1"/>
        <v>0.12790000000000001</v>
      </c>
    </row>
    <row r="11" spans="1:15" ht="12.75" customHeight="1" x14ac:dyDescent="0.2">
      <c r="A11">
        <f>+MAX($A$8:A10)+1</f>
        <v>3</v>
      </c>
      <c r="B11" t="s">
        <v>185</v>
      </c>
      <c r="C11" t="s">
        <v>44</v>
      </c>
      <c r="D11" t="s">
        <v>24</v>
      </c>
      <c r="E11" s="28">
        <v>836641</v>
      </c>
      <c r="F11" s="13">
        <v>2490.680257</v>
      </c>
      <c r="G11" s="14">
        <f t="shared" si="0"/>
        <v>3.61E-2</v>
      </c>
      <c r="H11" s="15"/>
      <c r="J11" s="14" t="s">
        <v>13</v>
      </c>
      <c r="K11" s="48">
        <f t="shared" si="1"/>
        <v>8.3500000000000005E-2</v>
      </c>
      <c r="L11" s="36"/>
      <c r="M11" s="91"/>
      <c r="N11" s="36"/>
      <c r="O11" s="14"/>
    </row>
    <row r="12" spans="1:15" ht="12.75" customHeight="1" x14ac:dyDescent="0.2">
      <c r="A12">
        <f>+MAX($A$8:A11)+1</f>
        <v>4</v>
      </c>
      <c r="B12" t="s">
        <v>200</v>
      </c>
      <c r="C12" t="s">
        <v>18</v>
      </c>
      <c r="D12" t="s">
        <v>13</v>
      </c>
      <c r="E12" s="28">
        <v>123460</v>
      </c>
      <c r="F12" s="13">
        <v>2395.3709199999998</v>
      </c>
      <c r="G12" s="14">
        <f t="shared" si="0"/>
        <v>3.4700000000000002E-2</v>
      </c>
      <c r="H12" s="15"/>
      <c r="J12" s="14" t="s">
        <v>285</v>
      </c>
      <c r="K12" s="48">
        <f t="shared" si="1"/>
        <v>6.7400000000000002E-2</v>
      </c>
      <c r="L12" s="36"/>
      <c r="M12" s="91"/>
      <c r="N12" s="36"/>
      <c r="O12" s="14"/>
    </row>
    <row r="13" spans="1:15" ht="12.75" customHeight="1" x14ac:dyDescent="0.2">
      <c r="A13">
        <f>+MAX($A$8:A12)+1</f>
        <v>5</v>
      </c>
      <c r="B13" t="s">
        <v>15</v>
      </c>
      <c r="C13" t="s">
        <v>16</v>
      </c>
      <c r="D13" t="s">
        <v>9</v>
      </c>
      <c r="E13" s="28">
        <v>775209</v>
      </c>
      <c r="F13" s="13">
        <v>2275.2384149999998</v>
      </c>
      <c r="G13" s="14">
        <f t="shared" si="0"/>
        <v>3.3000000000000002E-2</v>
      </c>
      <c r="H13" s="15"/>
      <c r="J13" s="14" t="s">
        <v>22</v>
      </c>
      <c r="K13" s="48">
        <f t="shared" si="1"/>
        <v>5.4499999999999993E-2</v>
      </c>
      <c r="L13" s="36"/>
      <c r="M13" s="91"/>
      <c r="N13" s="36"/>
      <c r="O13" s="14"/>
    </row>
    <row r="14" spans="1:15" ht="12.75" customHeight="1" x14ac:dyDescent="0.2">
      <c r="A14">
        <f>+MAX($A$8:A13)+1</f>
        <v>6</v>
      </c>
      <c r="B14" t="s">
        <v>179</v>
      </c>
      <c r="C14" t="s">
        <v>10</v>
      </c>
      <c r="D14" t="s">
        <v>9</v>
      </c>
      <c r="E14" s="28">
        <v>742437</v>
      </c>
      <c r="F14" s="13">
        <v>2258.8645725000001</v>
      </c>
      <c r="G14" s="14">
        <f t="shared" si="0"/>
        <v>3.27E-2</v>
      </c>
      <c r="H14" s="15"/>
      <c r="J14" s="14" t="s">
        <v>34</v>
      </c>
      <c r="K14" s="48">
        <f t="shared" si="1"/>
        <v>4.7699999999999999E-2</v>
      </c>
      <c r="L14" s="36"/>
      <c r="M14" s="91"/>
      <c r="N14" s="36"/>
      <c r="O14" s="14"/>
    </row>
    <row r="15" spans="1:15" ht="12.75" customHeight="1" x14ac:dyDescent="0.2">
      <c r="A15">
        <f>+MAX($A$8:A14)+1</f>
        <v>7</v>
      </c>
      <c r="B15" t="s">
        <v>177</v>
      </c>
      <c r="C15" t="s">
        <v>14</v>
      </c>
      <c r="D15" t="s">
        <v>13</v>
      </c>
      <c r="E15" s="28">
        <v>148142</v>
      </c>
      <c r="F15" s="13">
        <v>2022.2864419999999</v>
      </c>
      <c r="G15" s="14">
        <f t="shared" si="0"/>
        <v>2.93E-2</v>
      </c>
      <c r="H15" s="15"/>
      <c r="J15" s="14" t="s">
        <v>19</v>
      </c>
      <c r="K15" s="48">
        <f t="shared" si="1"/>
        <v>4.7E-2</v>
      </c>
      <c r="L15" s="36"/>
      <c r="M15" s="91"/>
      <c r="N15" s="36"/>
      <c r="O15" s="14"/>
    </row>
    <row r="16" spans="1:15" ht="12.75" customHeight="1" x14ac:dyDescent="0.2">
      <c r="A16">
        <f>+MAX($A$8:A15)+1</f>
        <v>8</v>
      </c>
      <c r="B16" t="s">
        <v>182</v>
      </c>
      <c r="C16" t="s">
        <v>25</v>
      </c>
      <c r="D16" t="s">
        <v>22</v>
      </c>
      <c r="E16" s="28">
        <v>93303</v>
      </c>
      <c r="F16" s="13">
        <v>1861.2548955000002</v>
      </c>
      <c r="G16" s="14">
        <f t="shared" si="0"/>
        <v>2.7E-2</v>
      </c>
      <c r="H16" s="15"/>
      <c r="J16" s="14" t="s">
        <v>28</v>
      </c>
      <c r="K16" s="48">
        <f t="shared" si="1"/>
        <v>4.5900000000000003E-2</v>
      </c>
      <c r="L16" s="36"/>
      <c r="M16" s="91"/>
      <c r="N16" s="36"/>
      <c r="O16" s="14"/>
    </row>
    <row r="17" spans="1:15" ht="12.75" customHeight="1" x14ac:dyDescent="0.2">
      <c r="A17">
        <f>+MAX($A$8:A16)+1</f>
        <v>9</v>
      </c>
      <c r="B17" t="s">
        <v>209</v>
      </c>
      <c r="C17" t="s">
        <v>69</v>
      </c>
      <c r="D17" t="s">
        <v>26</v>
      </c>
      <c r="E17" s="28">
        <v>137696</v>
      </c>
      <c r="F17" s="13">
        <v>1793.2150080000001</v>
      </c>
      <c r="G17" s="14">
        <f t="shared" si="0"/>
        <v>2.5999999999999999E-2</v>
      </c>
      <c r="H17" s="15"/>
      <c r="J17" s="14" t="s">
        <v>21</v>
      </c>
      <c r="K17" s="48">
        <f t="shared" si="1"/>
        <v>4.07E-2</v>
      </c>
      <c r="L17" s="36"/>
      <c r="M17" s="91"/>
      <c r="N17" s="36"/>
      <c r="O17" s="14"/>
    </row>
    <row r="18" spans="1:15" ht="12.75" customHeight="1" x14ac:dyDescent="0.2">
      <c r="A18">
        <f>+MAX($A$8:A17)+1</f>
        <v>10</v>
      </c>
      <c r="B18" t="s">
        <v>345</v>
      </c>
      <c r="C18" t="s">
        <v>344</v>
      </c>
      <c r="D18" t="s">
        <v>24</v>
      </c>
      <c r="E18" s="28">
        <v>400950</v>
      </c>
      <c r="F18" s="13">
        <v>1690.2047250000001</v>
      </c>
      <c r="G18" s="14">
        <f t="shared" si="0"/>
        <v>2.4500000000000001E-2</v>
      </c>
      <c r="H18" s="15"/>
      <c r="J18" s="14" t="s">
        <v>26</v>
      </c>
      <c r="K18" s="48">
        <f t="shared" si="1"/>
        <v>4.02E-2</v>
      </c>
      <c r="L18" s="36"/>
      <c r="M18" s="91"/>
      <c r="N18" s="36"/>
      <c r="O18" s="14"/>
    </row>
    <row r="19" spans="1:15" ht="12.75" customHeight="1" x14ac:dyDescent="0.2">
      <c r="A19">
        <f>+MAX($A$8:A18)+1</f>
        <v>11</v>
      </c>
      <c r="B19" t="s">
        <v>304</v>
      </c>
      <c r="C19" t="s">
        <v>538</v>
      </c>
      <c r="D19" t="s">
        <v>127</v>
      </c>
      <c r="E19" s="28">
        <v>572575</v>
      </c>
      <c r="F19" s="13">
        <v>1460.638825</v>
      </c>
      <c r="G19" s="14">
        <f t="shared" si="0"/>
        <v>2.12E-2</v>
      </c>
      <c r="H19" s="15"/>
      <c r="J19" s="14" t="s">
        <v>17</v>
      </c>
      <c r="K19" s="48">
        <f t="shared" si="1"/>
        <v>3.7600000000000001E-2</v>
      </c>
      <c r="L19" s="36"/>
      <c r="M19" s="91"/>
      <c r="N19" s="36"/>
      <c r="O19" s="14"/>
    </row>
    <row r="20" spans="1:15" ht="12.75" customHeight="1" x14ac:dyDescent="0.2">
      <c r="A20">
        <f>+MAX($A$8:A19)+1</f>
        <v>12</v>
      </c>
      <c r="B20" t="s">
        <v>282</v>
      </c>
      <c r="C20" t="s">
        <v>283</v>
      </c>
      <c r="D20" t="s">
        <v>137</v>
      </c>
      <c r="E20" s="28">
        <v>236209</v>
      </c>
      <c r="F20" s="13">
        <v>1446.6620205000002</v>
      </c>
      <c r="G20" s="14">
        <f t="shared" si="0"/>
        <v>2.1000000000000001E-2</v>
      </c>
      <c r="H20" s="15"/>
      <c r="J20" s="89" t="s">
        <v>127</v>
      </c>
      <c r="K20" s="48">
        <f t="shared" si="1"/>
        <v>2.8000000000000001E-2</v>
      </c>
      <c r="L20" s="36"/>
      <c r="M20" s="91"/>
      <c r="N20" s="36"/>
      <c r="O20" s="14"/>
    </row>
    <row r="21" spans="1:15" ht="12.75" customHeight="1" x14ac:dyDescent="0.2">
      <c r="A21">
        <f>+MAX($A$8:A20)+1</f>
        <v>13</v>
      </c>
      <c r="B21" t="s">
        <v>466</v>
      </c>
      <c r="C21" t="s">
        <v>467</v>
      </c>
      <c r="D21" t="s">
        <v>34</v>
      </c>
      <c r="E21" s="28">
        <v>1865490</v>
      </c>
      <c r="F21" s="13">
        <v>1390.7227949999999</v>
      </c>
      <c r="G21" s="14">
        <f t="shared" si="0"/>
        <v>2.01E-2</v>
      </c>
      <c r="H21" s="15"/>
      <c r="J21" s="14" t="s">
        <v>39</v>
      </c>
      <c r="K21" s="48">
        <f t="shared" si="1"/>
        <v>2.5700000000000001E-2</v>
      </c>
      <c r="L21" s="36"/>
      <c r="M21" s="91"/>
      <c r="N21" s="36"/>
      <c r="O21" s="14"/>
    </row>
    <row r="22" spans="1:15" ht="12.75" customHeight="1" x14ac:dyDescent="0.2">
      <c r="A22">
        <f>+MAX($A$8:A21)+1</f>
        <v>14</v>
      </c>
      <c r="B22" t="s">
        <v>275</v>
      </c>
      <c r="C22" t="s">
        <v>55</v>
      </c>
      <c r="D22" t="s">
        <v>24</v>
      </c>
      <c r="E22" s="28">
        <v>86228</v>
      </c>
      <c r="F22" s="13">
        <v>1344.337634</v>
      </c>
      <c r="G22" s="14">
        <f t="shared" si="0"/>
        <v>1.95E-2</v>
      </c>
      <c r="H22" s="15"/>
      <c r="J22" s="14" t="s">
        <v>36</v>
      </c>
      <c r="K22" s="48">
        <f t="shared" si="1"/>
        <v>2.5000000000000001E-2</v>
      </c>
      <c r="L22" s="36"/>
      <c r="M22" s="91"/>
      <c r="N22" s="36"/>
      <c r="O22" s="14"/>
    </row>
    <row r="23" spans="1:15" ht="12.75" customHeight="1" x14ac:dyDescent="0.2">
      <c r="A23">
        <f>+MAX($A$8:A22)+1</f>
        <v>15</v>
      </c>
      <c r="B23" t="s">
        <v>195</v>
      </c>
      <c r="C23" t="s">
        <v>72</v>
      </c>
      <c r="D23" t="s">
        <v>407</v>
      </c>
      <c r="E23" s="28">
        <v>973007</v>
      </c>
      <c r="F23" s="13">
        <v>1294.0993100000001</v>
      </c>
      <c r="G23" s="14">
        <f t="shared" si="0"/>
        <v>1.8700000000000001E-2</v>
      </c>
      <c r="H23" s="15"/>
      <c r="J23" s="14" t="s">
        <v>137</v>
      </c>
      <c r="K23" s="48">
        <f t="shared" si="1"/>
        <v>2.1000000000000001E-2</v>
      </c>
      <c r="L23" s="36"/>
      <c r="M23" s="91"/>
      <c r="N23" s="36"/>
      <c r="O23" s="14"/>
    </row>
    <row r="24" spans="1:15" ht="12.75" customHeight="1" x14ac:dyDescent="0.2">
      <c r="A24">
        <f>+MAX($A$8:A23)+1</f>
        <v>16</v>
      </c>
      <c r="B24" t="s">
        <v>539</v>
      </c>
      <c r="C24" t="s">
        <v>540</v>
      </c>
      <c r="D24" t="s">
        <v>22</v>
      </c>
      <c r="E24" s="28">
        <v>295945</v>
      </c>
      <c r="F24" s="13">
        <v>1238.6777975</v>
      </c>
      <c r="G24" s="14">
        <f t="shared" si="0"/>
        <v>1.7899999999999999E-2</v>
      </c>
      <c r="H24" s="15"/>
      <c r="J24" s="14" t="s">
        <v>407</v>
      </c>
      <c r="K24" s="48">
        <f t="shared" si="1"/>
        <v>1.8700000000000001E-2</v>
      </c>
      <c r="L24" s="36"/>
      <c r="M24" s="91"/>
      <c r="N24" s="36"/>
      <c r="O24" s="14"/>
    </row>
    <row r="25" spans="1:15" ht="12.75" customHeight="1" x14ac:dyDescent="0.2">
      <c r="A25">
        <f>+MAX($A$8:A24)+1</f>
        <v>17</v>
      </c>
      <c r="B25" t="s">
        <v>358</v>
      </c>
      <c r="C25" t="s">
        <v>359</v>
      </c>
      <c r="D25" t="s">
        <v>360</v>
      </c>
      <c r="E25" s="28">
        <v>829035</v>
      </c>
      <c r="F25" s="13">
        <v>1214.5362749999999</v>
      </c>
      <c r="G25" s="14">
        <f t="shared" si="0"/>
        <v>1.7600000000000001E-2</v>
      </c>
      <c r="H25" s="15"/>
      <c r="J25" s="14" t="s">
        <v>102</v>
      </c>
      <c r="K25" s="48">
        <f t="shared" si="1"/>
        <v>1.8599999999999998E-2</v>
      </c>
      <c r="L25" s="36"/>
      <c r="M25" s="91"/>
      <c r="N25" s="36"/>
      <c r="O25" s="14"/>
    </row>
    <row r="26" spans="1:15" ht="12.75" customHeight="1" x14ac:dyDescent="0.2">
      <c r="A26">
        <f>+MAX($A$8:A25)+1</f>
        <v>18</v>
      </c>
      <c r="B26" t="s">
        <v>468</v>
      </c>
      <c r="C26" t="s">
        <v>469</v>
      </c>
      <c r="D26" t="s">
        <v>24</v>
      </c>
      <c r="E26" s="28">
        <v>18416</v>
      </c>
      <c r="F26" s="13">
        <v>1194.305224</v>
      </c>
      <c r="G26" s="14">
        <f t="shared" si="0"/>
        <v>1.7299999999999999E-2</v>
      </c>
      <c r="H26" s="15"/>
      <c r="J26" t="s">
        <v>360</v>
      </c>
      <c r="K26" s="48">
        <f t="shared" si="1"/>
        <v>1.7600000000000001E-2</v>
      </c>
      <c r="L26" s="36"/>
      <c r="M26" s="91"/>
      <c r="N26" s="36"/>
      <c r="O26" s="14"/>
    </row>
    <row r="27" spans="1:15" ht="12.75" customHeight="1" x14ac:dyDescent="0.2">
      <c r="A27">
        <f>+MAX($A$8:A26)+1</f>
        <v>19</v>
      </c>
      <c r="B27" t="s">
        <v>187</v>
      </c>
      <c r="C27" t="s">
        <v>46</v>
      </c>
      <c r="D27" t="s">
        <v>24</v>
      </c>
      <c r="E27" s="28">
        <v>17639</v>
      </c>
      <c r="F27" s="13">
        <v>1153.978658</v>
      </c>
      <c r="G27" s="14">
        <f t="shared" si="0"/>
        <v>1.67E-2</v>
      </c>
      <c r="H27" s="15"/>
      <c r="J27" t="s">
        <v>43</v>
      </c>
      <c r="K27" s="48">
        <f t="shared" si="1"/>
        <v>1.4E-2</v>
      </c>
      <c r="L27" s="36"/>
      <c r="M27" s="91"/>
      <c r="N27" s="36"/>
      <c r="O27" s="14"/>
    </row>
    <row r="28" spans="1:15" ht="12.75" customHeight="1" x14ac:dyDescent="0.2">
      <c r="A28">
        <f>+MAX($A$8:A27)+1</f>
        <v>20</v>
      </c>
      <c r="B28" t="s">
        <v>227</v>
      </c>
      <c r="C28" t="s">
        <v>111</v>
      </c>
      <c r="D28" t="s">
        <v>34</v>
      </c>
      <c r="E28" s="28">
        <v>737700</v>
      </c>
      <c r="F28" s="13">
        <v>1142.32845</v>
      </c>
      <c r="G28" s="14">
        <f t="shared" si="0"/>
        <v>1.6500000000000001E-2</v>
      </c>
      <c r="H28" s="15"/>
      <c r="J28" t="s">
        <v>49</v>
      </c>
      <c r="K28" s="48">
        <f t="shared" si="1"/>
        <v>1.3599999999999999E-2</v>
      </c>
      <c r="L28" s="36"/>
      <c r="M28" s="91"/>
      <c r="N28" s="36"/>
      <c r="O28" s="14"/>
    </row>
    <row r="29" spans="1:15" ht="12.75" customHeight="1" x14ac:dyDescent="0.2">
      <c r="A29">
        <f>+MAX($A$8:A28)+1</f>
        <v>21</v>
      </c>
      <c r="B29" t="s">
        <v>193</v>
      </c>
      <c r="C29" t="s">
        <v>47</v>
      </c>
      <c r="D29" t="s">
        <v>19</v>
      </c>
      <c r="E29" s="28">
        <v>11716</v>
      </c>
      <c r="F29" s="13">
        <v>1115.4276379999999</v>
      </c>
      <c r="G29" s="14">
        <f t="shared" si="0"/>
        <v>1.6199999999999999E-2</v>
      </c>
      <c r="H29" s="15"/>
      <c r="J29" t="s">
        <v>35</v>
      </c>
      <c r="K29" s="48">
        <f t="shared" si="1"/>
        <v>7.9000000000000008E-3</v>
      </c>
      <c r="M29" s="91"/>
      <c r="N29" s="36"/>
      <c r="O29" s="14"/>
    </row>
    <row r="30" spans="1:15" ht="12.75" customHeight="1" x14ac:dyDescent="0.2">
      <c r="A30">
        <f>+MAX($A$8:A29)+1</f>
        <v>22</v>
      </c>
      <c r="B30" t="s">
        <v>276</v>
      </c>
      <c r="C30" t="s">
        <v>74</v>
      </c>
      <c r="D30" t="s">
        <v>36</v>
      </c>
      <c r="E30" s="28">
        <v>323315</v>
      </c>
      <c r="F30" s="13">
        <v>1099.271</v>
      </c>
      <c r="G30" s="14">
        <f t="shared" si="0"/>
        <v>1.5900000000000001E-2</v>
      </c>
      <c r="H30" s="15"/>
      <c r="J30" t="s">
        <v>41</v>
      </c>
      <c r="K30" s="48">
        <f t="shared" si="1"/>
        <v>7.7000000000000002E-3</v>
      </c>
      <c r="M30" s="14"/>
      <c r="N30" s="36"/>
      <c r="O30" s="14"/>
    </row>
    <row r="31" spans="1:15" ht="12.75" customHeight="1" x14ac:dyDescent="0.2">
      <c r="A31">
        <f>+MAX($A$8:A30)+1</f>
        <v>23</v>
      </c>
      <c r="B31" t="s">
        <v>196</v>
      </c>
      <c r="C31" t="s">
        <v>94</v>
      </c>
      <c r="D31" t="s">
        <v>9</v>
      </c>
      <c r="E31" s="28">
        <v>82252</v>
      </c>
      <c r="F31" s="13">
        <v>1074.9102620000001</v>
      </c>
      <c r="G31" s="14">
        <f t="shared" si="0"/>
        <v>1.5599999999999999E-2</v>
      </c>
      <c r="H31" s="15"/>
      <c r="J31" s="65" t="s">
        <v>30</v>
      </c>
      <c r="K31" s="48">
        <f t="shared" si="1"/>
        <v>7.1000000000000004E-3</v>
      </c>
      <c r="N31" s="36"/>
      <c r="O31" s="14"/>
    </row>
    <row r="32" spans="1:15" ht="12.75" customHeight="1" x14ac:dyDescent="0.2">
      <c r="A32">
        <f>+MAX($A$8:A31)+1</f>
        <v>24</v>
      </c>
      <c r="B32" t="s">
        <v>252</v>
      </c>
      <c r="C32" t="s">
        <v>140</v>
      </c>
      <c r="D32" t="s">
        <v>39</v>
      </c>
      <c r="E32" s="28">
        <v>153299</v>
      </c>
      <c r="F32" s="13">
        <v>997.669892</v>
      </c>
      <c r="G32" s="14">
        <f t="shared" si="0"/>
        <v>1.4500000000000001E-2</v>
      </c>
      <c r="H32" s="15"/>
      <c r="J32" t="s">
        <v>32</v>
      </c>
      <c r="K32" s="48">
        <f t="shared" si="1"/>
        <v>6.8999999999999999E-3</v>
      </c>
      <c r="N32" s="36"/>
      <c r="O32" s="14"/>
    </row>
    <row r="33" spans="1:15" ht="12.75" customHeight="1" x14ac:dyDescent="0.2">
      <c r="A33">
        <f>+MAX($A$8:A32)+1</f>
        <v>25</v>
      </c>
      <c r="B33" t="s">
        <v>277</v>
      </c>
      <c r="C33" t="s">
        <v>65</v>
      </c>
      <c r="D33" t="s">
        <v>17</v>
      </c>
      <c r="E33" s="28">
        <v>815284</v>
      </c>
      <c r="F33" s="13">
        <v>954.28992200000005</v>
      </c>
      <c r="G33" s="14">
        <f t="shared" si="0"/>
        <v>1.38E-2</v>
      </c>
      <c r="H33" s="15"/>
      <c r="J33" t="s">
        <v>368</v>
      </c>
      <c r="K33" s="48">
        <f t="shared" si="1"/>
        <v>4.7999999999999996E-3</v>
      </c>
      <c r="N33" s="36"/>
      <c r="O33" s="14"/>
    </row>
    <row r="34" spans="1:15" ht="12.75" customHeight="1" x14ac:dyDescent="0.2">
      <c r="A34">
        <f>+MAX($A$8:A33)+1</f>
        <v>26</v>
      </c>
      <c r="B34" t="s">
        <v>215</v>
      </c>
      <c r="C34" t="s">
        <v>664</v>
      </c>
      <c r="D34" t="s">
        <v>24</v>
      </c>
      <c r="E34" s="28">
        <v>161960</v>
      </c>
      <c r="F34" s="13">
        <v>950.78617999999994</v>
      </c>
      <c r="G34" s="14">
        <f t="shared" si="0"/>
        <v>1.38E-2</v>
      </c>
      <c r="H34" s="15"/>
      <c r="J34" t="s">
        <v>98</v>
      </c>
      <c r="K34" s="48">
        <f t="shared" si="1"/>
        <v>0</v>
      </c>
      <c r="L34" s="86"/>
      <c r="N34" s="36"/>
      <c r="O34" s="14"/>
    </row>
    <row r="35" spans="1:15" ht="12.75" customHeight="1" x14ac:dyDescent="0.2">
      <c r="A35">
        <f>+MAX($A$8:A34)+1</f>
        <v>27</v>
      </c>
      <c r="B35" t="s">
        <v>212</v>
      </c>
      <c r="C35" t="s">
        <v>76</v>
      </c>
      <c r="D35" t="s">
        <v>49</v>
      </c>
      <c r="E35" s="28">
        <v>359857</v>
      </c>
      <c r="F35" s="13">
        <v>939.58662700000002</v>
      </c>
      <c r="G35" s="14">
        <f t="shared" si="0"/>
        <v>1.3599999999999999E-2</v>
      </c>
      <c r="H35" s="15"/>
      <c r="J35" t="s">
        <v>52</v>
      </c>
      <c r="K35" s="48">
        <f t="shared" si="1"/>
        <v>0</v>
      </c>
    </row>
    <row r="36" spans="1:15" ht="12.75" customHeight="1" x14ac:dyDescent="0.2">
      <c r="A36">
        <f>+MAX($A$8:A35)+1</f>
        <v>28</v>
      </c>
      <c r="B36" t="s">
        <v>217</v>
      </c>
      <c r="C36" t="s">
        <v>96</v>
      </c>
      <c r="D36" t="s">
        <v>19</v>
      </c>
      <c r="E36" s="28">
        <v>100125</v>
      </c>
      <c r="F36" s="13">
        <v>937.11993749999999</v>
      </c>
      <c r="G36" s="14">
        <f t="shared" si="0"/>
        <v>1.3599999999999999E-2</v>
      </c>
      <c r="H36" s="15"/>
      <c r="J36" t="s">
        <v>60</v>
      </c>
      <c r="K36" s="48">
        <f t="shared" si="1"/>
        <v>0</v>
      </c>
      <c r="M36" s="14"/>
    </row>
    <row r="37" spans="1:15" ht="12.75" customHeight="1" x14ac:dyDescent="0.2">
      <c r="A37">
        <f>+MAX($A$8:A36)+1</f>
        <v>29</v>
      </c>
      <c r="B37" t="s">
        <v>481</v>
      </c>
      <c r="C37" t="s">
        <v>355</v>
      </c>
      <c r="D37" t="s">
        <v>9</v>
      </c>
      <c r="E37" s="28">
        <v>823711</v>
      </c>
      <c r="F37" s="13">
        <v>824.12285550000001</v>
      </c>
      <c r="G37" s="14">
        <f t="shared" si="0"/>
        <v>1.1900000000000001E-2</v>
      </c>
      <c r="H37" s="15"/>
      <c r="J37" s="14" t="s">
        <v>56</v>
      </c>
      <c r="K37" s="48">
        <f t="shared" si="1"/>
        <v>0</v>
      </c>
      <c r="M37" s="14"/>
    </row>
    <row r="38" spans="1:15" ht="12.75" customHeight="1" x14ac:dyDescent="0.2">
      <c r="A38">
        <f>+MAX($A$8:A37)+1</f>
        <v>30</v>
      </c>
      <c r="B38" t="s">
        <v>208</v>
      </c>
      <c r="C38" t="s">
        <v>64</v>
      </c>
      <c r="D38" t="s">
        <v>26</v>
      </c>
      <c r="E38" s="28">
        <v>247552</v>
      </c>
      <c r="F38" s="13">
        <v>823.72928000000002</v>
      </c>
      <c r="G38" s="14">
        <f t="shared" si="0"/>
        <v>1.1900000000000001E-2</v>
      </c>
      <c r="H38" s="15"/>
      <c r="J38" s="14" t="s">
        <v>58</v>
      </c>
      <c r="K38" s="48">
        <f t="shared" si="1"/>
        <v>0</v>
      </c>
      <c r="M38" s="14"/>
    </row>
    <row r="39" spans="1:15" ht="12.75" customHeight="1" x14ac:dyDescent="0.2">
      <c r="A39">
        <f>+MAX($A$8:A38)+1</f>
        <v>31</v>
      </c>
      <c r="B39" t="s">
        <v>189</v>
      </c>
      <c r="C39" t="s">
        <v>48</v>
      </c>
      <c r="D39" t="s">
        <v>21</v>
      </c>
      <c r="E39" s="28">
        <v>10546</v>
      </c>
      <c r="F39" s="13">
        <v>808.54072799999994</v>
      </c>
      <c r="G39" s="14">
        <f t="shared" si="0"/>
        <v>1.17E-2</v>
      </c>
      <c r="H39" s="15"/>
      <c r="J39" s="14" t="s">
        <v>54</v>
      </c>
      <c r="K39" s="48">
        <f t="shared" si="1"/>
        <v>0</v>
      </c>
      <c r="M39" s="14"/>
    </row>
    <row r="40" spans="1:15" ht="12.75" customHeight="1" x14ac:dyDescent="0.2">
      <c r="A40">
        <f>+MAX($A$8:A39)+1</f>
        <v>32</v>
      </c>
      <c r="B40" t="s">
        <v>190</v>
      </c>
      <c r="C40" t="s">
        <v>50</v>
      </c>
      <c r="D40" t="s">
        <v>39</v>
      </c>
      <c r="E40" s="28">
        <v>944272</v>
      </c>
      <c r="F40" s="13">
        <v>770.52595200000007</v>
      </c>
      <c r="G40" s="14">
        <f t="shared" si="0"/>
        <v>1.12E-2</v>
      </c>
      <c r="H40" s="15"/>
      <c r="J40" s="14" t="s">
        <v>364</v>
      </c>
      <c r="K40" s="48">
        <f t="shared" si="1"/>
        <v>0</v>
      </c>
      <c r="L40" s="54"/>
    </row>
    <row r="41" spans="1:15" ht="12.75" customHeight="1" x14ac:dyDescent="0.2">
      <c r="A41">
        <f>+MAX($A$8:A40)+1</f>
        <v>33</v>
      </c>
      <c r="B41" t="s">
        <v>445</v>
      </c>
      <c r="C41" t="s">
        <v>395</v>
      </c>
      <c r="D41" t="s">
        <v>21</v>
      </c>
      <c r="E41" s="28">
        <v>281517</v>
      </c>
      <c r="F41" s="13">
        <v>729.55130550000001</v>
      </c>
      <c r="G41" s="14">
        <f t="shared" ref="G41:G72" si="2">+ROUND(F41/VLOOKUP("Grand Total",$B$4:$F$285,5,0),4)</f>
        <v>1.06E-2</v>
      </c>
      <c r="H41" s="15"/>
      <c r="J41" s="14" t="s">
        <v>62</v>
      </c>
      <c r="K41" s="48">
        <f>+SUMIFS($G$5:$G$998,$B$5:$B$998,"CBLO / Reverse Repo")+SUMIFS($G$5:$G$998,$B$5:$B$998,"Net Receivable/Payable")</f>
        <v>-1.2E-2</v>
      </c>
    </row>
    <row r="42" spans="1:15" ht="12.75" customHeight="1" x14ac:dyDescent="0.2">
      <c r="A42">
        <f>+MAX($A$8:A41)+1</f>
        <v>34</v>
      </c>
      <c r="B42" t="s">
        <v>226</v>
      </c>
      <c r="C42" t="s">
        <v>109</v>
      </c>
      <c r="D42" t="s">
        <v>13</v>
      </c>
      <c r="E42" s="28">
        <v>102000</v>
      </c>
      <c r="F42" s="13">
        <v>694.36500000000001</v>
      </c>
      <c r="G42" s="14">
        <f t="shared" si="2"/>
        <v>1.01E-2</v>
      </c>
      <c r="H42" s="15"/>
    </row>
    <row r="43" spans="1:15" ht="12.75" customHeight="1" x14ac:dyDescent="0.2">
      <c r="A43">
        <f>+MAX($A$8:A42)+1</f>
        <v>35</v>
      </c>
      <c r="B43" t="s">
        <v>365</v>
      </c>
      <c r="C43" t="s">
        <v>66</v>
      </c>
      <c r="D43" t="s">
        <v>21</v>
      </c>
      <c r="E43" s="28">
        <v>121679</v>
      </c>
      <c r="F43" s="13">
        <v>691.74511500000006</v>
      </c>
      <c r="G43" s="14">
        <f t="shared" si="2"/>
        <v>0.01</v>
      </c>
      <c r="H43" s="15"/>
      <c r="J43" s="14"/>
      <c r="K43" s="48"/>
    </row>
    <row r="44" spans="1:15" ht="12.75" customHeight="1" x14ac:dyDescent="0.2">
      <c r="A44">
        <f>+MAX($A$8:A43)+1</f>
        <v>36</v>
      </c>
      <c r="B44" t="s">
        <v>286</v>
      </c>
      <c r="C44" t="s">
        <v>287</v>
      </c>
      <c r="D44" t="s">
        <v>9</v>
      </c>
      <c r="E44" s="28">
        <v>400034</v>
      </c>
      <c r="F44" s="13">
        <v>687.65844599999991</v>
      </c>
      <c r="G44" s="14">
        <f t="shared" si="2"/>
        <v>0.01</v>
      </c>
      <c r="H44" s="15"/>
    </row>
    <row r="45" spans="1:15" ht="12.75" customHeight="1" x14ac:dyDescent="0.2">
      <c r="A45">
        <f>+MAX($A$8:A44)+1</f>
        <v>37</v>
      </c>
      <c r="B45" t="s">
        <v>38</v>
      </c>
      <c r="C45" t="s">
        <v>40</v>
      </c>
      <c r="D45" t="s">
        <v>9</v>
      </c>
      <c r="E45" s="28">
        <v>434753</v>
      </c>
      <c r="F45" s="13">
        <v>666.69372549999991</v>
      </c>
      <c r="G45" s="14">
        <f t="shared" si="2"/>
        <v>9.7000000000000003E-3</v>
      </c>
      <c r="H45" s="15"/>
    </row>
    <row r="46" spans="1:15" ht="12.75" customHeight="1" x14ac:dyDescent="0.2">
      <c r="A46">
        <f>+MAX($A$8:A45)+1</f>
        <v>38</v>
      </c>
      <c r="B46" t="s">
        <v>410</v>
      </c>
      <c r="C46" t="s">
        <v>411</v>
      </c>
      <c r="D46" t="s">
        <v>22</v>
      </c>
      <c r="E46" s="28">
        <v>48012</v>
      </c>
      <c r="F46" s="13">
        <v>663.59785799999997</v>
      </c>
      <c r="G46" s="14">
        <f t="shared" si="2"/>
        <v>9.5999999999999992E-3</v>
      </c>
      <c r="H46" s="15"/>
    </row>
    <row r="47" spans="1:15" ht="12.75" customHeight="1" x14ac:dyDescent="0.2">
      <c r="A47">
        <f>+MAX($A$8:A46)+1</f>
        <v>39</v>
      </c>
      <c r="B47" t="s">
        <v>155</v>
      </c>
      <c r="C47" t="s">
        <v>166</v>
      </c>
      <c r="D47" t="s">
        <v>9</v>
      </c>
      <c r="E47" s="28">
        <v>232499</v>
      </c>
      <c r="F47" s="13">
        <v>661.459655</v>
      </c>
      <c r="G47" s="14">
        <f t="shared" si="2"/>
        <v>9.5999999999999992E-3</v>
      </c>
      <c r="H47" s="15"/>
    </row>
    <row r="48" spans="1:15" ht="12.75" customHeight="1" x14ac:dyDescent="0.2">
      <c r="A48">
        <f>+MAX($A$8:A47)+1</f>
        <v>40</v>
      </c>
      <c r="B48" t="s">
        <v>181</v>
      </c>
      <c r="C48" t="s">
        <v>23</v>
      </c>
      <c r="D48" t="s">
        <v>13</v>
      </c>
      <c r="E48" s="28">
        <v>67486</v>
      </c>
      <c r="F48" s="13">
        <v>651.30738600000006</v>
      </c>
      <c r="G48" s="14">
        <f t="shared" si="2"/>
        <v>9.4000000000000004E-3</v>
      </c>
      <c r="H48" s="15"/>
    </row>
    <row r="49" spans="1:11" ht="12.75" customHeight="1" x14ac:dyDescent="0.2">
      <c r="A49">
        <f>+MAX($A$8:A48)+1</f>
        <v>41</v>
      </c>
      <c r="B49" t="s">
        <v>297</v>
      </c>
      <c r="C49" t="s">
        <v>298</v>
      </c>
      <c r="D49" t="s">
        <v>17</v>
      </c>
      <c r="E49" s="28">
        <v>83502</v>
      </c>
      <c r="F49" s="13">
        <v>648.43478100000004</v>
      </c>
      <c r="G49" s="14">
        <f t="shared" si="2"/>
        <v>9.4000000000000004E-3</v>
      </c>
      <c r="H49" s="15"/>
      <c r="J49" s="14"/>
      <c r="K49" s="48"/>
    </row>
    <row r="50" spans="1:11" ht="12.75" customHeight="1" x14ac:dyDescent="0.2">
      <c r="A50">
        <f>+MAX($A$8:A49)+1</f>
        <v>42</v>
      </c>
      <c r="B50" t="s">
        <v>484</v>
      </c>
      <c r="C50" t="s">
        <v>485</v>
      </c>
      <c r="D50" t="s">
        <v>102</v>
      </c>
      <c r="E50" s="28">
        <v>779501</v>
      </c>
      <c r="F50" s="13">
        <v>643.47807549999993</v>
      </c>
      <c r="G50" s="14">
        <f t="shared" si="2"/>
        <v>9.2999999999999992E-3</v>
      </c>
      <c r="H50" s="15"/>
    </row>
    <row r="51" spans="1:11" ht="12.75" customHeight="1" x14ac:dyDescent="0.2">
      <c r="A51">
        <f>+MAX($A$8:A50)+1</f>
        <v>43</v>
      </c>
      <c r="B51" t="s">
        <v>470</v>
      </c>
      <c r="C51" t="s">
        <v>471</v>
      </c>
      <c r="D51" t="s">
        <v>102</v>
      </c>
      <c r="E51" s="28">
        <v>830000</v>
      </c>
      <c r="F51" s="13">
        <v>643.25</v>
      </c>
      <c r="G51" s="14">
        <f t="shared" si="2"/>
        <v>9.2999999999999992E-3</v>
      </c>
      <c r="H51" s="15"/>
    </row>
    <row r="52" spans="1:11" ht="12.75" customHeight="1" x14ac:dyDescent="0.2">
      <c r="A52">
        <f>+MAX($A$8:A51)+1</f>
        <v>44</v>
      </c>
      <c r="B52" t="s">
        <v>204</v>
      </c>
      <c r="C52" t="s">
        <v>61</v>
      </c>
      <c r="D52" t="s">
        <v>34</v>
      </c>
      <c r="E52" s="28">
        <v>169704</v>
      </c>
      <c r="F52" s="13">
        <v>635.711184</v>
      </c>
      <c r="G52" s="14">
        <f t="shared" si="2"/>
        <v>9.1999999999999998E-3</v>
      </c>
      <c r="H52" s="15"/>
    </row>
    <row r="53" spans="1:11" ht="12.75" customHeight="1" x14ac:dyDescent="0.2">
      <c r="A53">
        <f>+MAX($A$8:A52)+1</f>
        <v>45</v>
      </c>
      <c r="B53" t="s">
        <v>318</v>
      </c>
      <c r="C53" t="s">
        <v>319</v>
      </c>
      <c r="D53" t="s">
        <v>36</v>
      </c>
      <c r="E53" s="28">
        <v>874860</v>
      </c>
      <c r="F53" s="13">
        <v>631.21149000000003</v>
      </c>
      <c r="G53" s="14">
        <f t="shared" si="2"/>
        <v>9.1000000000000004E-3</v>
      </c>
      <c r="H53" s="15"/>
    </row>
    <row r="54" spans="1:11" ht="12.75" customHeight="1" x14ac:dyDescent="0.2">
      <c r="A54">
        <f>+MAX($A$8:A53)+1</f>
        <v>46</v>
      </c>
      <c r="B54" s="65" t="s">
        <v>225</v>
      </c>
      <c r="C54" s="65" t="s">
        <v>108</v>
      </c>
      <c r="D54" t="s">
        <v>19</v>
      </c>
      <c r="E54" s="28">
        <v>18889</v>
      </c>
      <c r="F54" s="13">
        <v>622.28866049999999</v>
      </c>
      <c r="G54" s="14">
        <f t="shared" si="2"/>
        <v>8.9999999999999993E-3</v>
      </c>
      <c r="H54" s="15"/>
    </row>
    <row r="55" spans="1:11" ht="12.75" customHeight="1" x14ac:dyDescent="0.2">
      <c r="A55">
        <f>+MAX($A$8:A54)+1</f>
        <v>47</v>
      </c>
      <c r="B55" t="s">
        <v>207</v>
      </c>
      <c r="C55" t="s">
        <v>68</v>
      </c>
      <c r="D55" t="s">
        <v>9</v>
      </c>
      <c r="E55" s="28">
        <v>676878</v>
      </c>
      <c r="F55" s="13">
        <v>602.42142000000001</v>
      </c>
      <c r="G55" s="14">
        <f t="shared" si="2"/>
        <v>8.6999999999999994E-3</v>
      </c>
      <c r="H55" s="15"/>
    </row>
    <row r="56" spans="1:11" ht="12.75" customHeight="1" x14ac:dyDescent="0.2">
      <c r="A56">
        <f>+MAX($A$8:A55)+1</f>
        <v>48</v>
      </c>
      <c r="B56" t="s">
        <v>188</v>
      </c>
      <c r="C56" t="s">
        <v>51</v>
      </c>
      <c r="D56" t="s">
        <v>17</v>
      </c>
      <c r="E56" s="28">
        <v>13982</v>
      </c>
      <c r="F56" s="13">
        <v>586.377116</v>
      </c>
      <c r="G56" s="14">
        <f t="shared" si="2"/>
        <v>8.5000000000000006E-3</v>
      </c>
      <c r="H56" s="15"/>
    </row>
    <row r="57" spans="1:11" ht="12.75" customHeight="1" x14ac:dyDescent="0.2">
      <c r="A57">
        <f>+MAX($A$8:A56)+1</f>
        <v>49</v>
      </c>
      <c r="B57" t="s">
        <v>199</v>
      </c>
      <c r="C57" t="s">
        <v>59</v>
      </c>
      <c r="D57" t="s">
        <v>21</v>
      </c>
      <c r="E57" s="28">
        <v>97828</v>
      </c>
      <c r="F57" s="13">
        <v>578.70153400000004</v>
      </c>
      <c r="G57" s="14">
        <f t="shared" si="2"/>
        <v>8.3999999999999995E-3</v>
      </c>
      <c r="H57" s="15"/>
      <c r="J57" s="14"/>
      <c r="K57" s="48"/>
    </row>
    <row r="58" spans="1:11" ht="12.75" customHeight="1" x14ac:dyDescent="0.2">
      <c r="A58">
        <f>+MAX($A$8:A57)+1</f>
        <v>50</v>
      </c>
      <c r="B58" t="s">
        <v>183</v>
      </c>
      <c r="C58" t="s">
        <v>37</v>
      </c>
      <c r="D58" t="s">
        <v>19</v>
      </c>
      <c r="E58" s="28">
        <v>20930</v>
      </c>
      <c r="F58" s="13">
        <v>565.12046499999997</v>
      </c>
      <c r="G58" s="14">
        <f t="shared" si="2"/>
        <v>8.2000000000000007E-3</v>
      </c>
      <c r="H58" s="15"/>
    </row>
    <row r="59" spans="1:11" ht="12.75" customHeight="1" x14ac:dyDescent="0.2">
      <c r="A59">
        <f>+MAX($A$8:A58)+1</f>
        <v>51</v>
      </c>
      <c r="B59" t="s">
        <v>214</v>
      </c>
      <c r="C59" t="s">
        <v>78</v>
      </c>
      <c r="D59" t="s">
        <v>43</v>
      </c>
      <c r="E59" s="28">
        <v>200927</v>
      </c>
      <c r="F59" s="13">
        <v>562.69606350000004</v>
      </c>
      <c r="G59" s="14">
        <f t="shared" si="2"/>
        <v>8.2000000000000007E-3</v>
      </c>
      <c r="H59" s="15"/>
    </row>
    <row r="60" spans="1:11" ht="12.75" customHeight="1" x14ac:dyDescent="0.2">
      <c r="A60">
        <f>+MAX($A$8:A59)+1</f>
        <v>52</v>
      </c>
      <c r="B60" t="s">
        <v>510</v>
      </c>
      <c r="C60" t="s">
        <v>511</v>
      </c>
      <c r="D60" t="s">
        <v>35</v>
      </c>
      <c r="E60" s="28">
        <v>58709</v>
      </c>
      <c r="F60" s="13">
        <v>545.81757299999992</v>
      </c>
      <c r="G60" s="14">
        <f t="shared" si="2"/>
        <v>7.9000000000000008E-3</v>
      </c>
      <c r="H60" s="15"/>
    </row>
    <row r="61" spans="1:11" ht="12.75" customHeight="1" x14ac:dyDescent="0.2">
      <c r="A61">
        <f>+MAX($A$8:A60)+1</f>
        <v>53</v>
      </c>
      <c r="B61" t="s">
        <v>201</v>
      </c>
      <c r="C61" t="s">
        <v>27</v>
      </c>
      <c r="D61" t="s">
        <v>9</v>
      </c>
      <c r="E61" s="28">
        <v>97342</v>
      </c>
      <c r="F61" s="13">
        <v>535.77036799999996</v>
      </c>
      <c r="G61" s="14">
        <f t="shared" si="2"/>
        <v>7.7999999999999996E-3</v>
      </c>
      <c r="H61" s="15"/>
    </row>
    <row r="62" spans="1:11" ht="12.75" customHeight="1" x14ac:dyDescent="0.2">
      <c r="A62">
        <f>+MAX($A$8:A61)+1</f>
        <v>54</v>
      </c>
      <c r="B62" t="s">
        <v>408</v>
      </c>
      <c r="C62" t="s">
        <v>409</v>
      </c>
      <c r="D62" t="s">
        <v>41</v>
      </c>
      <c r="E62" s="28">
        <v>63940</v>
      </c>
      <c r="F62" s="13">
        <v>534.57037000000003</v>
      </c>
      <c r="G62" s="14">
        <f t="shared" si="2"/>
        <v>7.7000000000000002E-3</v>
      </c>
      <c r="H62" s="15"/>
    </row>
    <row r="63" spans="1:11" ht="12.75" customHeight="1" x14ac:dyDescent="0.2">
      <c r="A63">
        <f>+MAX($A$8:A62)+1</f>
        <v>55</v>
      </c>
      <c r="B63" t="s">
        <v>450</v>
      </c>
      <c r="C63" t="s">
        <v>451</v>
      </c>
      <c r="D63" t="s">
        <v>9</v>
      </c>
      <c r="E63" s="28">
        <v>853115</v>
      </c>
      <c r="F63" s="13">
        <v>529.35785750000002</v>
      </c>
      <c r="G63" s="14">
        <f t="shared" si="2"/>
        <v>7.7000000000000002E-3</v>
      </c>
      <c r="H63" s="15"/>
    </row>
    <row r="64" spans="1:11" ht="12.75" customHeight="1" x14ac:dyDescent="0.2">
      <c r="A64">
        <f>+MAX($A$8:A63)+1</f>
        <v>56</v>
      </c>
      <c r="B64" t="s">
        <v>516</v>
      </c>
      <c r="C64" t="s">
        <v>517</v>
      </c>
      <c r="D64" t="s">
        <v>30</v>
      </c>
      <c r="E64" s="28">
        <v>236000</v>
      </c>
      <c r="F64" s="13">
        <v>480.61399999999998</v>
      </c>
      <c r="G64" s="14">
        <f t="shared" si="2"/>
        <v>7.0000000000000001E-3</v>
      </c>
      <c r="H64" s="15"/>
    </row>
    <row r="65" spans="1:9" ht="12.75" customHeight="1" x14ac:dyDescent="0.2">
      <c r="A65">
        <f>+MAX($A$8:A64)+1</f>
        <v>57</v>
      </c>
      <c r="B65" s="65" t="s">
        <v>198</v>
      </c>
      <c r="C65" t="s">
        <v>63</v>
      </c>
      <c r="D65" t="s">
        <v>32</v>
      </c>
      <c r="E65" s="28">
        <v>122695</v>
      </c>
      <c r="F65" s="13">
        <v>479.24666999999999</v>
      </c>
      <c r="G65" s="14">
        <f t="shared" si="2"/>
        <v>6.8999999999999999E-3</v>
      </c>
      <c r="H65" s="15"/>
    </row>
    <row r="66" spans="1:9" ht="12.75" customHeight="1" x14ac:dyDescent="0.2">
      <c r="A66">
        <f>+MAX($A$8:A65)+1</f>
        <v>58</v>
      </c>
      <c r="B66" s="65" t="s">
        <v>446</v>
      </c>
      <c r="C66" t="s">
        <v>447</v>
      </c>
      <c r="D66" t="s">
        <v>127</v>
      </c>
      <c r="E66" s="28">
        <v>238963</v>
      </c>
      <c r="F66" s="13">
        <v>469.56229500000001</v>
      </c>
      <c r="G66" s="14">
        <f t="shared" si="2"/>
        <v>6.7999999999999996E-3</v>
      </c>
      <c r="H66" s="15"/>
    </row>
    <row r="67" spans="1:9" ht="12.75" customHeight="1" x14ac:dyDescent="0.2">
      <c r="A67">
        <f>+MAX($A$8:A66)+1</f>
        <v>59</v>
      </c>
      <c r="B67" s="65" t="s">
        <v>191</v>
      </c>
      <c r="C67" t="s">
        <v>31</v>
      </c>
      <c r="D67" t="s">
        <v>17</v>
      </c>
      <c r="E67" s="28">
        <v>53292</v>
      </c>
      <c r="F67" s="13">
        <v>409.38914399999999</v>
      </c>
      <c r="G67" s="14">
        <f t="shared" si="2"/>
        <v>5.8999999999999999E-3</v>
      </c>
      <c r="H67" s="15"/>
    </row>
    <row r="68" spans="1:9" ht="12.75" customHeight="1" x14ac:dyDescent="0.2">
      <c r="A68">
        <f>+MAX($A$8:A67)+1</f>
        <v>60</v>
      </c>
      <c r="B68" s="65" t="s">
        <v>448</v>
      </c>
      <c r="C68" t="s">
        <v>449</v>
      </c>
      <c r="D68" t="s">
        <v>43</v>
      </c>
      <c r="E68" s="28">
        <v>654548</v>
      </c>
      <c r="F68" s="13">
        <v>402.87429399999996</v>
      </c>
      <c r="G68" s="14">
        <f t="shared" si="2"/>
        <v>5.7999999999999996E-3</v>
      </c>
      <c r="H68" s="15"/>
    </row>
    <row r="69" spans="1:9" ht="12.75" customHeight="1" x14ac:dyDescent="0.2">
      <c r="A69">
        <f>+MAX($A$8:A68)+1</f>
        <v>61</v>
      </c>
      <c r="B69" s="65" t="s">
        <v>366</v>
      </c>
      <c r="C69" t="s">
        <v>367</v>
      </c>
      <c r="D69" t="s">
        <v>368</v>
      </c>
      <c r="E69" s="28">
        <v>199566</v>
      </c>
      <c r="F69" s="13">
        <v>331.87825800000002</v>
      </c>
      <c r="G69" s="14">
        <f t="shared" si="2"/>
        <v>4.7999999999999996E-3</v>
      </c>
      <c r="H69" s="15"/>
    </row>
    <row r="70" spans="1:9" ht="12.75" customHeight="1" x14ac:dyDescent="0.2">
      <c r="A70">
        <f>+MAX($A$8:A69)+1</f>
        <v>62</v>
      </c>
      <c r="B70" s="65" t="s">
        <v>482</v>
      </c>
      <c r="C70" t="s">
        <v>483</v>
      </c>
      <c r="D70" t="s">
        <v>9</v>
      </c>
      <c r="E70" s="28">
        <v>666967</v>
      </c>
      <c r="F70" s="13">
        <v>301.46908400000001</v>
      </c>
      <c r="G70" s="14">
        <f t="shared" si="2"/>
        <v>4.4000000000000003E-3</v>
      </c>
      <c r="H70" s="15"/>
    </row>
    <row r="71" spans="1:9" ht="12.75" customHeight="1" x14ac:dyDescent="0.2">
      <c r="A71">
        <f>+MAX($A$8:A70)+1</f>
        <v>63</v>
      </c>
      <c r="B71" s="65" t="s">
        <v>284</v>
      </c>
      <c r="C71" t="s">
        <v>70</v>
      </c>
      <c r="D71" t="s">
        <v>26</v>
      </c>
      <c r="E71" s="28">
        <v>1365791</v>
      </c>
      <c r="F71" s="13">
        <v>159.79754699999998</v>
      </c>
      <c r="G71" s="14">
        <f t="shared" si="2"/>
        <v>2.3E-3</v>
      </c>
      <c r="H71" s="15"/>
    </row>
    <row r="72" spans="1:9" ht="12.75" customHeight="1" x14ac:dyDescent="0.2">
      <c r="A72">
        <f>+MAX($A$8:A71)+1</f>
        <v>64</v>
      </c>
      <c r="B72" s="65" t="s">
        <v>203</v>
      </c>
      <c r="C72" t="s">
        <v>73</v>
      </c>
      <c r="D72" t="s">
        <v>34</v>
      </c>
      <c r="E72" s="28">
        <v>3622594</v>
      </c>
      <c r="F72" s="13">
        <v>134.035978</v>
      </c>
      <c r="G72" s="14">
        <f t="shared" si="2"/>
        <v>1.9E-3</v>
      </c>
      <c r="H72" s="15"/>
    </row>
    <row r="73" spans="1:9" ht="12.75" customHeight="1" x14ac:dyDescent="0.2">
      <c r="A73">
        <f>+MAX($A$8:A72)+1</f>
        <v>65</v>
      </c>
      <c r="B73" s="65" t="s">
        <v>386</v>
      </c>
      <c r="C73" t="s">
        <v>80</v>
      </c>
      <c r="D73" t="s">
        <v>30</v>
      </c>
      <c r="E73" s="28">
        <v>100000</v>
      </c>
      <c r="F73" s="13">
        <v>5.54</v>
      </c>
      <c r="G73" s="14">
        <f t="shared" ref="G73" si="3">+ROUND(F73/VLOOKUP("Grand Total",$B$4:$F$285,5,0),4)</f>
        <v>1E-4</v>
      </c>
      <c r="H73" s="15"/>
    </row>
    <row r="74" spans="1:9" ht="12.75" customHeight="1" x14ac:dyDescent="0.2">
      <c r="A74">
        <f>+MAX($A$8:A73)+1</f>
        <v>66</v>
      </c>
      <c r="B74" s="65" t="s">
        <v>462</v>
      </c>
      <c r="C74" t="s">
        <v>81</v>
      </c>
      <c r="D74" t="s">
        <v>98</v>
      </c>
      <c r="E74" s="28">
        <v>511578</v>
      </c>
      <c r="F74" s="13">
        <v>0</v>
      </c>
      <c r="G74" s="107" t="s">
        <v>443</v>
      </c>
      <c r="H74" s="15"/>
    </row>
    <row r="75" spans="1:9" ht="12.75" customHeight="1" x14ac:dyDescent="0.2">
      <c r="B75" s="18" t="s">
        <v>82</v>
      </c>
      <c r="C75" s="18"/>
      <c r="D75" s="18"/>
      <c r="E75" s="29"/>
      <c r="F75" s="19">
        <f>SUM(F9:F74)</f>
        <v>65202.26791200001</v>
      </c>
      <c r="G75" s="20">
        <f>SUM(G9:G74)</f>
        <v>0.94460000000000022</v>
      </c>
      <c r="H75" s="21"/>
      <c r="I75" s="35"/>
    </row>
    <row r="76" spans="1:9" ht="12.75" customHeight="1" x14ac:dyDescent="0.2">
      <c r="F76" s="13"/>
      <c r="G76" s="14"/>
      <c r="H76" s="15"/>
    </row>
    <row r="77" spans="1:9" ht="12.75" customHeight="1" x14ac:dyDescent="0.2">
      <c r="B77" s="16" t="s">
        <v>271</v>
      </c>
      <c r="C77" s="16"/>
      <c r="F77" s="13"/>
      <c r="G77" s="14"/>
      <c r="H77" s="15"/>
    </row>
    <row r="78" spans="1:9" ht="12.75" customHeight="1" x14ac:dyDescent="0.2">
      <c r="A78">
        <f>+MAX($A$8:A77)+1</f>
        <v>67</v>
      </c>
      <c r="B78" s="65" t="s">
        <v>561</v>
      </c>
      <c r="C78" s="120" t="s">
        <v>704</v>
      </c>
      <c r="D78" t="s">
        <v>56</v>
      </c>
      <c r="E78" s="28">
        <v>54000</v>
      </c>
      <c r="F78" s="13">
        <v>0</v>
      </c>
      <c r="G78" s="107" t="s">
        <v>443</v>
      </c>
      <c r="H78" s="15"/>
    </row>
    <row r="79" spans="1:9" ht="12.75" customHeight="1" x14ac:dyDescent="0.2">
      <c r="A79">
        <f>+MAX($A$8:A78)+1</f>
        <v>68</v>
      </c>
      <c r="B79" s="65" t="s">
        <v>562</v>
      </c>
      <c r="C79" s="65" t="s">
        <v>83</v>
      </c>
      <c r="D79" s="65" t="s">
        <v>52</v>
      </c>
      <c r="E79" s="28">
        <v>200000</v>
      </c>
      <c r="F79" s="13">
        <v>0</v>
      </c>
      <c r="G79" s="107" t="s">
        <v>443</v>
      </c>
      <c r="H79" s="15"/>
    </row>
    <row r="80" spans="1:9" ht="12.75" customHeight="1" x14ac:dyDescent="0.2">
      <c r="A80">
        <f>+MAX($A$8:A79)+1</f>
        <v>69</v>
      </c>
      <c r="B80" s="65" t="s">
        <v>563</v>
      </c>
      <c r="C80" s="65" t="s">
        <v>87</v>
      </c>
      <c r="D80" s="65" t="s">
        <v>364</v>
      </c>
      <c r="E80" s="28">
        <v>176305</v>
      </c>
      <c r="F80" s="13">
        <v>0</v>
      </c>
      <c r="G80" s="107" t="s">
        <v>443</v>
      </c>
      <c r="H80" s="15"/>
    </row>
    <row r="81" spans="1:9" ht="12.75" customHeight="1" x14ac:dyDescent="0.2">
      <c r="A81">
        <f>+MAX($A$8:A80)+1</f>
        <v>70</v>
      </c>
      <c r="B81" s="65" t="s">
        <v>564</v>
      </c>
      <c r="C81" s="120" t="s">
        <v>704</v>
      </c>
      <c r="D81" s="1" t="s">
        <v>54</v>
      </c>
      <c r="E81" s="28">
        <v>93200</v>
      </c>
      <c r="F81" s="13">
        <v>0</v>
      </c>
      <c r="G81" s="107" t="s">
        <v>443</v>
      </c>
      <c r="H81" s="15"/>
    </row>
    <row r="82" spans="1:9" ht="12.75" customHeight="1" x14ac:dyDescent="0.2">
      <c r="A82">
        <f>+MAX($A$8:A81)+1</f>
        <v>71</v>
      </c>
      <c r="B82" s="65" t="s">
        <v>565</v>
      </c>
      <c r="C82" s="65" t="s">
        <v>86</v>
      </c>
      <c r="D82" s="1" t="s">
        <v>36</v>
      </c>
      <c r="E82" s="28">
        <v>200</v>
      </c>
      <c r="F82" s="13">
        <v>0</v>
      </c>
      <c r="G82" s="107" t="s">
        <v>443</v>
      </c>
      <c r="H82" s="15"/>
    </row>
    <row r="83" spans="1:9" ht="12.75" customHeight="1" x14ac:dyDescent="0.2">
      <c r="A83">
        <f>+MAX($A$8:A82)+1</f>
        <v>72</v>
      </c>
      <c r="B83" s="65" t="s">
        <v>566</v>
      </c>
      <c r="C83" s="65" t="s">
        <v>85</v>
      </c>
      <c r="D83" s="1" t="s">
        <v>60</v>
      </c>
      <c r="E83" s="28">
        <v>39500</v>
      </c>
      <c r="F83" s="13">
        <v>0</v>
      </c>
      <c r="G83" s="107" t="s">
        <v>443</v>
      </c>
      <c r="H83" s="15"/>
    </row>
    <row r="84" spans="1:9" ht="12.75" customHeight="1" x14ac:dyDescent="0.2">
      <c r="A84">
        <f>+MAX($A$8:A83)+1</f>
        <v>73</v>
      </c>
      <c r="B84" s="65" t="s">
        <v>567</v>
      </c>
      <c r="C84" s="65" t="s">
        <v>84</v>
      </c>
      <c r="D84" s="1" t="s">
        <v>58</v>
      </c>
      <c r="E84" s="28">
        <v>50800</v>
      </c>
      <c r="F84" s="13">
        <v>0</v>
      </c>
      <c r="G84" s="107" t="s">
        <v>443</v>
      </c>
      <c r="H84" s="15"/>
    </row>
    <row r="85" spans="1:9" ht="12.75" customHeight="1" x14ac:dyDescent="0.2">
      <c r="B85" s="18" t="s">
        <v>82</v>
      </c>
      <c r="C85" s="18"/>
      <c r="D85" s="18"/>
      <c r="E85" s="29"/>
      <c r="F85" s="19">
        <f>SUM(F78:F84)</f>
        <v>0</v>
      </c>
      <c r="G85" s="51" t="s">
        <v>443</v>
      </c>
      <c r="H85" s="21"/>
      <c r="I85" s="35"/>
    </row>
    <row r="86" spans="1:9" ht="12.75" customHeight="1" x14ac:dyDescent="0.2">
      <c r="F86" s="13"/>
      <c r="G86" s="14"/>
      <c r="H86" s="15"/>
    </row>
    <row r="87" spans="1:9" ht="12.75" customHeight="1" x14ac:dyDescent="0.2">
      <c r="B87" s="16" t="s">
        <v>89</v>
      </c>
      <c r="C87" s="16"/>
      <c r="F87" s="13"/>
      <c r="G87" s="14"/>
      <c r="H87" s="15"/>
    </row>
    <row r="88" spans="1:9" ht="12.75" customHeight="1" x14ac:dyDescent="0.2">
      <c r="A88">
        <f>+MAX($A$8:A87)+1</f>
        <v>74</v>
      </c>
      <c r="B88" t="s">
        <v>707</v>
      </c>
      <c r="C88" s="65" t="s">
        <v>708</v>
      </c>
      <c r="D88" t="s">
        <v>285</v>
      </c>
      <c r="E88" s="28">
        <v>230668.16260000001</v>
      </c>
      <c r="F88" s="13">
        <v>4000.8647744999998</v>
      </c>
      <c r="G88" s="14">
        <f>+ROUND(F88/VLOOKUP("Grand Total",$B$4:$F$285,5,0),4)</f>
        <v>5.8000000000000003E-2</v>
      </c>
      <c r="H88" s="15"/>
    </row>
    <row r="89" spans="1:9" ht="12.75" customHeight="1" x14ac:dyDescent="0.2">
      <c r="A89">
        <f>+MAX($A$8:A88)+1</f>
        <v>75</v>
      </c>
      <c r="B89" t="s">
        <v>580</v>
      </c>
      <c r="C89" s="65" t="s">
        <v>269</v>
      </c>
      <c r="D89" t="s">
        <v>285</v>
      </c>
      <c r="E89" s="28">
        <v>2014991.537</v>
      </c>
      <c r="F89" s="13">
        <v>648.28927220000003</v>
      </c>
      <c r="G89" s="14">
        <f t="shared" ref="G89" si="4">+ROUND(F89/VLOOKUP("Grand Total",$B$4:$F$285,5,0),4)</f>
        <v>9.4000000000000004E-3</v>
      </c>
      <c r="H89" s="15"/>
    </row>
    <row r="90" spans="1:9" ht="12.75" customHeight="1" x14ac:dyDescent="0.2">
      <c r="B90" s="18" t="s">
        <v>82</v>
      </c>
      <c r="C90" s="18"/>
      <c r="D90" s="18"/>
      <c r="E90" s="29"/>
      <c r="F90" s="19">
        <f>SUM(F88:F89)</f>
        <v>4649.1540466999995</v>
      </c>
      <c r="G90" s="51">
        <f>SUM(G88:G89)</f>
        <v>6.7400000000000002E-2</v>
      </c>
      <c r="H90" s="21"/>
      <c r="I90" s="35"/>
    </row>
    <row r="91" spans="1:9" ht="12.75" customHeight="1" x14ac:dyDescent="0.2">
      <c r="F91" s="13"/>
      <c r="G91" s="14"/>
      <c r="H91" s="15"/>
    </row>
    <row r="92" spans="1:9" ht="12.75" customHeight="1" x14ac:dyDescent="0.2">
      <c r="B92" s="16" t="s">
        <v>91</v>
      </c>
      <c r="C92" s="16"/>
      <c r="F92" s="13"/>
      <c r="G92" s="14"/>
      <c r="H92" s="15"/>
    </row>
    <row r="93" spans="1:9" ht="12.75" customHeight="1" x14ac:dyDescent="0.2">
      <c r="A93" s="94" t="s">
        <v>321</v>
      </c>
      <c r="B93" s="16" t="s">
        <v>658</v>
      </c>
      <c r="C93" s="16"/>
      <c r="F93" s="13">
        <v>595.43241999999998</v>
      </c>
      <c r="G93" s="14">
        <f>+ROUND(F93/VLOOKUP("Grand Total",$B$4:$F$285,5,0),4)</f>
        <v>8.6E-3</v>
      </c>
      <c r="H93" s="15">
        <v>43313</v>
      </c>
    </row>
    <row r="94" spans="1:9" ht="12.75" customHeight="1" x14ac:dyDescent="0.2">
      <c r="B94" s="16" t="s">
        <v>92</v>
      </c>
      <c r="C94" s="16"/>
      <c r="F94" s="79">
        <v>-1409.1643466000241</v>
      </c>
      <c r="G94" s="127">
        <f>+ROUND(F94/VLOOKUP("Grand Total",$B$4:$F$285,5,0),4)-0.02%</f>
        <v>-2.06E-2</v>
      </c>
      <c r="H94" s="15"/>
    </row>
    <row r="95" spans="1:9" ht="12.75" customHeight="1" x14ac:dyDescent="0.2">
      <c r="B95" s="18" t="s">
        <v>82</v>
      </c>
      <c r="C95" s="18"/>
      <c r="D95" s="18"/>
      <c r="E95" s="29"/>
      <c r="F95" s="125">
        <f>SUM(F93:F94)</f>
        <v>-813.73192660002417</v>
      </c>
      <c r="G95" s="123">
        <f>SUM(G93:G94)</f>
        <v>-1.2E-2</v>
      </c>
      <c r="H95" s="21"/>
      <c r="I95" s="35"/>
    </row>
    <row r="96" spans="1:9" ht="12.75" customHeight="1" x14ac:dyDescent="0.2">
      <c r="B96" s="22" t="s">
        <v>93</v>
      </c>
      <c r="C96" s="22"/>
      <c r="D96" s="22"/>
      <c r="E96" s="30"/>
      <c r="F96" s="23">
        <f>+SUMIF($B$5:B95,"Total",$F$5:F95)</f>
        <v>69037.690032099985</v>
      </c>
      <c r="G96" s="24">
        <f>+SUMIF($B$5:B95,"Total",$G$5:G95)</f>
        <v>1.0000000000000002</v>
      </c>
      <c r="H96" s="25"/>
      <c r="I96" s="35"/>
    </row>
    <row r="97" spans="2:7" ht="12.75" customHeight="1" x14ac:dyDescent="0.2"/>
    <row r="98" spans="2:7" ht="12.75" customHeight="1" x14ac:dyDescent="0.2">
      <c r="B98" s="16" t="s">
        <v>171</v>
      </c>
      <c r="C98" s="16"/>
    </row>
    <row r="99" spans="2:7" ht="12.75" customHeight="1" x14ac:dyDescent="0.2">
      <c r="B99" s="16" t="s">
        <v>172</v>
      </c>
      <c r="C99" s="16"/>
    </row>
    <row r="100" spans="2:7" ht="12.75" customHeight="1" x14ac:dyDescent="0.2">
      <c r="B100" s="16" t="s">
        <v>173</v>
      </c>
      <c r="C100" s="16"/>
      <c r="F100" s="43"/>
      <c r="G100" s="43"/>
    </row>
    <row r="101" spans="2:7" ht="12.75" customHeight="1" x14ac:dyDescent="0.2">
      <c r="B101" s="53" t="s">
        <v>274</v>
      </c>
      <c r="C101" s="16"/>
    </row>
    <row r="102" spans="2:7" ht="12.75" customHeight="1" x14ac:dyDescent="0.2"/>
    <row r="103" spans="2:7" ht="12.75" customHeight="1" x14ac:dyDescent="0.2"/>
    <row r="104" spans="2:7" ht="12.75" customHeight="1" x14ac:dyDescent="0.2"/>
    <row r="105" spans="2:7" ht="12.75" customHeight="1" x14ac:dyDescent="0.2"/>
    <row r="106" spans="2:7" ht="12.75" customHeight="1" x14ac:dyDescent="0.2"/>
    <row r="107" spans="2:7" ht="12.75" customHeight="1" x14ac:dyDescent="0.2"/>
    <row r="108" spans="2:7" ht="12.75" customHeight="1" x14ac:dyDescent="0.2"/>
    <row r="109" spans="2:7" ht="12.75" customHeight="1" x14ac:dyDescent="0.2"/>
    <row r="110" spans="2:7" ht="12.75" customHeight="1" x14ac:dyDescent="0.2"/>
    <row r="111" spans="2:7" ht="12.75" customHeight="1" x14ac:dyDescent="0.2"/>
    <row r="112" spans="2:7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</sheetData>
  <sortState ref="J9:K36">
    <sortCondition descending="1" ref="K9:K3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P7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3" t="s">
        <v>332</v>
      </c>
      <c r="B1" s="129" t="s">
        <v>576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C7" s="16"/>
      <c r="F7" s="13"/>
      <c r="G7" s="14"/>
      <c r="H7" s="15"/>
    </row>
    <row r="8" spans="1:16" ht="12.75" customHeight="1" x14ac:dyDescent="0.2">
      <c r="B8" s="16" t="s">
        <v>273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+MAX($A$8:A8)+1</f>
        <v>1</v>
      </c>
      <c r="B9" s="65" t="s">
        <v>458</v>
      </c>
      <c r="C9" t="s">
        <v>685</v>
      </c>
      <c r="D9" t="s">
        <v>459</v>
      </c>
      <c r="E9" s="28">
        <v>160</v>
      </c>
      <c r="F9" s="13">
        <v>789.55920000000003</v>
      </c>
      <c r="G9" s="14">
        <f>+ROUND(F9/VLOOKUP("Grand Total",$B$4:$F$300,5,0),4)</f>
        <v>8.8099999999999998E-2</v>
      </c>
      <c r="H9" s="15">
        <v>43362</v>
      </c>
      <c r="I9" s="64"/>
      <c r="J9" s="14" t="s">
        <v>263</v>
      </c>
      <c r="K9" s="48">
        <f>SUMIFS($G$5:$G$323,$D$5:$D$323,J9)</f>
        <v>0.17170000000000002</v>
      </c>
    </row>
    <row r="10" spans="1:16" ht="12.75" customHeight="1" x14ac:dyDescent="0.2">
      <c r="A10">
        <f>+MAX($A$8:A9)+1</f>
        <v>2</v>
      </c>
      <c r="B10" s="1" t="s">
        <v>730</v>
      </c>
      <c r="C10" t="s">
        <v>731</v>
      </c>
      <c r="D10" t="s">
        <v>152</v>
      </c>
      <c r="E10" s="28">
        <v>120</v>
      </c>
      <c r="F10" s="13">
        <v>599.09760000000006</v>
      </c>
      <c r="G10" s="14">
        <f>+ROUND(F10/VLOOKUP("Grand Total",$B$4:$F$300,5,0),4)</f>
        <v>6.6900000000000001E-2</v>
      </c>
      <c r="H10" s="15">
        <v>43318</v>
      </c>
      <c r="I10" s="64"/>
      <c r="J10" s="14" t="s">
        <v>152</v>
      </c>
      <c r="K10" s="48">
        <f>SUMIFS($G$5:$G$323,$D$5:$D$323,J10)</f>
        <v>0.1115</v>
      </c>
    </row>
    <row r="11" spans="1:16" ht="12.75" customHeight="1" x14ac:dyDescent="0.2">
      <c r="A11">
        <f>+MAX($A$8:A10)+1</f>
        <v>3</v>
      </c>
      <c r="B11" s="1" t="s">
        <v>726</v>
      </c>
      <c r="C11" t="s">
        <v>727</v>
      </c>
      <c r="D11" t="s">
        <v>152</v>
      </c>
      <c r="E11" s="28">
        <v>80</v>
      </c>
      <c r="F11" s="13">
        <v>399.39839999999998</v>
      </c>
      <c r="G11" s="14">
        <f>+ROUND(F11/VLOOKUP("Grand Total",$B$4:$F$300,5,0),4)</f>
        <v>4.4600000000000001E-2</v>
      </c>
      <c r="H11" s="15">
        <v>43318</v>
      </c>
      <c r="I11" s="64"/>
      <c r="J11" s="14" t="s">
        <v>381</v>
      </c>
      <c r="K11" s="48">
        <f>SUMIFS($G$5:$G$323,$D$5:$D$323,J11)</f>
        <v>0.10669999999999999</v>
      </c>
    </row>
    <row r="12" spans="1:16" ht="12.75" customHeight="1" x14ac:dyDescent="0.2">
      <c r="A12">
        <f>+MAX($A$8:A11)+1</f>
        <v>4</v>
      </c>
      <c r="B12" s="1" t="s">
        <v>262</v>
      </c>
      <c r="C12" t="s">
        <v>456</v>
      </c>
      <c r="D12" t="s">
        <v>463</v>
      </c>
      <c r="E12" s="28">
        <v>80</v>
      </c>
      <c r="F12" s="13">
        <v>396.7912</v>
      </c>
      <c r="G12" s="14">
        <f>+ROUND(F12/VLOOKUP("Grand Total",$B$4:$F$300,5,0),4)</f>
        <v>4.4299999999999999E-2</v>
      </c>
      <c r="H12" s="15">
        <v>43350</v>
      </c>
      <c r="I12" s="64"/>
      <c r="J12" s="14" t="s">
        <v>104</v>
      </c>
      <c r="K12" s="48">
        <f>SUMIFS($G$5:$G$323,$D$5:$D$323,J12)</f>
        <v>9.98E-2</v>
      </c>
    </row>
    <row r="13" spans="1:16" ht="12.75" customHeight="1" x14ac:dyDescent="0.2">
      <c r="A13">
        <f>+MAX($A$8:A12)+1</f>
        <v>5</v>
      </c>
      <c r="B13" s="1" t="s">
        <v>262</v>
      </c>
      <c r="C13" t="s">
        <v>478</v>
      </c>
      <c r="D13" t="s">
        <v>463</v>
      </c>
      <c r="E13" s="28">
        <v>80</v>
      </c>
      <c r="F13" s="13">
        <v>390.05</v>
      </c>
      <c r="G13" s="14">
        <f>+ROUND(F13/VLOOKUP("Grand Total",$B$4:$F$300,5,0),4)</f>
        <v>4.3499999999999997E-2</v>
      </c>
      <c r="H13" s="15">
        <v>43426</v>
      </c>
      <c r="I13" s="64"/>
      <c r="J13" s="14" t="s">
        <v>315</v>
      </c>
      <c r="K13" s="48">
        <f t="shared" ref="K13:K19" si="0">SUMIFS($G$5:$G$323,$D$5:$D$323,J13)</f>
        <v>9.01E-2</v>
      </c>
    </row>
    <row r="14" spans="1:16" ht="12.75" customHeight="1" x14ac:dyDescent="0.2">
      <c r="B14" s="18" t="s">
        <v>82</v>
      </c>
      <c r="C14" s="18"/>
      <c r="D14" s="18"/>
      <c r="E14" s="29"/>
      <c r="F14" s="19">
        <f>SUM(F9:F13)</f>
        <v>2574.8964000000005</v>
      </c>
      <c r="G14" s="20">
        <f>SUM(G9:G13)</f>
        <v>0.28739999999999999</v>
      </c>
      <c r="H14" s="21"/>
      <c r="J14" t="s">
        <v>527</v>
      </c>
      <c r="K14" s="48">
        <f t="shared" si="0"/>
        <v>8.9800000000000005E-2</v>
      </c>
      <c r="M14" s="14"/>
      <c r="N14" s="36"/>
      <c r="P14" s="14"/>
    </row>
    <row r="15" spans="1:16" ht="12.75" customHeight="1" x14ac:dyDescent="0.2">
      <c r="B15" s="16"/>
      <c r="C15" s="16"/>
      <c r="F15" s="13"/>
      <c r="G15" s="14"/>
      <c r="H15" s="15"/>
      <c r="J15" t="s">
        <v>459</v>
      </c>
      <c r="K15" s="48">
        <f t="shared" si="0"/>
        <v>8.8099999999999998E-2</v>
      </c>
    </row>
    <row r="16" spans="1:16" ht="12.75" customHeight="1" x14ac:dyDescent="0.2">
      <c r="B16" s="16" t="s">
        <v>157</v>
      </c>
      <c r="C16" s="16"/>
      <c r="F16" s="13"/>
      <c r="G16" s="14"/>
      <c r="H16" s="15"/>
      <c r="J16" s="80" t="s">
        <v>463</v>
      </c>
      <c r="K16" s="48">
        <f t="shared" si="0"/>
        <v>8.7799999999999989E-2</v>
      </c>
    </row>
    <row r="17" spans="1:16" ht="12.75" customHeight="1" x14ac:dyDescent="0.2">
      <c r="A17">
        <f>+MAX($A$8:A16)+1</f>
        <v>6</v>
      </c>
      <c r="B17" s="65" t="s">
        <v>464</v>
      </c>
      <c r="C17" t="s">
        <v>675</v>
      </c>
      <c r="D17" t="s">
        <v>354</v>
      </c>
      <c r="E17" s="28">
        <v>30000</v>
      </c>
      <c r="F17" s="13">
        <v>29.848140000000001</v>
      </c>
      <c r="G17" s="14">
        <f>+ROUND(F17/VLOOKUP("Grand Total",$B$4:$F$300,5,0),4)</f>
        <v>3.3E-3</v>
      </c>
      <c r="H17" s="15">
        <v>43342</v>
      </c>
      <c r="I17" s="64"/>
      <c r="J17" s="14" t="s">
        <v>734</v>
      </c>
      <c r="K17" s="48">
        <f t="shared" si="0"/>
        <v>6.0699999999999997E-2</v>
      </c>
    </row>
    <row r="18" spans="1:16" ht="12.75" customHeight="1" x14ac:dyDescent="0.2">
      <c r="B18" s="18" t="s">
        <v>82</v>
      </c>
      <c r="C18" s="18"/>
      <c r="D18" s="18"/>
      <c r="E18" s="29"/>
      <c r="F18" s="19">
        <f>SUM(F17:F17)</f>
        <v>29.848140000000001</v>
      </c>
      <c r="G18" s="20">
        <f>SUM(G17:G17)</f>
        <v>3.3E-3</v>
      </c>
      <c r="H18" s="21"/>
      <c r="J18" t="s">
        <v>497</v>
      </c>
      <c r="K18" s="48">
        <f t="shared" si="0"/>
        <v>5.5300000000000002E-2</v>
      </c>
      <c r="M18" s="14"/>
      <c r="N18" s="36"/>
      <c r="P18" s="14"/>
    </row>
    <row r="19" spans="1:16" ht="12.75" customHeight="1" x14ac:dyDescent="0.2">
      <c r="B19" s="16"/>
      <c r="C19" s="16"/>
      <c r="F19" s="13"/>
      <c r="G19" s="14"/>
      <c r="H19" s="15"/>
      <c r="J19" s="14" t="s">
        <v>354</v>
      </c>
      <c r="K19" s="48">
        <f t="shared" si="0"/>
        <v>3.3E-3</v>
      </c>
    </row>
    <row r="20" spans="1:16" ht="12.75" customHeight="1" x14ac:dyDescent="0.2">
      <c r="B20" s="16" t="s">
        <v>120</v>
      </c>
      <c r="C20" s="16"/>
      <c r="F20" s="13"/>
      <c r="G20" s="14"/>
      <c r="H20" s="15"/>
      <c r="I20" s="35"/>
      <c r="J20" s="14" t="s">
        <v>62</v>
      </c>
      <c r="K20" s="48">
        <f>+SUMIFS($G$5:$G$998,$B$5:$B$998,"CBLO / Reverse Repo")+SUMIFS($G$5:$G$998,$B$5:$B$998,"Net Receivable/Payable")</f>
        <v>3.5200000000000002E-2</v>
      </c>
      <c r="N20" s="36"/>
      <c r="P20" s="14"/>
    </row>
    <row r="21" spans="1:16" ht="12.75" customHeight="1" x14ac:dyDescent="0.2">
      <c r="B21" s="31" t="s">
        <v>356</v>
      </c>
      <c r="C21" s="16"/>
      <c r="F21" s="13"/>
      <c r="G21" s="14"/>
      <c r="H21" s="15"/>
      <c r="J21" s="14"/>
      <c r="K21" s="48"/>
      <c r="M21" s="14"/>
      <c r="N21" s="36"/>
      <c r="P21" s="14"/>
    </row>
    <row r="22" spans="1:16" ht="12.75" customHeight="1" x14ac:dyDescent="0.2">
      <c r="A22">
        <f>+MAX($A$8:A21)+1</f>
        <v>7</v>
      </c>
      <c r="B22" s="65" t="s">
        <v>764</v>
      </c>
      <c r="C22" s="1" t="s">
        <v>526</v>
      </c>
      <c r="D22" t="s">
        <v>527</v>
      </c>
      <c r="E22" s="28">
        <v>800</v>
      </c>
      <c r="F22" s="13">
        <v>804.70640000000003</v>
      </c>
      <c r="G22" s="14">
        <f t="shared" ref="G22:G33" si="1">+ROUND(F22/VLOOKUP("Grand Total",$B$4:$F$293,5,0),4)</f>
        <v>8.9800000000000005E-2</v>
      </c>
      <c r="H22" s="15">
        <v>43766</v>
      </c>
      <c r="I22" s="64"/>
      <c r="J22" s="14"/>
      <c r="K22" s="48"/>
      <c r="L22" s="54"/>
      <c r="M22" s="14"/>
    </row>
    <row r="23" spans="1:16" s="1" customFormat="1" ht="12.75" customHeight="1" x14ac:dyDescent="0.2">
      <c r="A23">
        <f>+MAX($A$8:A22)+1</f>
        <v>8</v>
      </c>
      <c r="B23" s="1" t="s">
        <v>765</v>
      </c>
      <c r="C23" s="1" t="s">
        <v>686</v>
      </c>
      <c r="D23" s="1" t="s">
        <v>263</v>
      </c>
      <c r="E23" s="57">
        <v>80</v>
      </c>
      <c r="F23" s="58">
        <v>791.78639999999996</v>
      </c>
      <c r="G23" s="14">
        <f t="shared" si="1"/>
        <v>8.8400000000000006E-2</v>
      </c>
      <c r="H23" s="60">
        <v>44109</v>
      </c>
      <c r="I23" s="64"/>
      <c r="J23" s="14"/>
      <c r="K23" s="48"/>
      <c r="L23" s="54"/>
      <c r="M23" s="14"/>
      <c r="N23" s="61"/>
      <c r="P23" s="59"/>
    </row>
    <row r="24" spans="1:16" s="1" customFormat="1" ht="12.75" customHeight="1" x14ac:dyDescent="0.2">
      <c r="A24">
        <f>+MAX($A$8:A23)+1</f>
        <v>9</v>
      </c>
      <c r="B24" s="1" t="s">
        <v>758</v>
      </c>
      <c r="C24" s="1" t="s">
        <v>406</v>
      </c>
      <c r="D24" s="1" t="s">
        <v>263</v>
      </c>
      <c r="E24" s="57">
        <v>55</v>
      </c>
      <c r="F24" s="58">
        <v>547.86765000000003</v>
      </c>
      <c r="G24" s="14">
        <f t="shared" si="1"/>
        <v>6.1100000000000002E-2</v>
      </c>
      <c r="H24" s="60">
        <v>43630</v>
      </c>
      <c r="I24" s="64"/>
      <c r="J24"/>
      <c r="K24" s="36"/>
      <c r="M24" s="59"/>
      <c r="N24" s="61"/>
      <c r="P24" s="59"/>
    </row>
    <row r="25" spans="1:16" s="1" customFormat="1" ht="12.75" customHeight="1" x14ac:dyDescent="0.2">
      <c r="A25">
        <f>+MAX($A$8:A24)+1</f>
        <v>10</v>
      </c>
      <c r="B25" s="65" t="s">
        <v>766</v>
      </c>
      <c r="C25" s="1" t="s">
        <v>640</v>
      </c>
      <c r="D25" s="1" t="s">
        <v>381</v>
      </c>
      <c r="E25" s="57">
        <v>50</v>
      </c>
      <c r="F25" s="58">
        <v>509.45</v>
      </c>
      <c r="G25" s="14">
        <f t="shared" si="1"/>
        <v>5.6899999999999999E-2</v>
      </c>
      <c r="H25" s="60">
        <v>44676</v>
      </c>
      <c r="I25" s="64"/>
      <c r="N25" s="61"/>
      <c r="P25" s="59"/>
    </row>
    <row r="26" spans="1:16" s="1" customFormat="1" ht="12.75" customHeight="1" x14ac:dyDescent="0.2">
      <c r="A26">
        <f>+MAX($A$8:A25)+1</f>
        <v>11</v>
      </c>
      <c r="B26" s="65" t="s">
        <v>767</v>
      </c>
      <c r="C26" s="1" t="s">
        <v>363</v>
      </c>
      <c r="D26" s="1" t="s">
        <v>315</v>
      </c>
      <c r="E26" s="57">
        <v>51000</v>
      </c>
      <c r="F26" s="58">
        <v>508.05588</v>
      </c>
      <c r="G26" s="14">
        <f t="shared" si="1"/>
        <v>5.67E-2</v>
      </c>
      <c r="H26" s="60">
        <v>43717</v>
      </c>
      <c r="I26" s="64"/>
      <c r="N26" s="61"/>
      <c r="P26" s="59"/>
    </row>
    <row r="27" spans="1:16" s="1" customFormat="1" ht="12.75" customHeight="1" x14ac:dyDescent="0.2">
      <c r="A27">
        <f>+MAX($A$8:A26)+1</f>
        <v>12</v>
      </c>
      <c r="B27" s="65" t="s">
        <v>768</v>
      </c>
      <c r="C27" s="1" t="s">
        <v>489</v>
      </c>
      <c r="D27" s="1" t="s">
        <v>104</v>
      </c>
      <c r="E27" s="57">
        <v>50</v>
      </c>
      <c r="F27" s="58">
        <v>498.89449999999999</v>
      </c>
      <c r="G27" s="14">
        <f t="shared" si="1"/>
        <v>5.57E-2</v>
      </c>
      <c r="H27" s="60">
        <v>43584</v>
      </c>
      <c r="I27" s="64"/>
      <c r="N27" s="61"/>
      <c r="P27" s="59"/>
    </row>
    <row r="28" spans="1:16" s="1" customFormat="1" ht="12.75" customHeight="1" x14ac:dyDescent="0.2">
      <c r="A28">
        <f>+MAX($A$8:A27)+1</f>
        <v>13</v>
      </c>
      <c r="B28" s="65" t="s">
        <v>769</v>
      </c>
      <c r="C28" s="1" t="s">
        <v>503</v>
      </c>
      <c r="D28" s="1" t="s">
        <v>497</v>
      </c>
      <c r="E28" s="57">
        <v>70</v>
      </c>
      <c r="F28" s="58">
        <v>495.67559999999997</v>
      </c>
      <c r="G28" s="14">
        <f t="shared" si="1"/>
        <v>5.5300000000000002E-2</v>
      </c>
      <c r="H28" s="60">
        <v>43826</v>
      </c>
      <c r="I28" s="64"/>
      <c r="N28" s="61"/>
      <c r="P28" s="59"/>
    </row>
    <row r="29" spans="1:16" s="1" customFormat="1" ht="12.75" customHeight="1" x14ac:dyDescent="0.2">
      <c r="A29">
        <f>+MAX($A$8:A28)+1</f>
        <v>14</v>
      </c>
      <c r="B29" s="65" t="s">
        <v>756</v>
      </c>
      <c r="C29" s="1" t="s">
        <v>679</v>
      </c>
      <c r="D29" s="1" t="s">
        <v>381</v>
      </c>
      <c r="E29" s="57">
        <v>45</v>
      </c>
      <c r="F29" s="58">
        <v>446.10165000000001</v>
      </c>
      <c r="G29" s="14">
        <f t="shared" si="1"/>
        <v>4.9799999999999997E-2</v>
      </c>
      <c r="H29" s="60">
        <v>43616</v>
      </c>
      <c r="I29" s="64"/>
      <c r="N29" s="61"/>
      <c r="P29" s="59"/>
    </row>
    <row r="30" spans="1:16" s="1" customFormat="1" ht="12.75" customHeight="1" x14ac:dyDescent="0.2">
      <c r="A30">
        <f>+MAX($A$8:A29)+1</f>
        <v>15</v>
      </c>
      <c r="B30" s="65" t="s">
        <v>314</v>
      </c>
      <c r="C30" s="1" t="s">
        <v>440</v>
      </c>
      <c r="D30" s="1" t="s">
        <v>315</v>
      </c>
      <c r="E30" s="57">
        <v>30000</v>
      </c>
      <c r="F30" s="58">
        <v>298.97669999999999</v>
      </c>
      <c r="G30" s="14">
        <f t="shared" si="1"/>
        <v>3.3399999999999999E-2</v>
      </c>
      <c r="H30" s="60">
        <v>43717</v>
      </c>
      <c r="I30" s="64"/>
      <c r="N30" s="61"/>
      <c r="P30" s="59"/>
    </row>
    <row r="31" spans="1:16" s="1" customFormat="1" ht="12.75" customHeight="1" x14ac:dyDescent="0.2">
      <c r="A31">
        <f>+MAX($A$8:A30)+1</f>
        <v>16</v>
      </c>
      <c r="B31" s="65" t="s">
        <v>424</v>
      </c>
      <c r="C31" s="1" t="s">
        <v>425</v>
      </c>
      <c r="D31" s="1" t="s">
        <v>104</v>
      </c>
      <c r="E31" s="57">
        <v>30</v>
      </c>
      <c r="F31" s="58">
        <v>294.8211</v>
      </c>
      <c r="G31" s="14">
        <f t="shared" si="1"/>
        <v>3.2899999999999999E-2</v>
      </c>
      <c r="H31" s="60">
        <v>44091</v>
      </c>
      <c r="I31" s="64"/>
      <c r="N31" s="61"/>
      <c r="P31" s="59"/>
    </row>
    <row r="32" spans="1:16" s="1" customFormat="1" ht="12.75" customHeight="1" x14ac:dyDescent="0.2">
      <c r="A32">
        <f>+MAX($A$8:A31)+1</f>
        <v>17</v>
      </c>
      <c r="B32" s="65" t="s">
        <v>770</v>
      </c>
      <c r="C32" s="1" t="s">
        <v>504</v>
      </c>
      <c r="D32" s="1" t="s">
        <v>263</v>
      </c>
      <c r="E32" s="57">
        <v>20</v>
      </c>
      <c r="F32" s="58">
        <v>199.2</v>
      </c>
      <c r="G32" s="14">
        <f t="shared" si="1"/>
        <v>2.2200000000000001E-2</v>
      </c>
      <c r="H32" s="60">
        <v>43643</v>
      </c>
      <c r="I32" s="64"/>
      <c r="N32" s="61"/>
      <c r="P32" s="59"/>
    </row>
    <row r="33" spans="1:16" s="1" customFormat="1" ht="12.75" customHeight="1" x14ac:dyDescent="0.2">
      <c r="A33">
        <f>+MAX($A$8:A32)+1</f>
        <v>18</v>
      </c>
      <c r="B33" s="1" t="s">
        <v>771</v>
      </c>
      <c r="C33" s="1" t="s">
        <v>490</v>
      </c>
      <c r="D33" s="1" t="s">
        <v>104</v>
      </c>
      <c r="E33" s="57">
        <v>10</v>
      </c>
      <c r="F33" s="58">
        <v>100.45869999999999</v>
      </c>
      <c r="G33" s="14">
        <f t="shared" si="1"/>
        <v>1.12E-2</v>
      </c>
      <c r="H33" s="60">
        <v>43480</v>
      </c>
      <c r="I33" s="64"/>
      <c r="N33" s="61"/>
      <c r="P33" s="59"/>
    </row>
    <row r="34" spans="1:16" ht="12.75" customHeight="1" x14ac:dyDescent="0.2">
      <c r="B34" s="18" t="s">
        <v>82</v>
      </c>
      <c r="C34" s="18"/>
      <c r="D34" s="18"/>
      <c r="E34" s="29"/>
      <c r="F34" s="19">
        <f>SUM(F22:F33)</f>
        <v>5495.9945799999996</v>
      </c>
      <c r="G34" s="20">
        <f>SUM(G22:G33)</f>
        <v>0.61339999999999995</v>
      </c>
      <c r="H34" s="21"/>
      <c r="I34" s="35"/>
    </row>
    <row r="35" spans="1:16" s="46" customFormat="1" ht="12.75" customHeight="1" x14ac:dyDescent="0.2">
      <c r="B35" s="67"/>
      <c r="C35" s="67"/>
      <c r="D35" s="67"/>
      <c r="E35" s="68"/>
      <c r="F35" s="69"/>
      <c r="G35" s="70"/>
      <c r="H35" s="71"/>
      <c r="I35" s="71"/>
      <c r="K35" s="48"/>
    </row>
    <row r="36" spans="1:16" ht="12.75" customHeight="1" x14ac:dyDescent="0.2">
      <c r="B36" s="16" t="s">
        <v>560</v>
      </c>
      <c r="C36" s="16"/>
      <c r="F36" s="13"/>
      <c r="G36" s="14"/>
      <c r="H36" s="15"/>
      <c r="J36" s="17"/>
      <c r="K36" s="37"/>
    </row>
    <row r="37" spans="1:16" ht="12.75" customHeight="1" x14ac:dyDescent="0.2">
      <c r="A37">
        <f>+MAX($A$8:A36)+1</f>
        <v>19</v>
      </c>
      <c r="B37" s="65" t="s">
        <v>525</v>
      </c>
      <c r="C37" t="s">
        <v>441</v>
      </c>
      <c r="D37" t="s">
        <v>734</v>
      </c>
      <c r="E37" s="28">
        <v>50</v>
      </c>
      <c r="F37" s="13">
        <v>544.18399999999997</v>
      </c>
      <c r="G37" s="14">
        <f>+ROUND(F37/VLOOKUP("Grand Total",$B$4:$F$300,5,0),4)</f>
        <v>6.0699999999999997E-2</v>
      </c>
      <c r="H37" s="15">
        <v>43321</v>
      </c>
      <c r="I37" s="64"/>
      <c r="J37" s="14"/>
      <c r="K37" s="48"/>
    </row>
    <row r="38" spans="1:16" ht="12.75" customHeight="1" x14ac:dyDescent="0.2">
      <c r="B38" s="18" t="s">
        <v>82</v>
      </c>
      <c r="C38" s="18"/>
      <c r="D38" s="18"/>
      <c r="E38" s="29"/>
      <c r="F38" s="19">
        <f>SUM(F37:F37)</f>
        <v>544.18399999999997</v>
      </c>
      <c r="G38" s="20">
        <f>SUM(G37:G37)</f>
        <v>6.0699999999999997E-2</v>
      </c>
      <c r="H38" s="21"/>
      <c r="K38" s="48"/>
      <c r="M38" s="14"/>
      <c r="N38" s="36"/>
      <c r="P38" s="14"/>
    </row>
    <row r="39" spans="1:16" s="46" customFormat="1" ht="12.75" customHeight="1" x14ac:dyDescent="0.2">
      <c r="B39" s="67"/>
      <c r="C39" s="67"/>
      <c r="D39" s="67"/>
      <c r="E39" s="68"/>
      <c r="F39" s="69"/>
      <c r="G39" s="70"/>
      <c r="H39" s="71"/>
      <c r="I39" s="71"/>
      <c r="K39" s="48"/>
    </row>
    <row r="40" spans="1:16" ht="12.75" customHeight="1" x14ac:dyDescent="0.2">
      <c r="B40" s="16" t="s">
        <v>91</v>
      </c>
      <c r="C40" s="16"/>
      <c r="F40" s="13"/>
      <c r="G40" s="14"/>
      <c r="H40" s="15"/>
    </row>
    <row r="41" spans="1:16" ht="12.75" customHeight="1" x14ac:dyDescent="0.2">
      <c r="A41" s="94" t="s">
        <v>321</v>
      </c>
      <c r="B41" s="16" t="s">
        <v>658</v>
      </c>
      <c r="C41" s="16"/>
      <c r="F41" s="13">
        <v>110.02122</v>
      </c>
      <c r="G41" s="14">
        <f>+ROUND(F41/VLOOKUP("Grand Total",$B$4:$F$300,5,0),4)</f>
        <v>1.23E-2</v>
      </c>
      <c r="H41" s="15">
        <v>43313</v>
      </c>
    </row>
    <row r="42" spans="1:16" ht="12.75" customHeight="1" x14ac:dyDescent="0.2">
      <c r="B42" s="16" t="s">
        <v>92</v>
      </c>
      <c r="C42" s="16"/>
      <c r="F42" s="13">
        <v>205.05922380000266</v>
      </c>
      <c r="G42" s="14">
        <f>+ROUND(F42/VLOOKUP("Grand Total",$B$4:$F$300,5,0),4)</f>
        <v>2.29E-2</v>
      </c>
      <c r="H42" s="15"/>
    </row>
    <row r="43" spans="1:16" ht="12.75" customHeight="1" x14ac:dyDescent="0.2">
      <c r="B43" s="18" t="s">
        <v>82</v>
      </c>
      <c r="C43" s="18"/>
      <c r="D43" s="18"/>
      <c r="E43" s="29"/>
      <c r="F43" s="19">
        <f>SUM(F41:F42)</f>
        <v>315.08044380000263</v>
      </c>
      <c r="G43" s="20">
        <f>SUM(G41:G42)</f>
        <v>3.5200000000000002E-2</v>
      </c>
      <c r="H43" s="21"/>
      <c r="I43" s="35"/>
    </row>
    <row r="44" spans="1:16" ht="12.75" customHeight="1" x14ac:dyDescent="0.2">
      <c r="B44" s="22" t="s">
        <v>93</v>
      </c>
      <c r="C44" s="22"/>
      <c r="D44" s="22"/>
      <c r="E44" s="30"/>
      <c r="F44" s="23">
        <f>+SUMIF($B$5:B43,"Total",$F$5:F43)</f>
        <v>8960.0035638000027</v>
      </c>
      <c r="G44" s="24">
        <f>+SUMIF($B$5:B43,"Total",$G$5:G43)</f>
        <v>0.99999999999999989</v>
      </c>
      <c r="H44" s="25"/>
    </row>
    <row r="45" spans="1:16" ht="12.75" customHeight="1" x14ac:dyDescent="0.2"/>
    <row r="46" spans="1:16" ht="12.75" customHeight="1" x14ac:dyDescent="0.2">
      <c r="B46" s="16" t="s">
        <v>499</v>
      </c>
      <c r="C46" s="16"/>
    </row>
    <row r="47" spans="1:16" ht="12.75" customHeight="1" x14ac:dyDescent="0.2">
      <c r="B47" s="16" t="s">
        <v>171</v>
      </c>
      <c r="C47" s="16"/>
      <c r="I47" s="35"/>
    </row>
    <row r="48" spans="1:16" ht="12.75" customHeight="1" x14ac:dyDescent="0.2">
      <c r="B48" s="16" t="s">
        <v>752</v>
      </c>
      <c r="C48" s="16"/>
      <c r="I48" s="35"/>
    </row>
    <row r="49" spans="2:3" ht="12.75" customHeight="1" x14ac:dyDescent="0.2">
      <c r="B49" s="16"/>
      <c r="C49" s="16"/>
    </row>
    <row r="50" spans="2:3" ht="12.75" customHeight="1" x14ac:dyDescent="0.2">
      <c r="B50" s="16"/>
      <c r="C50" s="16"/>
    </row>
    <row r="51" spans="2:3" ht="12.75" customHeight="1" x14ac:dyDescent="0.2"/>
    <row r="52" spans="2:3" ht="12.75" customHeight="1" x14ac:dyDescent="0.2"/>
    <row r="53" spans="2:3" ht="12.75" customHeight="1" x14ac:dyDescent="0.2"/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sortState ref="J9:K20">
    <sortCondition descending="1" ref="K9:K2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P62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6" ht="18.75" x14ac:dyDescent="0.2">
      <c r="A1" s="93" t="s">
        <v>333</v>
      </c>
      <c r="B1" s="129" t="s">
        <v>175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F7" s="13"/>
      <c r="G7" s="14"/>
      <c r="H7" s="15"/>
      <c r="J7" s="17" t="s">
        <v>509</v>
      </c>
      <c r="K7" s="37" t="s">
        <v>11</v>
      </c>
    </row>
    <row r="8" spans="1:16" ht="12.75" customHeight="1" x14ac:dyDescent="0.2">
      <c r="B8" s="16" t="s">
        <v>273</v>
      </c>
      <c r="C8" s="16"/>
      <c r="F8" s="13"/>
      <c r="G8" s="14"/>
      <c r="H8" s="15"/>
      <c r="I8" s="64"/>
      <c r="J8" t="s">
        <v>354</v>
      </c>
      <c r="K8" s="48">
        <f>SUMIFS($G$5:$G$325,$D$5:$D$325,J8)</f>
        <v>0.4042</v>
      </c>
      <c r="L8" s="54"/>
      <c r="M8" s="14"/>
      <c r="N8" s="36"/>
      <c r="P8" s="14"/>
    </row>
    <row r="9" spans="1:16" ht="12.75" customHeight="1" x14ac:dyDescent="0.2">
      <c r="A9">
        <f>+MAX($A$8:A8)+1</f>
        <v>1</v>
      </c>
      <c r="B9" s="1" t="s">
        <v>735</v>
      </c>
      <c r="C9" t="s">
        <v>736</v>
      </c>
      <c r="D9" t="s">
        <v>261</v>
      </c>
      <c r="E9" s="28">
        <v>100</v>
      </c>
      <c r="F9" s="13">
        <v>499.24799999999999</v>
      </c>
      <c r="G9" s="14">
        <f>+ROUND(F9/VLOOKUP("Grand Total",$B$4:$F$288,5,0),4)</f>
        <v>4.9500000000000002E-2</v>
      </c>
      <c r="H9" s="15">
        <v>43318</v>
      </c>
      <c r="I9" s="64"/>
      <c r="J9" s="80" t="s">
        <v>104</v>
      </c>
      <c r="K9" s="48">
        <f>SUMIFS($G$5:$G$325,$D$5:$D$325,J9)</f>
        <v>0.24369999999999997</v>
      </c>
    </row>
    <row r="10" spans="1:16" ht="12.75" customHeight="1" x14ac:dyDescent="0.2">
      <c r="A10">
        <f>+MAX($A$8:A9)+1</f>
        <v>2</v>
      </c>
      <c r="B10" s="1" t="s">
        <v>262</v>
      </c>
      <c r="C10" t="s">
        <v>456</v>
      </c>
      <c r="D10" t="s">
        <v>463</v>
      </c>
      <c r="E10" s="28">
        <v>100</v>
      </c>
      <c r="F10" s="13">
        <v>495.98899999999998</v>
      </c>
      <c r="G10" s="14">
        <f>+ROUND(F10/VLOOKUP("Grand Total",$B$4:$F$288,5,0),4)</f>
        <v>4.9099999999999998E-2</v>
      </c>
      <c r="H10" s="15">
        <v>43350</v>
      </c>
      <c r="I10" s="64"/>
      <c r="J10" s="80" t="s">
        <v>315</v>
      </c>
      <c r="K10" s="48">
        <f>SUMIFS($G$5:$G$325,$D$5:$D$325,J10)</f>
        <v>8.8700000000000001E-2</v>
      </c>
    </row>
    <row r="11" spans="1:16" ht="12.75" customHeight="1" x14ac:dyDescent="0.2">
      <c r="B11" s="18" t="s">
        <v>82</v>
      </c>
      <c r="C11" s="18"/>
      <c r="D11" s="18"/>
      <c r="E11" s="29"/>
      <c r="F11" s="19">
        <f>SUM(F9:F10)</f>
        <v>995.23699999999997</v>
      </c>
      <c r="G11" s="20">
        <f>SUM(G9:G10)</f>
        <v>9.8599999999999993E-2</v>
      </c>
      <c r="H11" s="21"/>
      <c r="I11" s="64"/>
      <c r="J11" s="14" t="s">
        <v>261</v>
      </c>
      <c r="K11" s="48">
        <f t="shared" ref="K11:K14" si="0">SUMIFS($G$5:$G$325,$D$5:$D$325,J11)</f>
        <v>4.9500000000000002E-2</v>
      </c>
    </row>
    <row r="12" spans="1:16" ht="12.75" customHeight="1" x14ac:dyDescent="0.2">
      <c r="F12" s="13"/>
      <c r="G12" s="14"/>
      <c r="H12" s="15"/>
      <c r="J12" s="89" t="s">
        <v>463</v>
      </c>
      <c r="K12" s="48">
        <f t="shared" si="0"/>
        <v>4.9099999999999998E-2</v>
      </c>
    </row>
    <row r="13" spans="1:16" ht="12.75" customHeight="1" x14ac:dyDescent="0.2">
      <c r="B13" s="16" t="s">
        <v>158</v>
      </c>
      <c r="C13" s="16"/>
      <c r="F13" s="13"/>
      <c r="G13" s="14"/>
      <c r="H13" s="15"/>
      <c r="I13" s="64"/>
      <c r="J13" t="s">
        <v>160</v>
      </c>
      <c r="K13" s="48">
        <f t="shared" si="0"/>
        <v>4.8000000000000001E-2</v>
      </c>
      <c r="L13" s="54"/>
      <c r="M13" s="14"/>
      <c r="N13" s="36"/>
      <c r="P13" s="14"/>
    </row>
    <row r="14" spans="1:16" ht="12.75" customHeight="1" x14ac:dyDescent="0.2">
      <c r="A14">
        <f>+MAX($A$8:A13)+1</f>
        <v>3</v>
      </c>
      <c r="B14" s="1" t="s">
        <v>530</v>
      </c>
      <c r="C14" t="s">
        <v>531</v>
      </c>
      <c r="D14" t="s">
        <v>354</v>
      </c>
      <c r="E14" s="28">
        <v>1250000</v>
      </c>
      <c r="F14" s="13">
        <v>1215.125</v>
      </c>
      <c r="G14" s="14">
        <f>+ROUND(F14/VLOOKUP("Grand Total",$B$4:$F$288,5,0),4)</f>
        <v>0.12039999999999999</v>
      </c>
      <c r="H14" s="15">
        <v>45465</v>
      </c>
      <c r="I14" s="64"/>
      <c r="J14" t="s">
        <v>498</v>
      </c>
      <c r="K14" s="48">
        <f t="shared" si="0"/>
        <v>1.9800000000000002E-2</v>
      </c>
    </row>
    <row r="15" spans="1:16" ht="12.75" customHeight="1" x14ac:dyDescent="0.2">
      <c r="A15">
        <f>+MAX($A$8:A14)+1</f>
        <v>4</v>
      </c>
      <c r="B15" s="1" t="s">
        <v>641</v>
      </c>
      <c r="C15" t="s">
        <v>642</v>
      </c>
      <c r="D15" t="s">
        <v>354</v>
      </c>
      <c r="E15" s="28">
        <v>1200000</v>
      </c>
      <c r="F15" s="13">
        <v>1164.96</v>
      </c>
      <c r="G15" s="14">
        <f>+ROUND(F15/VLOOKUP("Grand Total",$B$4:$F$288,5,0),4)</f>
        <v>0.1154</v>
      </c>
      <c r="H15" s="15">
        <v>45066</v>
      </c>
      <c r="I15" s="64"/>
      <c r="J15" s="14" t="s">
        <v>62</v>
      </c>
      <c r="K15" s="48">
        <f>+SUMIFS($G$5:$G$998,$B$5:$B$998,"CBLO / Reverse Repo")+SUMIFS($G$5:$G$998,$B$5:$B$998,"Net Receivable/Payable")</f>
        <v>9.7000000000000003E-2</v>
      </c>
    </row>
    <row r="16" spans="1:16" ht="12.75" customHeight="1" x14ac:dyDescent="0.2">
      <c r="A16">
        <f>+MAX($A$8:A15)+1</f>
        <v>5</v>
      </c>
      <c r="B16" s="1" t="s">
        <v>393</v>
      </c>
      <c r="C16" t="s">
        <v>394</v>
      </c>
      <c r="D16" t="s">
        <v>354</v>
      </c>
      <c r="E16" s="28">
        <v>1100000</v>
      </c>
      <c r="F16" s="13">
        <v>1061.4449999999999</v>
      </c>
      <c r="G16" s="14">
        <f>+ROUND(F16/VLOOKUP("Grand Total",$B$4:$F$288,5,0),4)</f>
        <v>0.1052</v>
      </c>
      <c r="H16" s="15">
        <v>44914</v>
      </c>
      <c r="I16" s="64"/>
      <c r="J16" s="14"/>
      <c r="K16" s="48"/>
    </row>
    <row r="17" spans="1:11" ht="12.75" customHeight="1" x14ac:dyDescent="0.2">
      <c r="A17">
        <f>+MAX($A$8:A16)+1</f>
        <v>6</v>
      </c>
      <c r="B17" s="1" t="s">
        <v>549</v>
      </c>
      <c r="C17" t="s">
        <v>550</v>
      </c>
      <c r="D17" t="s">
        <v>354</v>
      </c>
      <c r="E17" s="28">
        <v>650000</v>
      </c>
      <c r="F17" s="13">
        <v>637.32500000000005</v>
      </c>
      <c r="G17" s="14">
        <f>+ROUND(F17/VLOOKUP("Grand Total",$B$4:$F$288,5,0),4)</f>
        <v>6.3200000000000006E-2</v>
      </c>
      <c r="H17" s="15">
        <v>45032</v>
      </c>
      <c r="I17" s="64"/>
      <c r="J17" s="14"/>
      <c r="K17" s="48"/>
    </row>
    <row r="18" spans="1:11" ht="12.75" customHeight="1" x14ac:dyDescent="0.2">
      <c r="B18" s="18" t="s">
        <v>82</v>
      </c>
      <c r="C18" s="18"/>
      <c r="D18" s="18"/>
      <c r="E18" s="29"/>
      <c r="F18" s="19">
        <f>SUM(F14:F17)</f>
        <v>4078.8549999999996</v>
      </c>
      <c r="G18" s="20">
        <f>SUM(G14:G17)</f>
        <v>0.4042</v>
      </c>
      <c r="H18" s="21"/>
      <c r="I18" s="64"/>
      <c r="J18" s="14"/>
      <c r="K18" s="48"/>
    </row>
    <row r="19" spans="1:11" ht="12.75" customHeight="1" x14ac:dyDescent="0.2">
      <c r="F19" s="13"/>
      <c r="G19" s="14"/>
      <c r="H19" s="15"/>
      <c r="I19" s="64"/>
    </row>
    <row r="20" spans="1:11" ht="12.75" customHeight="1" x14ac:dyDescent="0.2">
      <c r="B20" s="16" t="s">
        <v>120</v>
      </c>
      <c r="C20" s="16"/>
      <c r="F20" s="13"/>
      <c r="G20" s="14"/>
      <c r="H20" s="15"/>
      <c r="I20" s="64"/>
      <c r="J20" s="14"/>
      <c r="K20" s="48"/>
    </row>
    <row r="21" spans="1:11" ht="12.75" customHeight="1" x14ac:dyDescent="0.2">
      <c r="B21" s="31" t="s">
        <v>272</v>
      </c>
      <c r="C21" s="16"/>
      <c r="F21" s="13"/>
      <c r="G21" s="14"/>
      <c r="H21" s="15"/>
      <c r="I21" s="64"/>
      <c r="J21" s="14"/>
    </row>
    <row r="22" spans="1:11" ht="12.75" customHeight="1" x14ac:dyDescent="0.2">
      <c r="A22">
        <f>+MAX($A$8:A21)+1</f>
        <v>7</v>
      </c>
      <c r="B22" s="65" t="s">
        <v>645</v>
      </c>
      <c r="C22" t="s">
        <v>374</v>
      </c>
      <c r="D22" t="s">
        <v>104</v>
      </c>
      <c r="E22" s="28">
        <v>50</v>
      </c>
      <c r="F22" s="13">
        <v>505.93650000000002</v>
      </c>
      <c r="G22" s="14">
        <f>+ROUND(F22/VLOOKUP("Grand Total",$B$4:$F$288,5,0),4)</f>
        <v>5.0099999999999999E-2</v>
      </c>
      <c r="H22" s="15">
        <v>44852</v>
      </c>
      <c r="I22" s="64"/>
    </row>
    <row r="23" spans="1:11" ht="12.75" customHeight="1" x14ac:dyDescent="0.2">
      <c r="A23">
        <f>+MAX($A$8:A22)+1</f>
        <v>8</v>
      </c>
      <c r="B23" s="65" t="s">
        <v>314</v>
      </c>
      <c r="C23" t="s">
        <v>372</v>
      </c>
      <c r="D23" t="s">
        <v>315</v>
      </c>
      <c r="E23" s="28">
        <v>50000</v>
      </c>
      <c r="F23" s="13">
        <v>498.541</v>
      </c>
      <c r="G23" s="14">
        <f>+ROUND(F23/VLOOKUP("Grand Total",$B$4:$F$288,5,0),4)</f>
        <v>4.9399999999999999E-2</v>
      </c>
      <c r="H23" s="15">
        <v>43693</v>
      </c>
      <c r="I23" s="64"/>
    </row>
    <row r="24" spans="1:11" ht="12.75" customHeight="1" x14ac:dyDescent="0.2">
      <c r="A24">
        <f>+MAX($A$8:A23)+1</f>
        <v>9</v>
      </c>
      <c r="B24" s="65" t="s">
        <v>551</v>
      </c>
      <c r="C24" s="65" t="s">
        <v>479</v>
      </c>
      <c r="D24" t="s">
        <v>104</v>
      </c>
      <c r="E24" s="28">
        <v>50</v>
      </c>
      <c r="F24" s="13">
        <v>497.31599999999997</v>
      </c>
      <c r="G24" s="14">
        <f t="shared" ref="G24:G31" si="1">+ROUND(F24/VLOOKUP("Grand Total",$B$4:$F$291,5,0),4)</f>
        <v>4.9299999999999997E-2</v>
      </c>
      <c r="H24" s="15">
        <v>45042</v>
      </c>
      <c r="I24" s="64"/>
    </row>
    <row r="25" spans="1:11" ht="12.75" customHeight="1" x14ac:dyDescent="0.2">
      <c r="A25">
        <f>+MAX($A$8:A24)+1</f>
        <v>10</v>
      </c>
      <c r="B25" s="65" t="s">
        <v>646</v>
      </c>
      <c r="C25" s="65" t="s">
        <v>465</v>
      </c>
      <c r="D25" t="s">
        <v>104</v>
      </c>
      <c r="E25" s="28">
        <v>5</v>
      </c>
      <c r="F25" s="13">
        <v>494.05099999999999</v>
      </c>
      <c r="G25" s="14">
        <f t="shared" si="1"/>
        <v>4.9000000000000002E-2</v>
      </c>
      <c r="H25" s="15">
        <v>43787</v>
      </c>
      <c r="I25" s="64"/>
    </row>
    <row r="26" spans="1:11" ht="12.75" customHeight="1" x14ac:dyDescent="0.2">
      <c r="A26">
        <f>+MAX($A$8:A25)+1</f>
        <v>11</v>
      </c>
      <c r="B26" s="65" t="s">
        <v>553</v>
      </c>
      <c r="C26" s="65" t="s">
        <v>533</v>
      </c>
      <c r="D26" t="s">
        <v>104</v>
      </c>
      <c r="E26" s="28">
        <v>50</v>
      </c>
      <c r="F26" s="13">
        <v>488.27949999999998</v>
      </c>
      <c r="G26" s="14">
        <f t="shared" si="1"/>
        <v>4.8399999999999999E-2</v>
      </c>
      <c r="H26" s="15">
        <v>44915</v>
      </c>
      <c r="I26" s="64"/>
    </row>
    <row r="27" spans="1:11" ht="12.75" customHeight="1" x14ac:dyDescent="0.2">
      <c r="A27">
        <f>+MAX($A$8:A26)+1</f>
        <v>12</v>
      </c>
      <c r="B27" s="65" t="s">
        <v>647</v>
      </c>
      <c r="C27" s="65" t="s">
        <v>442</v>
      </c>
      <c r="D27" t="s">
        <v>160</v>
      </c>
      <c r="E27" s="28">
        <v>50</v>
      </c>
      <c r="F27" s="13">
        <v>484.58800000000002</v>
      </c>
      <c r="G27" s="14">
        <f t="shared" si="1"/>
        <v>4.8000000000000001E-2</v>
      </c>
      <c r="H27" s="15">
        <v>44376</v>
      </c>
      <c r="I27" s="64"/>
    </row>
    <row r="28" spans="1:11" ht="12.75" customHeight="1" x14ac:dyDescent="0.2">
      <c r="A28">
        <f>+MAX($A$8:A27)+1</f>
        <v>13</v>
      </c>
      <c r="B28" s="65" t="s">
        <v>648</v>
      </c>
      <c r="C28" s="65" t="s">
        <v>461</v>
      </c>
      <c r="D28" t="s">
        <v>104</v>
      </c>
      <c r="E28" s="28">
        <v>50</v>
      </c>
      <c r="F28" s="13">
        <v>473.55349999999999</v>
      </c>
      <c r="G28" s="14">
        <f t="shared" si="1"/>
        <v>4.6899999999999997E-2</v>
      </c>
      <c r="H28" s="15">
        <v>44804</v>
      </c>
      <c r="I28" s="64"/>
    </row>
    <row r="29" spans="1:11" ht="12.75" customHeight="1" x14ac:dyDescent="0.2">
      <c r="A29">
        <f>+MAX($A$8:A28)+1</f>
        <v>14</v>
      </c>
      <c r="B29" s="65" t="s">
        <v>361</v>
      </c>
      <c r="C29" s="65" t="s">
        <v>362</v>
      </c>
      <c r="D29" t="s">
        <v>315</v>
      </c>
      <c r="E29" s="28">
        <v>20</v>
      </c>
      <c r="F29" s="13">
        <v>200.01179999999999</v>
      </c>
      <c r="G29" s="14">
        <f t="shared" si="1"/>
        <v>1.9800000000000002E-2</v>
      </c>
      <c r="H29" s="15">
        <v>43322</v>
      </c>
      <c r="I29" s="64"/>
    </row>
    <row r="30" spans="1:11" ht="12.75" customHeight="1" x14ac:dyDescent="0.2">
      <c r="A30">
        <f>+MAX($A$8:A29)+1</f>
        <v>15</v>
      </c>
      <c r="B30" s="65" t="s">
        <v>523</v>
      </c>
      <c r="C30" s="65" t="s">
        <v>392</v>
      </c>
      <c r="D30" t="s">
        <v>498</v>
      </c>
      <c r="E30" s="28">
        <v>20</v>
      </c>
      <c r="F30" s="13">
        <v>199.54140000000001</v>
      </c>
      <c r="G30" s="14">
        <f t="shared" si="1"/>
        <v>1.9800000000000002E-2</v>
      </c>
      <c r="H30" s="15">
        <v>43469</v>
      </c>
      <c r="I30" s="64"/>
    </row>
    <row r="31" spans="1:11" ht="12.75" customHeight="1" x14ac:dyDescent="0.2">
      <c r="A31">
        <f>+MAX($A$8:A30)+1</f>
        <v>16</v>
      </c>
      <c r="B31" s="65" t="s">
        <v>676</v>
      </c>
      <c r="C31" s="65" t="s">
        <v>677</v>
      </c>
      <c r="D31" t="s">
        <v>315</v>
      </c>
      <c r="E31" s="28">
        <v>20000</v>
      </c>
      <c r="F31" s="13">
        <v>196.97479999999999</v>
      </c>
      <c r="G31" s="14">
        <f t="shared" si="1"/>
        <v>1.95E-2</v>
      </c>
      <c r="H31" s="15">
        <v>44351</v>
      </c>
      <c r="I31" s="64"/>
    </row>
    <row r="32" spans="1:11" ht="12.75" customHeight="1" x14ac:dyDescent="0.2">
      <c r="B32" s="18" t="s">
        <v>82</v>
      </c>
      <c r="C32" s="18"/>
      <c r="D32" s="18"/>
      <c r="E32" s="29"/>
      <c r="F32" s="19">
        <f>SUM(F22:F31)</f>
        <v>4038.7934999999998</v>
      </c>
      <c r="G32" s="20">
        <f>SUM(G22:G31)</f>
        <v>0.40019999999999994</v>
      </c>
      <c r="H32" s="21"/>
      <c r="J32" s="52"/>
    </row>
    <row r="33" spans="1:9" ht="12.75" customHeight="1" x14ac:dyDescent="0.2">
      <c r="F33" s="13"/>
      <c r="G33" s="14"/>
      <c r="H33" s="15"/>
    </row>
    <row r="34" spans="1:9" ht="12.75" customHeight="1" x14ac:dyDescent="0.2">
      <c r="B34" s="16" t="s">
        <v>91</v>
      </c>
      <c r="C34" s="16"/>
      <c r="F34" s="13"/>
      <c r="G34" s="14"/>
      <c r="H34" s="15"/>
    </row>
    <row r="35" spans="1:9" ht="12.75" customHeight="1" x14ac:dyDescent="0.2">
      <c r="A35" s="94" t="s">
        <v>321</v>
      </c>
      <c r="B35" s="16" t="s">
        <v>658</v>
      </c>
      <c r="C35" s="16"/>
      <c r="F35" s="13">
        <v>570.67265999999995</v>
      </c>
      <c r="G35" s="14">
        <f>+ROUND(F35/VLOOKUP("Grand Total",$B$4:$F$288,5,0),4)</f>
        <v>5.6500000000000002E-2</v>
      </c>
      <c r="H35" s="15">
        <v>43313</v>
      </c>
    </row>
    <row r="36" spans="1:9" ht="12.75" customHeight="1" x14ac:dyDescent="0.2">
      <c r="B36" s="16" t="s">
        <v>92</v>
      </c>
      <c r="C36" s="16"/>
      <c r="F36" s="43">
        <v>408.50490389999686</v>
      </c>
      <c r="G36" s="14">
        <f>+ROUND(F36/VLOOKUP("Grand Total",$B$4:$F$296,5,0),4)</f>
        <v>4.0500000000000001E-2</v>
      </c>
      <c r="H36" s="15"/>
    </row>
    <row r="37" spans="1:9" ht="12.75" customHeight="1" x14ac:dyDescent="0.2">
      <c r="B37" s="18" t="s">
        <v>82</v>
      </c>
      <c r="C37" s="18"/>
      <c r="D37" s="18"/>
      <c r="E37" s="29"/>
      <c r="F37" s="50">
        <f>SUM(F35:F36)</f>
        <v>979.17756389999681</v>
      </c>
      <c r="G37" s="20">
        <f>SUM(G35:G36)</f>
        <v>9.7000000000000003E-2</v>
      </c>
      <c r="H37" s="21"/>
      <c r="I37" s="35"/>
    </row>
    <row r="38" spans="1:9" ht="12.75" customHeight="1" x14ac:dyDescent="0.2">
      <c r="B38" s="22" t="s">
        <v>93</v>
      </c>
      <c r="C38" s="22"/>
      <c r="D38" s="22"/>
      <c r="E38" s="30"/>
      <c r="F38" s="23">
        <f>+SUMIF($B$5:B37,"Total",$F$5:F37)</f>
        <v>10092.063063899997</v>
      </c>
      <c r="G38" s="24">
        <f>+SUMIF($B$5:B37,"Total",$G$5:G37)</f>
        <v>1</v>
      </c>
      <c r="H38" s="25"/>
      <c r="I38" s="35"/>
    </row>
    <row r="39" spans="1:9" ht="12.75" customHeight="1" x14ac:dyDescent="0.2"/>
    <row r="40" spans="1:9" ht="12.75" customHeight="1" x14ac:dyDescent="0.2">
      <c r="B40" s="16" t="s">
        <v>499</v>
      </c>
      <c r="C40" s="16"/>
    </row>
    <row r="41" spans="1:9" ht="12.75" customHeight="1" x14ac:dyDescent="0.2">
      <c r="B41" s="16" t="s">
        <v>171</v>
      </c>
      <c r="C41" s="16"/>
    </row>
    <row r="42" spans="1:9" ht="12.75" customHeight="1" x14ac:dyDescent="0.2">
      <c r="B42" s="16"/>
      <c r="C42" s="16"/>
    </row>
    <row r="43" spans="1:9" ht="12.75" customHeight="1" x14ac:dyDescent="0.2">
      <c r="B43" s="16"/>
      <c r="C43" s="16"/>
    </row>
    <row r="44" spans="1:9" ht="12.75" customHeight="1" x14ac:dyDescent="0.2">
      <c r="B44" s="16"/>
      <c r="C44" s="16"/>
    </row>
    <row r="45" spans="1:9" ht="12.75" customHeight="1" x14ac:dyDescent="0.2"/>
    <row r="46" spans="1:9" ht="12.75" customHeight="1" x14ac:dyDescent="0.2"/>
    <row r="47" spans="1:9" ht="12.75" customHeight="1" x14ac:dyDescent="0.2"/>
    <row r="48" spans="1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sortState ref="J10:K17">
    <sortCondition descending="1" ref="K10:K17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7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3" t="s">
        <v>334</v>
      </c>
      <c r="B1" s="129" t="s">
        <v>577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82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F7" s="13"/>
      <c r="G7" s="14"/>
      <c r="H7" s="15"/>
      <c r="J7" s="17" t="s">
        <v>509</v>
      </c>
      <c r="K7" s="37" t="s">
        <v>11</v>
      </c>
    </row>
    <row r="8" spans="1:16" ht="12.75" customHeight="1" x14ac:dyDescent="0.2">
      <c r="B8" s="16" t="s">
        <v>273</v>
      </c>
      <c r="C8" s="16"/>
      <c r="F8" s="13"/>
      <c r="G8" s="14"/>
      <c r="H8" s="15"/>
      <c r="J8" s="14" t="s">
        <v>104</v>
      </c>
      <c r="K8" s="48">
        <f t="shared" ref="K8:K18" si="0">SUMIFS($G$5:$G$323,$D$5:$D$323,J8)</f>
        <v>0.31249999999999994</v>
      </c>
      <c r="M8" s="14"/>
      <c r="N8" s="36"/>
      <c r="P8" s="14"/>
    </row>
    <row r="9" spans="1:16" ht="12.75" customHeight="1" x14ac:dyDescent="0.2">
      <c r="A9">
        <f>+MAX($A$8:A8)+1</f>
        <v>1</v>
      </c>
      <c r="B9" t="s">
        <v>262</v>
      </c>
      <c r="C9" t="s">
        <v>478</v>
      </c>
      <c r="D9" t="s">
        <v>463</v>
      </c>
      <c r="E9" s="28">
        <v>380</v>
      </c>
      <c r="F9" s="13">
        <v>1852.7375</v>
      </c>
      <c r="G9" s="14">
        <f>+ROUND(F9/VLOOKUP("Grand Total",$B$4:$F$265,5,0),4)</f>
        <v>6.0699999999999997E-2</v>
      </c>
      <c r="H9" s="88">
        <v>43426</v>
      </c>
      <c r="J9" s="14" t="s">
        <v>315</v>
      </c>
      <c r="K9" s="48">
        <f t="shared" si="0"/>
        <v>0.11599999999999999</v>
      </c>
      <c r="M9" s="14"/>
      <c r="N9" s="36"/>
      <c r="P9" s="14"/>
    </row>
    <row r="10" spans="1:16" ht="12.75" customHeight="1" x14ac:dyDescent="0.2">
      <c r="A10">
        <f>+MAX($A$8:A9)+1</f>
        <v>2</v>
      </c>
      <c r="B10" t="s">
        <v>726</v>
      </c>
      <c r="C10" t="s">
        <v>727</v>
      </c>
      <c r="D10" t="s">
        <v>152</v>
      </c>
      <c r="E10" s="28">
        <v>300</v>
      </c>
      <c r="F10" s="13">
        <v>1497.7439999999999</v>
      </c>
      <c r="G10" s="14">
        <f t="shared" ref="G10" si="1">+ROUND(F10/VLOOKUP("Grand Total",$B$4:$F$265,5,0),4)</f>
        <v>4.9099999999999998E-2</v>
      </c>
      <c r="H10" s="88">
        <v>43318</v>
      </c>
      <c r="J10" s="14" t="s">
        <v>263</v>
      </c>
      <c r="K10" s="48">
        <f t="shared" si="0"/>
        <v>0.11399999999999999</v>
      </c>
      <c r="M10" s="14"/>
      <c r="N10" s="36"/>
      <c r="P10" s="14"/>
    </row>
    <row r="11" spans="1:16" ht="12.75" customHeight="1" x14ac:dyDescent="0.2">
      <c r="B11" s="18" t="s">
        <v>82</v>
      </c>
      <c r="C11" s="18"/>
      <c r="D11" s="18"/>
      <c r="E11" s="29"/>
      <c r="F11" s="19">
        <f>SUM(F9:F10)</f>
        <v>3350.4814999999999</v>
      </c>
      <c r="G11" s="20">
        <f>SUM(G9:G10)</f>
        <v>0.10979999999999999</v>
      </c>
      <c r="H11" s="21"/>
      <c r="J11" t="s">
        <v>156</v>
      </c>
      <c r="K11" s="48">
        <f t="shared" si="0"/>
        <v>8.0600000000000005E-2</v>
      </c>
    </row>
    <row r="12" spans="1:16" ht="12.75" customHeight="1" x14ac:dyDescent="0.2">
      <c r="F12" s="13"/>
      <c r="G12" s="14"/>
      <c r="H12" s="15"/>
      <c r="J12" s="14" t="s">
        <v>381</v>
      </c>
      <c r="K12" s="48">
        <f t="shared" si="0"/>
        <v>6.8400000000000002E-2</v>
      </c>
    </row>
    <row r="13" spans="1:16" ht="12.75" customHeight="1" x14ac:dyDescent="0.2">
      <c r="B13" s="16" t="s">
        <v>158</v>
      </c>
      <c r="C13" s="16"/>
      <c r="F13" s="13"/>
      <c r="G13" s="14"/>
      <c r="H13" s="15"/>
      <c r="J13" s="14" t="s">
        <v>498</v>
      </c>
      <c r="K13" s="48">
        <f t="shared" si="0"/>
        <v>6.54E-2</v>
      </c>
      <c r="M13" s="14"/>
      <c r="N13" s="36"/>
      <c r="P13" s="14"/>
    </row>
    <row r="14" spans="1:16" ht="12.75" customHeight="1" x14ac:dyDescent="0.2">
      <c r="A14">
        <f>+MAX($A$8:A13)+1</f>
        <v>3</v>
      </c>
      <c r="B14" t="s">
        <v>281</v>
      </c>
      <c r="C14" t="s">
        <v>264</v>
      </c>
      <c r="D14" t="s">
        <v>354</v>
      </c>
      <c r="E14" s="28">
        <v>500000</v>
      </c>
      <c r="F14" s="13">
        <v>505.65</v>
      </c>
      <c r="G14" s="14">
        <f>+ROUND(F14/VLOOKUP("Grand Total",$B$4:$F$265,5,0),4)</f>
        <v>1.66E-2</v>
      </c>
      <c r="H14" s="88">
        <v>44175</v>
      </c>
      <c r="J14" s="14" t="s">
        <v>463</v>
      </c>
      <c r="K14" s="48">
        <f t="shared" si="0"/>
        <v>6.0699999999999997E-2</v>
      </c>
      <c r="M14" s="14"/>
      <c r="N14" s="36"/>
      <c r="P14" s="14"/>
    </row>
    <row r="15" spans="1:16" ht="12.75" customHeight="1" x14ac:dyDescent="0.2">
      <c r="A15">
        <f>+MAX($A$8:A14)+1</f>
        <v>4</v>
      </c>
      <c r="B15" t="s">
        <v>549</v>
      </c>
      <c r="C15" t="s">
        <v>550</v>
      </c>
      <c r="D15" t="s">
        <v>354</v>
      </c>
      <c r="E15" s="28">
        <v>300000</v>
      </c>
      <c r="F15" s="13">
        <v>294.14999999999998</v>
      </c>
      <c r="G15" s="14">
        <f t="shared" ref="G15:G16" si="2">+ROUND(F15/VLOOKUP("Grand Total",$B$4:$F$265,5,0),4)</f>
        <v>9.5999999999999992E-3</v>
      </c>
      <c r="H15" s="88">
        <v>45032</v>
      </c>
      <c r="J15" s="14" t="s">
        <v>152</v>
      </c>
      <c r="K15" s="48">
        <f t="shared" si="0"/>
        <v>4.9099999999999998E-2</v>
      </c>
      <c r="M15" s="14"/>
      <c r="N15" s="36"/>
      <c r="P15" s="14"/>
    </row>
    <row r="16" spans="1:16" ht="12.75" customHeight="1" x14ac:dyDescent="0.2">
      <c r="A16">
        <f>+MAX($A$8:A15)+1</f>
        <v>5</v>
      </c>
      <c r="B16" t="s">
        <v>393</v>
      </c>
      <c r="C16" t="s">
        <v>394</v>
      </c>
      <c r="D16" t="s">
        <v>354</v>
      </c>
      <c r="E16" s="28">
        <v>45300</v>
      </c>
      <c r="F16" s="13">
        <v>43.712235</v>
      </c>
      <c r="G16" s="14">
        <f t="shared" si="2"/>
        <v>1.4E-3</v>
      </c>
      <c r="H16" s="88">
        <v>44914</v>
      </c>
      <c r="J16" s="14" t="s">
        <v>354</v>
      </c>
      <c r="K16" s="48">
        <f t="shared" si="0"/>
        <v>2.76E-2</v>
      </c>
      <c r="M16" s="14"/>
      <c r="N16" s="36"/>
      <c r="P16" s="14"/>
    </row>
    <row r="17" spans="1:11" ht="12.75" customHeight="1" x14ac:dyDescent="0.2">
      <c r="B17" s="18" t="s">
        <v>82</v>
      </c>
      <c r="C17" s="18"/>
      <c r="D17" s="18"/>
      <c r="E17" s="29"/>
      <c r="F17" s="19">
        <f>SUM(F14:F16)</f>
        <v>843.51223499999992</v>
      </c>
      <c r="G17" s="20">
        <f>SUM(G14:G16)</f>
        <v>2.76E-2</v>
      </c>
      <c r="H17" s="21"/>
      <c r="J17" s="14" t="s">
        <v>650</v>
      </c>
      <c r="K17" s="48">
        <f t="shared" si="0"/>
        <v>1.15E-2</v>
      </c>
    </row>
    <row r="18" spans="1:11" ht="12.75" customHeight="1" x14ac:dyDescent="0.2">
      <c r="F18" s="13"/>
      <c r="G18" s="14"/>
      <c r="H18" s="15"/>
      <c r="J18" s="14" t="s">
        <v>741</v>
      </c>
      <c r="K18" s="48">
        <f t="shared" si="0"/>
        <v>1.0999999999999999E-2</v>
      </c>
    </row>
    <row r="19" spans="1:11" ht="12.75" customHeight="1" x14ac:dyDescent="0.2">
      <c r="B19" s="16" t="s">
        <v>120</v>
      </c>
      <c r="C19" s="16"/>
      <c r="F19" s="13"/>
      <c r="G19" s="14"/>
      <c r="H19" s="15"/>
      <c r="J19" s="14" t="s">
        <v>62</v>
      </c>
      <c r="K19" s="48">
        <f>+SUMIFS($G$5:$G$998,$B$5:$B$998,"CBLO / Reverse Repo")+SUMIFS($G$5:$G$998,$B$5:$B$998,"Net Receivable/Payable")</f>
        <v>8.3199999999999996E-2</v>
      </c>
    </row>
    <row r="20" spans="1:11" ht="12.75" customHeight="1" x14ac:dyDescent="0.2">
      <c r="B20" s="31" t="s">
        <v>356</v>
      </c>
      <c r="C20" s="16"/>
      <c r="F20" s="13"/>
      <c r="G20" s="14"/>
      <c r="H20" s="15"/>
      <c r="J20" s="14"/>
      <c r="K20" s="48"/>
    </row>
    <row r="21" spans="1:11" ht="12.75" customHeight="1" x14ac:dyDescent="0.2">
      <c r="A21">
        <f>+MAX($A$8:A20)+1</f>
        <v>6</v>
      </c>
      <c r="B21" s="65" t="s">
        <v>767</v>
      </c>
      <c r="C21" t="s">
        <v>363</v>
      </c>
      <c r="D21" t="s">
        <v>315</v>
      </c>
      <c r="E21" s="28">
        <v>255000</v>
      </c>
      <c r="F21" s="13">
        <v>2540.2793999999999</v>
      </c>
      <c r="G21" s="14">
        <f t="shared" ref="G21:G35" si="3">+ROUND(F21/VLOOKUP("Grand Total",$B$4:$F$265,5,0),4)</f>
        <v>8.3299999999999999E-2</v>
      </c>
      <c r="H21" s="15">
        <v>43717</v>
      </c>
    </row>
    <row r="22" spans="1:11" ht="12.75" customHeight="1" x14ac:dyDescent="0.2">
      <c r="A22">
        <f>+MAX($A$8:A21)+1</f>
        <v>7</v>
      </c>
      <c r="B22" s="65" t="s">
        <v>772</v>
      </c>
      <c r="C22" t="s">
        <v>371</v>
      </c>
      <c r="D22" t="s">
        <v>156</v>
      </c>
      <c r="E22" s="28">
        <v>250</v>
      </c>
      <c r="F22" s="13">
        <v>2459.4699999999998</v>
      </c>
      <c r="G22" s="14">
        <f t="shared" si="3"/>
        <v>8.0600000000000005E-2</v>
      </c>
      <c r="H22" s="15">
        <v>43951</v>
      </c>
    </row>
    <row r="23" spans="1:11" ht="12.75" customHeight="1" x14ac:dyDescent="0.2">
      <c r="A23">
        <f>+MAX($A$8:A22)+1</f>
        <v>8</v>
      </c>
      <c r="B23" s="65" t="s">
        <v>773</v>
      </c>
      <c r="C23" t="s">
        <v>357</v>
      </c>
      <c r="D23" t="s">
        <v>104</v>
      </c>
      <c r="E23" s="28">
        <v>240</v>
      </c>
      <c r="F23" s="13">
        <v>2386.6464000000001</v>
      </c>
      <c r="G23" s="14">
        <f t="shared" si="3"/>
        <v>7.8299999999999995E-2</v>
      </c>
      <c r="H23" s="15">
        <v>44343</v>
      </c>
    </row>
    <row r="24" spans="1:11" ht="12.75" customHeight="1" x14ac:dyDescent="0.2">
      <c r="A24">
        <f>+MAX($A$8:A23)+1</f>
        <v>9</v>
      </c>
      <c r="B24" t="s">
        <v>774</v>
      </c>
      <c r="C24" t="s">
        <v>532</v>
      </c>
      <c r="D24" t="s">
        <v>104</v>
      </c>
      <c r="E24" s="28">
        <v>230</v>
      </c>
      <c r="F24" s="13">
        <v>2295.4115000000002</v>
      </c>
      <c r="G24" s="14">
        <f t="shared" si="3"/>
        <v>7.5300000000000006E-2</v>
      </c>
      <c r="H24" s="15">
        <v>43539</v>
      </c>
      <c r="J24" s="46"/>
      <c r="K24" s="48"/>
    </row>
    <row r="25" spans="1:11" ht="12.75" customHeight="1" x14ac:dyDescent="0.2">
      <c r="A25">
        <f>+MAX($A$8:A24)+1</f>
        <v>10</v>
      </c>
      <c r="B25" s="65" t="s">
        <v>775</v>
      </c>
      <c r="C25" t="s">
        <v>552</v>
      </c>
      <c r="D25" t="s">
        <v>104</v>
      </c>
      <c r="E25" s="28">
        <v>230</v>
      </c>
      <c r="F25" s="13">
        <v>2232.1983</v>
      </c>
      <c r="G25" s="14">
        <f t="shared" si="3"/>
        <v>7.3200000000000001E-2</v>
      </c>
      <c r="H25" s="15">
        <v>44196</v>
      </c>
    </row>
    <row r="26" spans="1:11" ht="12.75" customHeight="1" x14ac:dyDescent="0.2">
      <c r="A26">
        <f>+MAX($A$8:A25)+1</f>
        <v>11</v>
      </c>
      <c r="B26" s="65" t="s">
        <v>757</v>
      </c>
      <c r="C26" t="s">
        <v>423</v>
      </c>
      <c r="D26" t="s">
        <v>381</v>
      </c>
      <c r="E26" s="28">
        <v>210</v>
      </c>
      <c r="F26" s="13">
        <v>2086.8350999999998</v>
      </c>
      <c r="G26" s="14">
        <f t="shared" si="3"/>
        <v>6.8400000000000002E-2</v>
      </c>
      <c r="H26" s="15">
        <v>43671</v>
      </c>
    </row>
    <row r="27" spans="1:11" ht="12.75" customHeight="1" x14ac:dyDescent="0.2">
      <c r="A27">
        <f>+MAX($A$8:A26)+1</f>
        <v>12</v>
      </c>
      <c r="B27" s="65" t="s">
        <v>776</v>
      </c>
      <c r="C27" t="s">
        <v>392</v>
      </c>
      <c r="D27" t="s">
        <v>498</v>
      </c>
      <c r="E27" s="28">
        <v>200</v>
      </c>
      <c r="F27" s="13">
        <v>1995.414</v>
      </c>
      <c r="G27" s="14">
        <f t="shared" si="3"/>
        <v>6.54E-2</v>
      </c>
      <c r="H27" s="15">
        <v>43469</v>
      </c>
    </row>
    <row r="28" spans="1:11" s="46" customFormat="1" ht="12.75" customHeight="1" x14ac:dyDescent="0.2">
      <c r="A28">
        <f>+MAX($A$8:A27)+1</f>
        <v>13</v>
      </c>
      <c r="B28" s="65" t="s">
        <v>777</v>
      </c>
      <c r="C28" t="s">
        <v>738</v>
      </c>
      <c r="D28" t="s">
        <v>104</v>
      </c>
      <c r="E28" s="28">
        <v>198</v>
      </c>
      <c r="F28" s="13">
        <v>1972.2245399999999</v>
      </c>
      <c r="G28" s="14">
        <f t="shared" si="3"/>
        <v>6.4699999999999994E-2</v>
      </c>
      <c r="H28" s="15">
        <v>43623</v>
      </c>
      <c r="I28" s="64"/>
      <c r="J28"/>
      <c r="K28" s="36"/>
    </row>
    <row r="29" spans="1:11" ht="12.75" customHeight="1" x14ac:dyDescent="0.2">
      <c r="A29">
        <f>+MAX($A$8:A28)+1</f>
        <v>14</v>
      </c>
      <c r="B29" s="65" t="s">
        <v>770</v>
      </c>
      <c r="C29" t="s">
        <v>504</v>
      </c>
      <c r="D29" t="s">
        <v>263</v>
      </c>
      <c r="E29" s="28">
        <v>180</v>
      </c>
      <c r="F29" s="13">
        <v>1792.8</v>
      </c>
      <c r="G29" s="14">
        <f t="shared" si="3"/>
        <v>5.8799999999999998E-2</v>
      </c>
      <c r="H29" s="15">
        <v>43643</v>
      </c>
      <c r="J29" s="52"/>
    </row>
    <row r="30" spans="1:11" ht="12.75" customHeight="1" x14ac:dyDescent="0.2">
      <c r="A30">
        <f>+MAX($A$8:A29)+1</f>
        <v>15</v>
      </c>
      <c r="B30" s="65" t="s">
        <v>765</v>
      </c>
      <c r="C30" t="s">
        <v>686</v>
      </c>
      <c r="D30" t="s">
        <v>263</v>
      </c>
      <c r="E30" s="28">
        <v>170</v>
      </c>
      <c r="F30" s="13">
        <v>1682.5461</v>
      </c>
      <c r="G30" s="14">
        <f t="shared" si="3"/>
        <v>5.5199999999999999E-2</v>
      </c>
      <c r="H30" s="15">
        <v>44109</v>
      </c>
      <c r="J30" s="52"/>
    </row>
    <row r="31" spans="1:11" ht="12.75" customHeight="1" x14ac:dyDescent="0.2">
      <c r="A31">
        <f>+MAX($A$8:A30)+1</f>
        <v>16</v>
      </c>
      <c r="B31" s="65" t="s">
        <v>778</v>
      </c>
      <c r="C31" t="s">
        <v>346</v>
      </c>
      <c r="D31" t="s">
        <v>315</v>
      </c>
      <c r="E31" s="28">
        <v>100</v>
      </c>
      <c r="F31" s="13">
        <v>996.33799999999997</v>
      </c>
      <c r="G31" s="14">
        <f t="shared" si="3"/>
        <v>3.27E-2</v>
      </c>
      <c r="H31" s="15">
        <v>43892</v>
      </c>
      <c r="J31" s="52"/>
    </row>
    <row r="32" spans="1:11" ht="12.75" customHeight="1" x14ac:dyDescent="0.2">
      <c r="A32">
        <f>+MAX($A$8:A31)+1</f>
        <v>17</v>
      </c>
      <c r="B32" s="65" t="s">
        <v>779</v>
      </c>
      <c r="C32" t="s">
        <v>649</v>
      </c>
      <c r="D32" t="s">
        <v>650</v>
      </c>
      <c r="E32" s="28">
        <v>35000</v>
      </c>
      <c r="F32" s="13">
        <v>350.45325000000003</v>
      </c>
      <c r="G32" s="14">
        <f t="shared" si="3"/>
        <v>1.15E-2</v>
      </c>
      <c r="H32" s="15">
        <v>43335</v>
      </c>
    </row>
    <row r="33" spans="1:11" ht="12.75" customHeight="1" x14ac:dyDescent="0.2">
      <c r="A33">
        <f>+MAX($A$8:A32)+1</f>
        <v>18</v>
      </c>
      <c r="B33" s="65" t="s">
        <v>780</v>
      </c>
      <c r="C33" t="s">
        <v>533</v>
      </c>
      <c r="D33" t="s">
        <v>104</v>
      </c>
      <c r="E33" s="28">
        <v>35</v>
      </c>
      <c r="F33" s="13">
        <v>341.79565000000002</v>
      </c>
      <c r="G33" s="14">
        <f t="shared" si="3"/>
        <v>1.12E-2</v>
      </c>
      <c r="H33" s="15">
        <v>44915</v>
      </c>
      <c r="J33" s="52"/>
    </row>
    <row r="34" spans="1:11" ht="12.75" customHeight="1" x14ac:dyDescent="0.2">
      <c r="A34">
        <f>+MAX($A$8:A33)+1</f>
        <v>19</v>
      </c>
      <c r="B34" s="65" t="s">
        <v>739</v>
      </c>
      <c r="C34" t="s">
        <v>740</v>
      </c>
      <c r="D34" t="s">
        <v>741</v>
      </c>
      <c r="E34" s="28">
        <v>34</v>
      </c>
      <c r="F34" s="13">
        <v>336.91007999999999</v>
      </c>
      <c r="G34" s="14">
        <f t="shared" si="3"/>
        <v>1.0999999999999999E-2</v>
      </c>
      <c r="H34" s="15">
        <v>44693</v>
      </c>
      <c r="J34" s="52"/>
    </row>
    <row r="35" spans="1:11" ht="12.75" customHeight="1" x14ac:dyDescent="0.2">
      <c r="A35">
        <f>+MAX($A$8:A34)+1</f>
        <v>20</v>
      </c>
      <c r="B35" s="65" t="s">
        <v>781</v>
      </c>
      <c r="C35" t="s">
        <v>688</v>
      </c>
      <c r="D35" t="s">
        <v>104</v>
      </c>
      <c r="E35" s="28">
        <v>30</v>
      </c>
      <c r="F35" s="13">
        <v>300.10559999999998</v>
      </c>
      <c r="G35" s="14">
        <f t="shared" si="3"/>
        <v>9.7999999999999997E-3</v>
      </c>
      <c r="H35" s="15">
        <v>43677</v>
      </c>
      <c r="J35" s="52"/>
    </row>
    <row r="36" spans="1:11" ht="12.75" customHeight="1" x14ac:dyDescent="0.2">
      <c r="B36" s="18" t="s">
        <v>82</v>
      </c>
      <c r="C36" s="18"/>
      <c r="D36" s="18"/>
      <c r="E36" s="29"/>
      <c r="F36" s="19">
        <f>SUM(F21:F35)</f>
        <v>23769.427919999998</v>
      </c>
      <c r="G36" s="20">
        <f>SUM(G21:G35)</f>
        <v>0.77939999999999987</v>
      </c>
      <c r="H36" s="21"/>
      <c r="I36" s="33"/>
      <c r="J36" s="52"/>
    </row>
    <row r="37" spans="1:11" s="46" customFormat="1" ht="12.75" customHeight="1" x14ac:dyDescent="0.2">
      <c r="B37" s="67"/>
      <c r="C37" s="67"/>
      <c r="D37" s="67"/>
      <c r="E37" s="68"/>
      <c r="F37" s="69"/>
      <c r="G37" s="70"/>
      <c r="H37" s="71"/>
      <c r="I37" s="33"/>
      <c r="J37" s="96"/>
      <c r="K37" s="48"/>
    </row>
    <row r="38" spans="1:11" ht="12.75" customHeight="1" x14ac:dyDescent="0.2">
      <c r="B38" s="16" t="s">
        <v>91</v>
      </c>
      <c r="C38" s="16"/>
      <c r="F38" s="13"/>
      <c r="G38" s="14"/>
      <c r="H38" s="15"/>
      <c r="I38" s="81"/>
    </row>
    <row r="39" spans="1:11" ht="12.75" customHeight="1" x14ac:dyDescent="0.2">
      <c r="A39" s="94" t="s">
        <v>321</v>
      </c>
      <c r="B39" s="16" t="s">
        <v>658</v>
      </c>
      <c r="C39" s="16"/>
      <c r="F39" s="13">
        <v>769.15012999999999</v>
      </c>
      <c r="G39" s="14">
        <f>+ROUND(F39/VLOOKUP("Grand Total",$B$4:$F$265,5,0),4)</f>
        <v>2.52E-2</v>
      </c>
      <c r="H39" s="15">
        <v>43313</v>
      </c>
    </row>
    <row r="40" spans="1:11" ht="12.75" customHeight="1" x14ac:dyDescent="0.2">
      <c r="B40" s="16" t="s">
        <v>92</v>
      </c>
      <c r="C40" s="16"/>
      <c r="F40" s="13">
        <v>1765.2694373000049</v>
      </c>
      <c r="G40" s="14">
        <f>+ROUND(F40/VLOOKUP("Grand Total",$B$4:$F$265,5,0),4)+0.01%</f>
        <v>5.8000000000000003E-2</v>
      </c>
      <c r="H40" s="15"/>
    </row>
    <row r="41" spans="1:11" ht="12.75" customHeight="1" x14ac:dyDescent="0.2">
      <c r="B41" s="18" t="s">
        <v>82</v>
      </c>
      <c r="C41" s="18"/>
      <c r="D41" s="18"/>
      <c r="E41" s="29"/>
      <c r="F41" s="19">
        <f>SUM(F39:F40)</f>
        <v>2534.4195673000049</v>
      </c>
      <c r="G41" s="20">
        <f>SUM(G39:G40)</f>
        <v>8.3199999999999996E-2</v>
      </c>
      <c r="H41" s="21"/>
    </row>
    <row r="42" spans="1:11" ht="12.75" customHeight="1" x14ac:dyDescent="0.2">
      <c r="B42" s="22" t="s">
        <v>93</v>
      </c>
      <c r="C42" s="22"/>
      <c r="D42" s="22"/>
      <c r="E42" s="30"/>
      <c r="F42" s="23">
        <f>+SUMIF($B$5:B41,"Total",$F$5:F41)</f>
        <v>30497.841222300005</v>
      </c>
      <c r="G42" s="24">
        <f>+SUMIF($B$5:B41,"Total",$G$5:G41)</f>
        <v>0.99999999999999978</v>
      </c>
      <c r="H42" s="25"/>
      <c r="I42" s="81"/>
    </row>
    <row r="43" spans="1:11" ht="12.75" customHeight="1" x14ac:dyDescent="0.2"/>
    <row r="44" spans="1:11" ht="12.75" customHeight="1" x14ac:dyDescent="0.2">
      <c r="B44" s="16" t="s">
        <v>499</v>
      </c>
      <c r="C44" s="16"/>
    </row>
    <row r="45" spans="1:11" ht="12.75" customHeight="1" x14ac:dyDescent="0.2">
      <c r="B45" s="16" t="s">
        <v>171</v>
      </c>
      <c r="C45" s="16"/>
      <c r="F45" s="42"/>
    </row>
    <row r="46" spans="1:11" ht="12.75" customHeight="1" x14ac:dyDescent="0.2">
      <c r="B46" s="16" t="s">
        <v>754</v>
      </c>
      <c r="C46" s="16"/>
      <c r="I46" s="81"/>
    </row>
    <row r="47" spans="1:11" ht="12.75" customHeight="1" x14ac:dyDescent="0.2">
      <c r="B47" s="16"/>
      <c r="C47" s="16"/>
    </row>
    <row r="48" spans="1:1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</sheetData>
  <sortState ref="J8:K20">
    <sortCondition descending="1" ref="K8:K20"/>
  </sortState>
  <mergeCells count="1">
    <mergeCell ref="B1:H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P6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customWidth="1"/>
  </cols>
  <sheetData>
    <row r="1" spans="1:16" ht="18.75" x14ac:dyDescent="0.2">
      <c r="A1" s="93" t="s">
        <v>336</v>
      </c>
      <c r="B1" s="129" t="s">
        <v>578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C7" s="16"/>
      <c r="F7" s="13"/>
      <c r="G7" s="14"/>
      <c r="H7" s="15"/>
    </row>
    <row r="8" spans="1:16" ht="12.75" customHeight="1" x14ac:dyDescent="0.2">
      <c r="B8" s="16" t="s">
        <v>157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+MAX($A$7:A8)+1</f>
        <v>1</v>
      </c>
      <c r="B9" t="s">
        <v>464</v>
      </c>
      <c r="C9" t="s">
        <v>675</v>
      </c>
      <c r="D9" t="s">
        <v>354</v>
      </c>
      <c r="E9" s="28">
        <v>20000</v>
      </c>
      <c r="F9" s="13">
        <v>19.898759999999999</v>
      </c>
      <c r="G9" s="14">
        <f>+ROUND(F9/VLOOKUP("Grand Total",$B$4:$F$286,5,0),4)</f>
        <v>9.4999999999999998E-3</v>
      </c>
      <c r="H9" s="15">
        <v>43342</v>
      </c>
      <c r="J9" s="14" t="s">
        <v>104</v>
      </c>
      <c r="K9" s="48">
        <f t="shared" ref="K9:K15" si="0">SUMIFS($G$5:$G$316,$D$5:$D$316,J9)</f>
        <v>0.5262</v>
      </c>
    </row>
    <row r="10" spans="1:16" ht="12.75" customHeight="1" x14ac:dyDescent="0.2">
      <c r="B10" s="18" t="s">
        <v>82</v>
      </c>
      <c r="C10" s="18"/>
      <c r="D10" s="18"/>
      <c r="E10" s="29"/>
      <c r="F10" s="19">
        <f>SUM(F9:F9)</f>
        <v>19.898759999999999</v>
      </c>
      <c r="G10" s="20">
        <f>SUM(G9:G9)</f>
        <v>9.4999999999999998E-3</v>
      </c>
      <c r="H10" s="21"/>
      <c r="J10" t="s">
        <v>156</v>
      </c>
      <c r="K10" s="48">
        <f t="shared" si="0"/>
        <v>9.5100000000000004E-2</v>
      </c>
    </row>
    <row r="11" spans="1:16" ht="12.75" customHeight="1" x14ac:dyDescent="0.2">
      <c r="B11" s="16"/>
      <c r="C11" s="16"/>
      <c r="F11" s="13"/>
      <c r="G11" s="14"/>
      <c r="H11" s="15"/>
      <c r="J11" t="s">
        <v>263</v>
      </c>
      <c r="K11" s="48">
        <f t="shared" si="0"/>
        <v>8.5699999999999998E-2</v>
      </c>
    </row>
    <row r="12" spans="1:16" ht="12.75" customHeight="1" x14ac:dyDescent="0.2">
      <c r="B12" s="16" t="s">
        <v>120</v>
      </c>
      <c r="C12" s="16"/>
      <c r="F12" s="13"/>
      <c r="G12" s="14"/>
      <c r="H12" s="15"/>
      <c r="J12" s="14" t="s">
        <v>741</v>
      </c>
      <c r="K12" s="48">
        <f t="shared" si="0"/>
        <v>7.5700000000000003E-2</v>
      </c>
      <c r="L12" s="54">
        <f>+SUM($K$12:K12)</f>
        <v>7.5700000000000003E-2</v>
      </c>
      <c r="M12" s="14"/>
      <c r="N12" s="36"/>
      <c r="P12" s="14"/>
    </row>
    <row r="13" spans="1:16" ht="12.75" customHeight="1" x14ac:dyDescent="0.2">
      <c r="B13" s="31" t="s">
        <v>356</v>
      </c>
      <c r="C13" s="16"/>
      <c r="F13" s="13"/>
      <c r="G13" s="14"/>
      <c r="H13" s="15"/>
      <c r="J13" s="14" t="s">
        <v>650</v>
      </c>
      <c r="K13" s="48">
        <f t="shared" si="0"/>
        <v>7.17E-2</v>
      </c>
    </row>
    <row r="14" spans="1:16" ht="12.75" customHeight="1" x14ac:dyDescent="0.2">
      <c r="A14">
        <f>+MAX($A$7:A13)+1</f>
        <v>2</v>
      </c>
      <c r="B14" s="65" t="s">
        <v>781</v>
      </c>
      <c r="C14" t="s">
        <v>688</v>
      </c>
      <c r="D14" t="s">
        <v>104</v>
      </c>
      <c r="E14" s="28">
        <v>20</v>
      </c>
      <c r="F14" s="13">
        <v>200.07040000000001</v>
      </c>
      <c r="G14" s="14">
        <f t="shared" ref="G14:G27" si="1">+ROUND(F14/VLOOKUP("Grand Total",$B$4:$F$284,5,0),4)</f>
        <v>9.5600000000000004E-2</v>
      </c>
      <c r="H14" s="15">
        <v>43677</v>
      </c>
      <c r="J14" s="52" t="s">
        <v>315</v>
      </c>
      <c r="K14" s="48">
        <f t="shared" si="0"/>
        <v>5.2400000000000002E-2</v>
      </c>
    </row>
    <row r="15" spans="1:16" ht="12.75" customHeight="1" x14ac:dyDescent="0.2">
      <c r="A15">
        <f>+MAX($A$7:A14)+1</f>
        <v>3</v>
      </c>
      <c r="B15" t="s">
        <v>774</v>
      </c>
      <c r="C15" t="s">
        <v>532</v>
      </c>
      <c r="D15" t="s">
        <v>104</v>
      </c>
      <c r="E15" s="28">
        <v>20</v>
      </c>
      <c r="F15" s="13">
        <v>199.601</v>
      </c>
      <c r="G15" s="14">
        <f t="shared" si="1"/>
        <v>9.5299999999999996E-2</v>
      </c>
      <c r="H15" s="15">
        <v>43539</v>
      </c>
      <c r="J15" t="s">
        <v>354</v>
      </c>
      <c r="K15" s="48">
        <f t="shared" si="0"/>
        <v>9.4999999999999998E-3</v>
      </c>
    </row>
    <row r="16" spans="1:16" ht="12.75" customHeight="1" x14ac:dyDescent="0.2">
      <c r="A16">
        <f>+MAX($A$7:A15)+1</f>
        <v>4</v>
      </c>
      <c r="B16" t="s">
        <v>775</v>
      </c>
      <c r="C16" t="s">
        <v>552</v>
      </c>
      <c r="D16" t="s">
        <v>104</v>
      </c>
      <c r="E16" s="28">
        <v>20</v>
      </c>
      <c r="F16" s="13">
        <v>194.10419999999999</v>
      </c>
      <c r="G16" s="14">
        <f t="shared" si="1"/>
        <v>9.2700000000000005E-2</v>
      </c>
      <c r="H16" s="15">
        <v>44196</v>
      </c>
      <c r="J16" s="14" t="s">
        <v>62</v>
      </c>
      <c r="K16" s="48">
        <f>+SUMIFS($G$5:$G$998,$B$5:$B$998,"CBLO / Reverse Repo")+SUMIFS($G$5:$G$998,$B$5:$B$998,"Net Receivable/Payable")</f>
        <v>8.3699999999999997E-2</v>
      </c>
    </row>
    <row r="17" spans="1:11" ht="12.75" customHeight="1" x14ac:dyDescent="0.2">
      <c r="A17">
        <f>+MAX($A$7:A16)+1</f>
        <v>5</v>
      </c>
      <c r="B17" s="65" t="s">
        <v>758</v>
      </c>
      <c r="C17" t="s">
        <v>406</v>
      </c>
      <c r="D17" t="s">
        <v>263</v>
      </c>
      <c r="E17" s="28">
        <v>18</v>
      </c>
      <c r="F17" s="13">
        <v>179.30214000000001</v>
      </c>
      <c r="G17" s="14">
        <f t="shared" si="1"/>
        <v>8.5699999999999998E-2</v>
      </c>
      <c r="H17" s="15">
        <v>43630</v>
      </c>
      <c r="J17" s="14"/>
      <c r="K17" s="48"/>
    </row>
    <row r="18" spans="1:11" ht="12.75" customHeight="1" x14ac:dyDescent="0.2">
      <c r="A18">
        <f>+MAX($A$7:A17)+1</f>
        <v>6</v>
      </c>
      <c r="B18" s="65" t="s">
        <v>739</v>
      </c>
      <c r="C18" t="s">
        <v>740</v>
      </c>
      <c r="D18" t="s">
        <v>741</v>
      </c>
      <c r="E18" s="28">
        <v>16</v>
      </c>
      <c r="F18" s="13">
        <v>158.54592</v>
      </c>
      <c r="G18" s="14">
        <f t="shared" si="1"/>
        <v>7.5700000000000003E-2</v>
      </c>
      <c r="H18" s="15">
        <v>44693</v>
      </c>
      <c r="J18" s="14"/>
      <c r="K18" s="48"/>
    </row>
    <row r="19" spans="1:11" ht="12.75" customHeight="1" x14ac:dyDescent="0.2">
      <c r="A19">
        <f>+MAX($A$7:A18)+1</f>
        <v>7</v>
      </c>
      <c r="B19" t="s">
        <v>779</v>
      </c>
      <c r="C19" t="s">
        <v>649</v>
      </c>
      <c r="D19" t="s">
        <v>650</v>
      </c>
      <c r="E19" s="28">
        <v>15000</v>
      </c>
      <c r="F19" s="13">
        <v>150.19425000000001</v>
      </c>
      <c r="G19" s="14">
        <f t="shared" si="1"/>
        <v>7.17E-2</v>
      </c>
      <c r="H19" s="15">
        <v>43335</v>
      </c>
      <c r="J19" s="52"/>
    </row>
    <row r="20" spans="1:11" ht="12.75" customHeight="1" x14ac:dyDescent="0.2">
      <c r="A20">
        <f>+MAX($A$7:A19)+1</f>
        <v>8</v>
      </c>
      <c r="B20" t="s">
        <v>780</v>
      </c>
      <c r="C20" t="s">
        <v>533</v>
      </c>
      <c r="D20" t="s">
        <v>104</v>
      </c>
      <c r="E20" s="28">
        <v>15</v>
      </c>
      <c r="F20" s="13">
        <v>146.48384999999999</v>
      </c>
      <c r="G20" s="14">
        <f t="shared" si="1"/>
        <v>7.0000000000000007E-2</v>
      </c>
      <c r="H20" s="15">
        <v>44915</v>
      </c>
      <c r="J20" s="52"/>
    </row>
    <row r="21" spans="1:11" ht="12.75" customHeight="1" x14ac:dyDescent="0.2">
      <c r="A21">
        <f>+MAX($A$7:A20)+1</f>
        <v>9</v>
      </c>
      <c r="B21" t="s">
        <v>784</v>
      </c>
      <c r="C21" t="s">
        <v>461</v>
      </c>
      <c r="D21" t="s">
        <v>104</v>
      </c>
      <c r="E21" s="28">
        <v>15</v>
      </c>
      <c r="F21" s="13">
        <v>142.06604999999999</v>
      </c>
      <c r="G21" s="14">
        <f t="shared" si="1"/>
        <v>6.7900000000000002E-2</v>
      </c>
      <c r="H21" s="15">
        <v>44804</v>
      </c>
      <c r="J21" s="52"/>
    </row>
    <row r="22" spans="1:11" ht="12.75" customHeight="1" x14ac:dyDescent="0.2">
      <c r="A22">
        <f>+MAX($A$7:A21)+1</f>
        <v>10</v>
      </c>
      <c r="B22" t="s">
        <v>768</v>
      </c>
      <c r="C22" t="s">
        <v>489</v>
      </c>
      <c r="D22" t="s">
        <v>104</v>
      </c>
      <c r="E22" s="28">
        <v>12</v>
      </c>
      <c r="F22" s="13">
        <v>119.73468</v>
      </c>
      <c r="G22" s="14">
        <f t="shared" si="1"/>
        <v>5.7200000000000001E-2</v>
      </c>
      <c r="H22" s="15">
        <v>43584</v>
      </c>
      <c r="J22" s="52"/>
    </row>
    <row r="23" spans="1:11" ht="12.75" customHeight="1" x14ac:dyDescent="0.2">
      <c r="A23">
        <f>+MAX($A$7:A22)+1</f>
        <v>11</v>
      </c>
      <c r="B23" s="65" t="s">
        <v>314</v>
      </c>
      <c r="C23" t="s">
        <v>440</v>
      </c>
      <c r="D23" t="s">
        <v>315</v>
      </c>
      <c r="E23" s="28">
        <v>10000</v>
      </c>
      <c r="F23" s="13">
        <v>99.658900000000003</v>
      </c>
      <c r="G23" s="14">
        <f t="shared" si="1"/>
        <v>4.7600000000000003E-2</v>
      </c>
      <c r="H23" s="15">
        <v>43717</v>
      </c>
      <c r="J23" s="52"/>
    </row>
    <row r="24" spans="1:11" ht="12.75" customHeight="1" x14ac:dyDescent="0.2">
      <c r="A24">
        <f>+MAX($A$7:A23)+1</f>
        <v>12</v>
      </c>
      <c r="B24" s="65" t="s">
        <v>785</v>
      </c>
      <c r="C24" t="s">
        <v>637</v>
      </c>
      <c r="D24" t="s">
        <v>156</v>
      </c>
      <c r="E24" s="28">
        <v>10</v>
      </c>
      <c r="F24" s="13">
        <v>99.624899999999997</v>
      </c>
      <c r="G24" s="14">
        <f t="shared" si="1"/>
        <v>4.7600000000000003E-2</v>
      </c>
      <c r="H24" s="15">
        <v>43712</v>
      </c>
      <c r="J24" s="52"/>
    </row>
    <row r="25" spans="1:11" ht="12.75" customHeight="1" x14ac:dyDescent="0.2">
      <c r="A25">
        <f>+MAX($A$7:A24)+1</f>
        <v>13</v>
      </c>
      <c r="B25" s="65" t="s">
        <v>773</v>
      </c>
      <c r="C25" t="s">
        <v>357</v>
      </c>
      <c r="D25" t="s">
        <v>104</v>
      </c>
      <c r="E25" s="28">
        <v>10</v>
      </c>
      <c r="F25" s="13">
        <v>99.443600000000004</v>
      </c>
      <c r="G25" s="14">
        <f t="shared" si="1"/>
        <v>4.7500000000000001E-2</v>
      </c>
      <c r="H25" s="15">
        <v>44343</v>
      </c>
      <c r="J25" s="52"/>
    </row>
    <row r="26" spans="1:11" ht="12.75" customHeight="1" x14ac:dyDescent="0.2">
      <c r="A26">
        <f>+MAX($A$7:A25)+1</f>
        <v>14</v>
      </c>
      <c r="B26" s="65" t="s">
        <v>786</v>
      </c>
      <c r="C26" t="s">
        <v>652</v>
      </c>
      <c r="D26" t="s">
        <v>156</v>
      </c>
      <c r="E26" s="28">
        <v>10</v>
      </c>
      <c r="F26" s="13">
        <v>99.333399999999997</v>
      </c>
      <c r="G26" s="14">
        <f t="shared" si="1"/>
        <v>4.7500000000000001E-2</v>
      </c>
      <c r="H26" s="15">
        <v>43662</v>
      </c>
      <c r="J26" s="52"/>
    </row>
    <row r="27" spans="1:11" ht="12.75" customHeight="1" x14ac:dyDescent="0.2">
      <c r="A27">
        <f>+MAX($A$7:A26)+1</f>
        <v>15</v>
      </c>
      <c r="B27" s="65" t="s">
        <v>767</v>
      </c>
      <c r="C27" t="s">
        <v>363</v>
      </c>
      <c r="D27" t="s">
        <v>315</v>
      </c>
      <c r="E27" s="28">
        <v>1000</v>
      </c>
      <c r="F27" s="13">
        <v>9.9618800000000007</v>
      </c>
      <c r="G27" s="14">
        <f t="shared" si="1"/>
        <v>4.7999999999999996E-3</v>
      </c>
      <c r="H27" s="15">
        <v>43717</v>
      </c>
      <c r="J27" s="52"/>
    </row>
    <row r="28" spans="1:11" ht="12.75" customHeight="1" x14ac:dyDescent="0.2">
      <c r="B28" s="18" t="s">
        <v>82</v>
      </c>
      <c r="C28" s="18"/>
      <c r="D28" s="18"/>
      <c r="E28" s="29"/>
      <c r="F28" s="19">
        <f>SUM(F14:F27)</f>
        <v>1898.12517</v>
      </c>
      <c r="G28" s="20">
        <f>SUM(G14:G27)</f>
        <v>0.90679999999999994</v>
      </c>
      <c r="H28" s="21"/>
      <c r="J28" s="52"/>
    </row>
    <row r="29" spans="1:11" ht="12.75" customHeight="1" x14ac:dyDescent="0.2">
      <c r="F29" s="13"/>
      <c r="G29" s="14"/>
      <c r="H29" s="15"/>
    </row>
    <row r="30" spans="1:11" ht="12.75" customHeight="1" x14ac:dyDescent="0.2">
      <c r="B30" s="16" t="s">
        <v>91</v>
      </c>
      <c r="C30" s="16"/>
      <c r="F30" s="13"/>
      <c r="G30" s="14"/>
      <c r="H30" s="15"/>
    </row>
    <row r="31" spans="1:11" ht="12.75" customHeight="1" x14ac:dyDescent="0.2">
      <c r="A31" s="94" t="s">
        <v>321</v>
      </c>
      <c r="B31" s="16" t="s">
        <v>658</v>
      </c>
      <c r="C31" s="16"/>
      <c r="F31" s="13">
        <v>119.40597</v>
      </c>
      <c r="G31" s="14">
        <f>+ROUND(F31/VLOOKUP("Grand Total",$B$4:$F$284,5,0),4)</f>
        <v>5.7000000000000002E-2</v>
      </c>
      <c r="H31" s="15">
        <v>43313</v>
      </c>
    </row>
    <row r="32" spans="1:11" ht="12.75" customHeight="1" x14ac:dyDescent="0.2">
      <c r="B32" s="16" t="s">
        <v>92</v>
      </c>
      <c r="C32" s="16"/>
      <c r="F32" s="13">
        <v>55.965677099999766</v>
      </c>
      <c r="G32" s="14">
        <f>+ROUND(F32/VLOOKUP("Grand Total",$B$4:$F$284,5,0),4)</f>
        <v>2.6700000000000002E-2</v>
      </c>
      <c r="H32" s="15"/>
    </row>
    <row r="33" spans="2:9" ht="12.75" customHeight="1" x14ac:dyDescent="0.2">
      <c r="B33" s="18" t="s">
        <v>82</v>
      </c>
      <c r="C33" s="18"/>
      <c r="D33" s="18"/>
      <c r="E33" s="29"/>
      <c r="F33" s="19">
        <f>SUM(F31:F32)</f>
        <v>175.37164709999976</v>
      </c>
      <c r="G33" s="20">
        <f>SUM(G31:G32)</f>
        <v>8.3699999999999997E-2</v>
      </c>
      <c r="H33" s="21"/>
      <c r="I33" s="35"/>
    </row>
    <row r="34" spans="2:9" ht="12.75" customHeight="1" x14ac:dyDescent="0.2">
      <c r="B34" s="22" t="s">
        <v>93</v>
      </c>
      <c r="C34" s="22"/>
      <c r="D34" s="22"/>
      <c r="E34" s="30"/>
      <c r="F34" s="23">
        <f>+SUMIF($B$5:B33,"Total",$F$5:F33)</f>
        <v>2093.3955770999996</v>
      </c>
      <c r="G34" s="24">
        <f>+SUMIF($B$5:B33,"Total",$G$5:G33)</f>
        <v>0.99999999999999989</v>
      </c>
      <c r="H34" s="25"/>
      <c r="I34" s="35"/>
    </row>
    <row r="35" spans="2:9" ht="12.75" customHeight="1" x14ac:dyDescent="0.2"/>
    <row r="36" spans="2:9" ht="12.75" customHeight="1" x14ac:dyDescent="0.2">
      <c r="B36" s="16" t="s">
        <v>499</v>
      </c>
      <c r="C36" s="16"/>
    </row>
    <row r="37" spans="2:9" ht="12.75" customHeight="1" x14ac:dyDescent="0.2">
      <c r="B37" s="16" t="s">
        <v>171</v>
      </c>
      <c r="C37" s="16"/>
    </row>
    <row r="38" spans="2:9" ht="12.75" customHeight="1" x14ac:dyDescent="0.2">
      <c r="B38" s="16"/>
      <c r="C38" s="16"/>
    </row>
    <row r="39" spans="2:9" ht="12.75" customHeight="1" x14ac:dyDescent="0.2">
      <c r="B39" s="16"/>
      <c r="C39" s="16"/>
    </row>
    <row r="40" spans="2:9" ht="12.75" customHeight="1" x14ac:dyDescent="0.2">
      <c r="B40" s="16"/>
      <c r="C40" s="16"/>
    </row>
    <row r="41" spans="2:9" ht="12.75" customHeight="1" x14ac:dyDescent="0.2"/>
    <row r="42" spans="2:9" ht="12.75" customHeight="1" x14ac:dyDescent="0.2"/>
    <row r="43" spans="2:9" ht="12.75" customHeight="1" x14ac:dyDescent="0.2"/>
    <row r="44" spans="2:9" ht="12.75" customHeight="1" x14ac:dyDescent="0.2"/>
    <row r="45" spans="2:9" ht="12.75" customHeight="1" x14ac:dyDescent="0.2"/>
    <row r="46" spans="2:9" ht="12.75" customHeight="1" x14ac:dyDescent="0.2"/>
    <row r="47" spans="2:9" ht="12.75" customHeight="1" x14ac:dyDescent="0.2"/>
    <row r="48" spans="2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</sheetData>
  <sortState ref="J11:K17">
    <sortCondition descending="1" ref="K11:K17"/>
  </sortState>
  <mergeCells count="1">
    <mergeCell ref="B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P17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9.7109375" customWidth="1"/>
    <col min="3" max="3" width="14.1406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3" t="s">
        <v>337</v>
      </c>
      <c r="B1" s="129" t="s">
        <v>660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356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+MAX($A$7:A8)+1</f>
        <v>1</v>
      </c>
      <c r="B9" t="s">
        <v>176</v>
      </c>
      <c r="C9" t="s">
        <v>12</v>
      </c>
      <c r="D9" t="s">
        <v>9</v>
      </c>
      <c r="E9" s="28">
        <v>304203</v>
      </c>
      <c r="F9" s="13">
        <v>6630.1043849999996</v>
      </c>
      <c r="G9" s="14">
        <f t="shared" ref="G9:G40" si="0">+ROUND(F9/VLOOKUP("Grand Total",$B$4:$F$321,5,0),4)</f>
        <v>4.3900000000000002E-2</v>
      </c>
      <c r="H9" s="15" t="s">
        <v>322</v>
      </c>
      <c r="I9" s="106"/>
      <c r="J9" s="14" t="s">
        <v>9</v>
      </c>
      <c r="K9" s="48">
        <f t="shared" ref="K9:K20" si="1">SUMIFS($G$5:$G$359,$D$5:$D$359,J9)</f>
        <v>0.13170000000000001</v>
      </c>
    </row>
    <row r="10" spans="1:16" ht="12.75" customHeight="1" x14ac:dyDescent="0.2">
      <c r="A10">
        <f>+MAX($A$7:A9)+1</f>
        <v>2</v>
      </c>
      <c r="B10" t="s">
        <v>178</v>
      </c>
      <c r="C10" t="s">
        <v>29</v>
      </c>
      <c r="D10" t="s">
        <v>28</v>
      </c>
      <c r="E10" s="28">
        <v>484300</v>
      </c>
      <c r="F10" s="13">
        <v>5743.7979999999998</v>
      </c>
      <c r="G10" s="14">
        <f t="shared" si="0"/>
        <v>3.7999999999999999E-2</v>
      </c>
      <c r="H10" s="15" t="s">
        <v>322</v>
      </c>
      <c r="I10" s="106"/>
      <c r="J10" s="14" t="s">
        <v>24</v>
      </c>
      <c r="K10" s="48">
        <f t="shared" si="1"/>
        <v>0.10539999999999999</v>
      </c>
    </row>
    <row r="11" spans="1:16" ht="12.75" customHeight="1" x14ac:dyDescent="0.2">
      <c r="A11">
        <f>+MAX($A$7:A10)+1</f>
        <v>3</v>
      </c>
      <c r="B11" t="s">
        <v>177</v>
      </c>
      <c r="C11" t="s">
        <v>14</v>
      </c>
      <c r="D11" t="s">
        <v>13</v>
      </c>
      <c r="E11" s="28">
        <v>336500</v>
      </c>
      <c r="F11" s="13">
        <v>4593.5614999999998</v>
      </c>
      <c r="G11" s="14">
        <f t="shared" si="0"/>
        <v>3.04E-2</v>
      </c>
      <c r="H11" s="15" t="s">
        <v>322</v>
      </c>
      <c r="I11" s="106"/>
      <c r="J11" s="14" t="s">
        <v>13</v>
      </c>
      <c r="K11" s="48">
        <f t="shared" si="1"/>
        <v>8.0700000000000008E-2</v>
      </c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185</v>
      </c>
      <c r="C12" t="s">
        <v>44</v>
      </c>
      <c r="D12" t="s">
        <v>24</v>
      </c>
      <c r="E12" s="28">
        <v>1429532</v>
      </c>
      <c r="F12" s="13">
        <v>4255.7167639999998</v>
      </c>
      <c r="G12" s="14">
        <f t="shared" si="0"/>
        <v>2.8199999999999999E-2</v>
      </c>
      <c r="H12" s="15" t="s">
        <v>322</v>
      </c>
      <c r="I12" s="106"/>
      <c r="J12" t="s">
        <v>152</v>
      </c>
      <c r="K12" s="48">
        <f t="shared" si="1"/>
        <v>7.2399999999999992E-2</v>
      </c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15</v>
      </c>
      <c r="C13" t="s">
        <v>16</v>
      </c>
      <c r="D13" t="s">
        <v>9</v>
      </c>
      <c r="E13" s="28">
        <v>1271466</v>
      </c>
      <c r="F13" s="13">
        <v>3731.7527100000002</v>
      </c>
      <c r="G13" s="14">
        <f t="shared" si="0"/>
        <v>2.47E-2</v>
      </c>
      <c r="H13" s="15" t="s">
        <v>322</v>
      </c>
      <c r="I13" s="106"/>
      <c r="J13" s="14" t="s">
        <v>354</v>
      </c>
      <c r="K13" s="48">
        <f t="shared" si="1"/>
        <v>5.8400000000000001E-2</v>
      </c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200</v>
      </c>
      <c r="C14" t="s">
        <v>18</v>
      </c>
      <c r="D14" t="s">
        <v>13</v>
      </c>
      <c r="E14" s="28">
        <v>187518</v>
      </c>
      <c r="F14" s="13">
        <v>3638.224236</v>
      </c>
      <c r="G14" s="14">
        <f t="shared" si="0"/>
        <v>2.41E-2</v>
      </c>
      <c r="H14" s="15" t="s">
        <v>322</v>
      </c>
      <c r="I14" s="106"/>
      <c r="J14" s="14" t="s">
        <v>22</v>
      </c>
      <c r="K14" s="48">
        <f t="shared" si="1"/>
        <v>5.7600000000000005E-2</v>
      </c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182</v>
      </c>
      <c r="C15" t="s">
        <v>25</v>
      </c>
      <c r="D15" t="s">
        <v>22</v>
      </c>
      <c r="E15" s="28">
        <v>165000</v>
      </c>
      <c r="F15" s="13">
        <v>3291.5025000000001</v>
      </c>
      <c r="G15" s="14">
        <f t="shared" si="0"/>
        <v>2.18E-2</v>
      </c>
      <c r="H15" s="15" t="s">
        <v>322</v>
      </c>
      <c r="I15" s="106"/>
      <c r="J15" s="14" t="s">
        <v>104</v>
      </c>
      <c r="K15" s="48">
        <f t="shared" si="1"/>
        <v>4.4799999999999993E-2</v>
      </c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345</v>
      </c>
      <c r="C16" t="s">
        <v>344</v>
      </c>
      <c r="D16" t="s">
        <v>24</v>
      </c>
      <c r="E16" s="28">
        <v>767307</v>
      </c>
      <c r="F16" s="13">
        <v>3234.5826585000004</v>
      </c>
      <c r="G16" s="14">
        <f t="shared" si="0"/>
        <v>2.1399999999999999E-2</v>
      </c>
      <c r="H16" s="15" t="s">
        <v>322</v>
      </c>
      <c r="I16" s="106"/>
      <c r="J16" s="14" t="s">
        <v>28</v>
      </c>
      <c r="K16" s="48">
        <f t="shared" si="1"/>
        <v>3.7999999999999999E-2</v>
      </c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179</v>
      </c>
      <c r="C17" t="s">
        <v>10</v>
      </c>
      <c r="D17" t="s">
        <v>9</v>
      </c>
      <c r="E17" s="28">
        <v>1059976</v>
      </c>
      <c r="F17" s="13">
        <v>3224.9769799999999</v>
      </c>
      <c r="G17" s="14">
        <f t="shared" si="0"/>
        <v>2.1399999999999999E-2</v>
      </c>
      <c r="H17" s="15" t="s">
        <v>322</v>
      </c>
      <c r="I17" s="106"/>
      <c r="J17" s="14" t="s">
        <v>34</v>
      </c>
      <c r="K17" s="48">
        <f t="shared" si="1"/>
        <v>3.5799999999999998E-2</v>
      </c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216</v>
      </c>
      <c r="C18" t="s">
        <v>97</v>
      </c>
      <c r="D18" t="s">
        <v>24</v>
      </c>
      <c r="E18" s="28">
        <v>149235</v>
      </c>
      <c r="F18" s="13">
        <v>2584.2278775</v>
      </c>
      <c r="G18" s="14">
        <f t="shared" si="0"/>
        <v>1.7100000000000001E-2</v>
      </c>
      <c r="H18" s="15" t="s">
        <v>322</v>
      </c>
      <c r="I18" s="106"/>
      <c r="J18" s="14" t="s">
        <v>261</v>
      </c>
      <c r="K18" s="48">
        <f t="shared" si="1"/>
        <v>2.6200000000000001E-2</v>
      </c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466</v>
      </c>
      <c r="C19" t="s">
        <v>467</v>
      </c>
      <c r="D19" t="s">
        <v>34</v>
      </c>
      <c r="E19" s="28">
        <v>3181640</v>
      </c>
      <c r="F19" s="13">
        <v>2371.9126200000001</v>
      </c>
      <c r="G19" s="14">
        <f t="shared" si="0"/>
        <v>1.5699999999999999E-2</v>
      </c>
      <c r="H19" s="15" t="s">
        <v>322</v>
      </c>
      <c r="I19" s="106"/>
      <c r="J19" s="14" t="s">
        <v>315</v>
      </c>
      <c r="K19" s="48">
        <f t="shared" si="1"/>
        <v>2.4500000000000001E-2</v>
      </c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539</v>
      </c>
      <c r="C20" t="s">
        <v>540</v>
      </c>
      <c r="D20" t="s">
        <v>22</v>
      </c>
      <c r="E20" s="28">
        <v>539864</v>
      </c>
      <c r="F20" s="13">
        <v>2259.6007719999998</v>
      </c>
      <c r="G20" s="14">
        <f t="shared" si="0"/>
        <v>1.4999999999999999E-2</v>
      </c>
      <c r="H20" s="15" t="s">
        <v>322</v>
      </c>
      <c r="I20" s="106"/>
      <c r="J20" s="14" t="s">
        <v>381</v>
      </c>
      <c r="K20" s="48">
        <f t="shared" si="1"/>
        <v>2.3099999999999999E-2</v>
      </c>
      <c r="M20" s="14"/>
      <c r="N20" s="36"/>
      <c r="P20" s="14"/>
    </row>
    <row r="21" spans="1:16" ht="12.75" customHeight="1" x14ac:dyDescent="0.2">
      <c r="A21">
        <f>+MAX($A$7:A20)+1</f>
        <v>13</v>
      </c>
      <c r="B21" s="65" t="s">
        <v>468</v>
      </c>
      <c r="C21" t="s">
        <v>469</v>
      </c>
      <c r="D21" t="s">
        <v>24</v>
      </c>
      <c r="E21" s="28">
        <v>34690</v>
      </c>
      <c r="F21" s="13">
        <v>2249.698535</v>
      </c>
      <c r="G21" s="14">
        <f t="shared" si="0"/>
        <v>1.49E-2</v>
      </c>
      <c r="H21" s="15" t="s">
        <v>322</v>
      </c>
      <c r="I21" s="106"/>
      <c r="J21" s="14" t="s">
        <v>19</v>
      </c>
      <c r="K21" s="48">
        <f t="shared" ref="K21:K48" si="2">SUMIFS($G$5:$G$359,$D$5:$D$359,J21)</f>
        <v>2.2199999999999998E-2</v>
      </c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227</v>
      </c>
      <c r="C22" t="s">
        <v>111</v>
      </c>
      <c r="D22" t="s">
        <v>34</v>
      </c>
      <c r="E22" s="28">
        <v>1438080</v>
      </c>
      <c r="F22" s="13">
        <v>2226.86688</v>
      </c>
      <c r="G22" s="14">
        <f t="shared" si="0"/>
        <v>1.47E-2</v>
      </c>
      <c r="H22" s="15" t="s">
        <v>322</v>
      </c>
      <c r="I22" s="106"/>
      <c r="J22" s="14" t="s">
        <v>17</v>
      </c>
      <c r="K22" s="48">
        <f t="shared" si="2"/>
        <v>1.9400000000000001E-2</v>
      </c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209</v>
      </c>
      <c r="C23" t="s">
        <v>69</v>
      </c>
      <c r="D23" t="s">
        <v>26</v>
      </c>
      <c r="E23" s="28">
        <v>167626</v>
      </c>
      <c r="F23" s="13">
        <v>2182.9933980000001</v>
      </c>
      <c r="G23" s="14">
        <f t="shared" si="0"/>
        <v>1.4500000000000001E-2</v>
      </c>
      <c r="H23" s="15" t="s">
        <v>322</v>
      </c>
      <c r="I23" s="106"/>
      <c r="J23" s="14" t="s">
        <v>39</v>
      </c>
      <c r="K23" s="48">
        <f t="shared" si="2"/>
        <v>1.8099999999999998E-2</v>
      </c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195</v>
      </c>
      <c r="C24" t="s">
        <v>72</v>
      </c>
      <c r="D24" t="s">
        <v>407</v>
      </c>
      <c r="E24" s="28">
        <v>1633488</v>
      </c>
      <c r="F24" s="13">
        <v>2172.5390400000001</v>
      </c>
      <c r="G24" s="14">
        <f t="shared" si="0"/>
        <v>1.44E-2</v>
      </c>
      <c r="H24" s="15" t="s">
        <v>322</v>
      </c>
      <c r="I24" s="106"/>
      <c r="J24" s="14" t="s">
        <v>102</v>
      </c>
      <c r="K24" s="48">
        <f t="shared" si="2"/>
        <v>1.7100000000000001E-2</v>
      </c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196</v>
      </c>
      <c r="C25" t="s">
        <v>94</v>
      </c>
      <c r="D25" t="s">
        <v>9</v>
      </c>
      <c r="E25" s="28">
        <v>162716</v>
      </c>
      <c r="F25" s="13">
        <v>2126.4540459999998</v>
      </c>
      <c r="G25" s="14">
        <f t="shared" si="0"/>
        <v>1.41E-2</v>
      </c>
      <c r="H25" s="15" t="s">
        <v>322</v>
      </c>
      <c r="I25" s="106"/>
      <c r="J25" s="14" t="s">
        <v>21</v>
      </c>
      <c r="K25" s="48">
        <f t="shared" si="2"/>
        <v>1.6299999999999999E-2</v>
      </c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304</v>
      </c>
      <c r="C26" t="s">
        <v>538</v>
      </c>
      <c r="D26" t="s">
        <v>127</v>
      </c>
      <c r="E26" s="28">
        <v>825720</v>
      </c>
      <c r="F26" s="13">
        <v>2106.4117200000001</v>
      </c>
      <c r="G26" s="14">
        <f t="shared" si="0"/>
        <v>1.4E-2</v>
      </c>
      <c r="H26" s="15" t="s">
        <v>322</v>
      </c>
      <c r="I26" s="106"/>
      <c r="J26" s="14" t="s">
        <v>26</v>
      </c>
      <c r="K26" s="48">
        <f t="shared" si="2"/>
        <v>1.4500000000000001E-2</v>
      </c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420</v>
      </c>
      <c r="C27" t="s">
        <v>421</v>
      </c>
      <c r="D27" t="s">
        <v>22</v>
      </c>
      <c r="E27" s="28">
        <v>403000</v>
      </c>
      <c r="F27" s="13">
        <v>2070.8155000000002</v>
      </c>
      <c r="G27" s="14">
        <f t="shared" si="0"/>
        <v>1.37E-2</v>
      </c>
      <c r="H27" s="15" t="s">
        <v>322</v>
      </c>
      <c r="I27" s="106"/>
      <c r="J27" s="14" t="s">
        <v>407</v>
      </c>
      <c r="K27" s="48">
        <f t="shared" si="2"/>
        <v>1.44E-2</v>
      </c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275</v>
      </c>
      <c r="C28" t="s">
        <v>55</v>
      </c>
      <c r="D28" t="s">
        <v>24</v>
      </c>
      <c r="E28" s="28">
        <v>132807</v>
      </c>
      <c r="F28" s="13">
        <v>2070.5275335000001</v>
      </c>
      <c r="G28" s="14">
        <f t="shared" si="0"/>
        <v>1.37E-2</v>
      </c>
      <c r="H28" s="15" t="s">
        <v>322</v>
      </c>
      <c r="I28" s="106"/>
      <c r="J28" s="14" t="s">
        <v>127</v>
      </c>
      <c r="K28" s="48">
        <f t="shared" si="2"/>
        <v>1.4E-2</v>
      </c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282</v>
      </c>
      <c r="C29" t="s">
        <v>283</v>
      </c>
      <c r="D29" t="s">
        <v>137</v>
      </c>
      <c r="E29" s="28">
        <v>337043</v>
      </c>
      <c r="F29" s="13">
        <v>2064.2198534999998</v>
      </c>
      <c r="G29" s="14">
        <f t="shared" si="0"/>
        <v>1.37E-2</v>
      </c>
      <c r="H29" s="15" t="s">
        <v>322</v>
      </c>
      <c r="I29" s="106"/>
      <c r="J29" s="14" t="s">
        <v>137</v>
      </c>
      <c r="K29" s="48">
        <f t="shared" si="2"/>
        <v>1.37E-2</v>
      </c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212</v>
      </c>
      <c r="C30" t="s">
        <v>76</v>
      </c>
      <c r="D30" t="s">
        <v>49</v>
      </c>
      <c r="E30" s="28">
        <v>719568</v>
      </c>
      <c r="F30" s="13">
        <v>1878.792048</v>
      </c>
      <c r="G30" s="14">
        <f t="shared" si="0"/>
        <v>1.24E-2</v>
      </c>
      <c r="H30" s="15" t="s">
        <v>322</v>
      </c>
      <c r="I30" s="106"/>
      <c r="J30" t="s">
        <v>49</v>
      </c>
      <c r="K30" s="48">
        <f t="shared" si="2"/>
        <v>1.24E-2</v>
      </c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358</v>
      </c>
      <c r="C31" t="s">
        <v>359</v>
      </c>
      <c r="D31" t="s">
        <v>360</v>
      </c>
      <c r="E31" s="28">
        <v>1217943</v>
      </c>
      <c r="F31" s="13">
        <v>1784.2864950000001</v>
      </c>
      <c r="G31" s="14">
        <f t="shared" si="0"/>
        <v>1.18E-2</v>
      </c>
      <c r="H31" s="15" t="s">
        <v>322</v>
      </c>
      <c r="I31" s="106"/>
      <c r="J31" t="s">
        <v>360</v>
      </c>
      <c r="K31" s="48">
        <f t="shared" si="2"/>
        <v>1.18E-2</v>
      </c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232</v>
      </c>
      <c r="C32" t="s">
        <v>115</v>
      </c>
      <c r="D32" t="s">
        <v>45</v>
      </c>
      <c r="E32" s="28">
        <v>456666</v>
      </c>
      <c r="F32" s="13">
        <v>1713.182499</v>
      </c>
      <c r="G32" s="14">
        <f t="shared" si="0"/>
        <v>1.1299999999999999E-2</v>
      </c>
      <c r="H32" s="15" t="s">
        <v>322</v>
      </c>
      <c r="I32" s="106"/>
      <c r="J32" t="s">
        <v>45</v>
      </c>
      <c r="K32" s="48">
        <f t="shared" si="2"/>
        <v>1.1299999999999999E-2</v>
      </c>
      <c r="L32" s="54">
        <f>+SUM($K$9:K37)</f>
        <v>0.93100000000000005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193</v>
      </c>
      <c r="C33" t="s">
        <v>47</v>
      </c>
      <c r="D33" t="s">
        <v>19</v>
      </c>
      <c r="E33" s="28">
        <v>17944</v>
      </c>
      <c r="F33" s="13">
        <v>1708.3674919999999</v>
      </c>
      <c r="G33" s="14">
        <f t="shared" si="0"/>
        <v>1.1299999999999999E-2</v>
      </c>
      <c r="H33" s="15" t="s">
        <v>322</v>
      </c>
      <c r="I33" s="106"/>
      <c r="J33" s="14" t="s">
        <v>43</v>
      </c>
      <c r="K33" s="48">
        <f t="shared" si="2"/>
        <v>1.0999999999999999E-2</v>
      </c>
      <c r="M33" s="14"/>
      <c r="N33" s="36"/>
      <c r="P33" s="14"/>
    </row>
    <row r="34" spans="1:16" ht="12.75" customHeight="1" x14ac:dyDescent="0.2">
      <c r="A34">
        <f>+MAX($A$7:A33)+1</f>
        <v>26</v>
      </c>
      <c r="B34" t="s">
        <v>217</v>
      </c>
      <c r="C34" t="s">
        <v>96</v>
      </c>
      <c r="D34" t="s">
        <v>19</v>
      </c>
      <c r="E34" s="28">
        <v>176563</v>
      </c>
      <c r="F34" s="13">
        <v>1652.5413985</v>
      </c>
      <c r="G34" s="14">
        <f t="shared" si="0"/>
        <v>1.09E-2</v>
      </c>
      <c r="H34" s="15" t="s">
        <v>322</v>
      </c>
      <c r="I34" s="106"/>
      <c r="J34" s="14" t="s">
        <v>285</v>
      </c>
      <c r="K34" s="48">
        <f t="shared" si="2"/>
        <v>1.04E-2</v>
      </c>
      <c r="M34" s="14"/>
      <c r="N34" s="36"/>
      <c r="P34" s="14"/>
    </row>
    <row r="35" spans="1:16" ht="12.75" customHeight="1" x14ac:dyDescent="0.2">
      <c r="A35">
        <f>+MAX($A$7:A34)+1</f>
        <v>27</v>
      </c>
      <c r="B35" t="s">
        <v>234</v>
      </c>
      <c r="C35" t="s">
        <v>116</v>
      </c>
      <c r="D35" t="s">
        <v>17</v>
      </c>
      <c r="E35" s="28">
        <v>685300</v>
      </c>
      <c r="F35" s="13">
        <v>1580.9871000000001</v>
      </c>
      <c r="G35" s="14">
        <f t="shared" si="0"/>
        <v>1.0500000000000001E-2</v>
      </c>
      <c r="H35" s="15" t="s">
        <v>322</v>
      </c>
      <c r="I35" s="106"/>
      <c r="J35" s="14" t="s">
        <v>98</v>
      </c>
      <c r="K35" s="48">
        <f t="shared" si="2"/>
        <v>9.5999999999999992E-3</v>
      </c>
      <c r="M35" s="14"/>
      <c r="N35" s="36"/>
      <c r="P35" s="14"/>
    </row>
    <row r="36" spans="1:16" ht="12.75" customHeight="1" x14ac:dyDescent="0.2">
      <c r="A36">
        <f>+MAX($A$7:A35)+1</f>
        <v>28</v>
      </c>
      <c r="B36" t="s">
        <v>187</v>
      </c>
      <c r="C36" t="s">
        <v>46</v>
      </c>
      <c r="D36" t="s">
        <v>24</v>
      </c>
      <c r="E36" s="28">
        <v>23276</v>
      </c>
      <c r="F36" s="13">
        <v>1522.7624719999999</v>
      </c>
      <c r="G36" s="14">
        <f t="shared" si="0"/>
        <v>1.01E-2</v>
      </c>
      <c r="H36" s="15" t="s">
        <v>322</v>
      </c>
      <c r="I36" s="106"/>
      <c r="J36" s="14" t="s">
        <v>160</v>
      </c>
      <c r="K36" s="48">
        <f t="shared" si="2"/>
        <v>9.5999999999999992E-3</v>
      </c>
      <c r="M36" s="14"/>
      <c r="N36" s="36"/>
      <c r="P36" s="14"/>
    </row>
    <row r="37" spans="1:16" ht="12.75" customHeight="1" x14ac:dyDescent="0.2">
      <c r="A37">
        <f>+MAX($A$7:A36)+1</f>
        <v>29</v>
      </c>
      <c r="B37" t="s">
        <v>226</v>
      </c>
      <c r="C37" t="s">
        <v>109</v>
      </c>
      <c r="D37" t="s">
        <v>13</v>
      </c>
      <c r="E37" s="28">
        <v>217852</v>
      </c>
      <c r="F37" s="13">
        <v>1483.0274899999999</v>
      </c>
      <c r="G37" s="14">
        <f t="shared" si="0"/>
        <v>9.7999999999999997E-3</v>
      </c>
      <c r="H37" s="15" t="s">
        <v>322</v>
      </c>
      <c r="I37" s="106"/>
      <c r="J37" t="s">
        <v>463</v>
      </c>
      <c r="K37" s="48">
        <f t="shared" si="2"/>
        <v>6.6E-3</v>
      </c>
      <c r="M37" s="14"/>
      <c r="N37" s="36"/>
      <c r="P37" s="14"/>
    </row>
    <row r="38" spans="1:16" ht="12.75" customHeight="1" x14ac:dyDescent="0.2">
      <c r="A38">
        <f>+MAX($A$7:A37)+1</f>
        <v>30</v>
      </c>
      <c r="B38" t="s">
        <v>230</v>
      </c>
      <c r="C38" t="s">
        <v>114</v>
      </c>
      <c r="D38" t="s">
        <v>98</v>
      </c>
      <c r="E38" s="28">
        <v>275000</v>
      </c>
      <c r="F38" s="13">
        <v>1449.6624999999999</v>
      </c>
      <c r="G38" s="14">
        <f t="shared" si="0"/>
        <v>9.5999999999999992E-3</v>
      </c>
      <c r="H38" s="15" t="s">
        <v>322</v>
      </c>
      <c r="I38" s="106"/>
      <c r="J38" s="14" t="s">
        <v>459</v>
      </c>
      <c r="K38" s="48">
        <f t="shared" si="2"/>
        <v>4.5999999999999999E-3</v>
      </c>
    </row>
    <row r="39" spans="1:16" ht="12.75" customHeight="1" x14ac:dyDescent="0.2">
      <c r="A39">
        <f>+MAX($A$7:A38)+1</f>
        <v>31</v>
      </c>
      <c r="B39" t="s">
        <v>244</v>
      </c>
      <c r="C39" t="s">
        <v>79</v>
      </c>
      <c r="D39" t="s">
        <v>13</v>
      </c>
      <c r="E39" s="28">
        <v>202500</v>
      </c>
      <c r="F39" s="13">
        <v>1426.3087499999999</v>
      </c>
      <c r="G39" s="14">
        <f t="shared" si="0"/>
        <v>9.4000000000000004E-3</v>
      </c>
      <c r="H39" s="15" t="s">
        <v>322</v>
      </c>
      <c r="I39" s="106"/>
      <c r="J39" s="14" t="s">
        <v>32</v>
      </c>
      <c r="K39" s="48">
        <f t="shared" si="2"/>
        <v>4.4999999999999997E-3</v>
      </c>
    </row>
    <row r="40" spans="1:16" ht="12.75" customHeight="1" x14ac:dyDescent="0.2">
      <c r="A40">
        <f>+MAX($A$7:A39)+1</f>
        <v>32</v>
      </c>
      <c r="B40" t="s">
        <v>201</v>
      </c>
      <c r="C40" t="s">
        <v>27</v>
      </c>
      <c r="D40" t="s">
        <v>9</v>
      </c>
      <c r="E40" s="28">
        <v>255419</v>
      </c>
      <c r="F40" s="13">
        <v>1405.826176</v>
      </c>
      <c r="G40" s="14">
        <f t="shared" si="0"/>
        <v>9.2999999999999992E-3</v>
      </c>
      <c r="H40" s="15" t="s">
        <v>322</v>
      </c>
      <c r="I40" s="106"/>
      <c r="J40" t="s">
        <v>734</v>
      </c>
      <c r="K40" s="48">
        <f t="shared" si="2"/>
        <v>3.5999999999999999E-3</v>
      </c>
    </row>
    <row r="41" spans="1:16" ht="12.75" customHeight="1" x14ac:dyDescent="0.2">
      <c r="A41">
        <f>+MAX($A$7:A40)+1</f>
        <v>33</v>
      </c>
      <c r="B41" t="s">
        <v>199</v>
      </c>
      <c r="C41" t="s">
        <v>59</v>
      </c>
      <c r="D41" t="s">
        <v>21</v>
      </c>
      <c r="E41" s="28">
        <v>230760</v>
      </c>
      <c r="F41" s="13">
        <v>1365.06078</v>
      </c>
      <c r="G41" s="14">
        <f t="shared" ref="G41:G62" si="3">+ROUND(F41/VLOOKUP("Grand Total",$B$4:$F$321,5,0),4)</f>
        <v>8.9999999999999993E-3</v>
      </c>
      <c r="H41" s="15" t="s">
        <v>322</v>
      </c>
      <c r="I41" s="106"/>
      <c r="J41" s="89" t="s">
        <v>36</v>
      </c>
      <c r="K41" s="48">
        <f t="shared" si="2"/>
        <v>3.3E-3</v>
      </c>
    </row>
    <row r="42" spans="1:16" ht="12.75" customHeight="1" x14ac:dyDescent="0.2">
      <c r="A42">
        <f>+MAX($A$7:A41)+1</f>
        <v>34</v>
      </c>
      <c r="B42" t="s">
        <v>470</v>
      </c>
      <c r="C42" t="s">
        <v>471</v>
      </c>
      <c r="D42" t="s">
        <v>102</v>
      </c>
      <c r="E42" s="28">
        <v>1740000</v>
      </c>
      <c r="F42" s="13">
        <v>1348.5</v>
      </c>
      <c r="G42" s="14">
        <f t="shared" si="3"/>
        <v>8.8999999999999999E-3</v>
      </c>
      <c r="H42" s="15" t="s">
        <v>322</v>
      </c>
      <c r="I42" s="106"/>
      <c r="J42" t="s">
        <v>497</v>
      </c>
      <c r="K42" s="48">
        <f t="shared" si="2"/>
        <v>3.3E-3</v>
      </c>
    </row>
    <row r="43" spans="1:16" ht="12.75" customHeight="1" x14ac:dyDescent="0.2">
      <c r="A43">
        <f>+MAX($A$7:A42)+1</f>
        <v>35</v>
      </c>
      <c r="B43" s="65" t="s">
        <v>38</v>
      </c>
      <c r="C43" s="65" t="s">
        <v>40</v>
      </c>
      <c r="D43" t="s">
        <v>9</v>
      </c>
      <c r="E43" s="28">
        <v>841699</v>
      </c>
      <c r="F43" s="13">
        <v>1290.7454165000001</v>
      </c>
      <c r="G43" s="14">
        <f t="shared" si="3"/>
        <v>8.5000000000000006E-3</v>
      </c>
      <c r="H43" s="15" t="s">
        <v>322</v>
      </c>
      <c r="I43" s="106"/>
      <c r="J43" t="s">
        <v>263</v>
      </c>
      <c r="K43" s="48">
        <f t="shared" si="2"/>
        <v>3.3E-3</v>
      </c>
    </row>
    <row r="44" spans="1:16" ht="12.75" customHeight="1" x14ac:dyDescent="0.2">
      <c r="A44">
        <f>+MAX($A$7:A43)+1</f>
        <v>36</v>
      </c>
      <c r="B44" t="s">
        <v>484</v>
      </c>
      <c r="C44" t="s">
        <v>485</v>
      </c>
      <c r="D44" t="s">
        <v>102</v>
      </c>
      <c r="E44" s="28">
        <v>1500000</v>
      </c>
      <c r="F44" s="13">
        <v>1238.25</v>
      </c>
      <c r="G44" s="14">
        <f t="shared" si="3"/>
        <v>8.2000000000000007E-3</v>
      </c>
      <c r="H44" s="15" t="s">
        <v>322</v>
      </c>
      <c r="I44" s="106"/>
      <c r="J44" s="14" t="s">
        <v>529</v>
      </c>
      <c r="K44" s="48">
        <f t="shared" si="2"/>
        <v>3.2000000000000002E-3</v>
      </c>
    </row>
    <row r="45" spans="1:16" ht="12.75" customHeight="1" x14ac:dyDescent="0.2">
      <c r="A45">
        <f>+MAX($A$7:A44)+1</f>
        <v>37</v>
      </c>
      <c r="B45" t="s">
        <v>252</v>
      </c>
      <c r="C45" t="s">
        <v>140</v>
      </c>
      <c r="D45" t="s">
        <v>39</v>
      </c>
      <c r="E45" s="28">
        <v>188594</v>
      </c>
      <c r="F45" s="13">
        <v>1227.3697520000001</v>
      </c>
      <c r="G45" s="14">
        <f t="shared" si="3"/>
        <v>8.0999999999999996E-3</v>
      </c>
      <c r="H45" s="15" t="s">
        <v>322</v>
      </c>
      <c r="I45" s="106"/>
      <c r="J45" s="14" t="s">
        <v>30</v>
      </c>
      <c r="K45" s="48">
        <f t="shared" si="2"/>
        <v>2.7000000000000001E-3</v>
      </c>
    </row>
    <row r="46" spans="1:16" ht="12.75" customHeight="1" x14ac:dyDescent="0.2">
      <c r="A46">
        <f>+MAX($A$7:A45)+1</f>
        <v>38</v>
      </c>
      <c r="B46" t="s">
        <v>365</v>
      </c>
      <c r="C46" t="s">
        <v>66</v>
      </c>
      <c r="D46" t="s">
        <v>21</v>
      </c>
      <c r="E46" s="28">
        <v>193514</v>
      </c>
      <c r="F46" s="13">
        <v>1100.12709</v>
      </c>
      <c r="G46" s="14">
        <f t="shared" si="3"/>
        <v>7.3000000000000001E-3</v>
      </c>
      <c r="H46" s="15" t="s">
        <v>322</v>
      </c>
      <c r="I46" s="106"/>
      <c r="J46" t="s">
        <v>498</v>
      </c>
      <c r="K46" s="48">
        <f t="shared" si="2"/>
        <v>2E-3</v>
      </c>
    </row>
    <row r="47" spans="1:16" ht="12.75" customHeight="1" x14ac:dyDescent="0.2">
      <c r="A47">
        <f>+MAX($A$7:A46)+1</f>
        <v>39</v>
      </c>
      <c r="B47" t="s">
        <v>207</v>
      </c>
      <c r="C47" t="s">
        <v>68</v>
      </c>
      <c r="D47" t="s">
        <v>9</v>
      </c>
      <c r="E47" s="28">
        <v>1206552</v>
      </c>
      <c r="F47" s="13">
        <v>1073.8312800000001</v>
      </c>
      <c r="G47" s="14">
        <f t="shared" si="3"/>
        <v>7.1000000000000004E-3</v>
      </c>
      <c r="H47" s="15" t="s">
        <v>322</v>
      </c>
      <c r="I47" s="106"/>
      <c r="J47" s="14" t="s">
        <v>733</v>
      </c>
      <c r="K47" s="48">
        <f t="shared" si="2"/>
        <v>6.9999999999999999E-4</v>
      </c>
    </row>
    <row r="48" spans="1:16" ht="12.75" customHeight="1" x14ac:dyDescent="0.2">
      <c r="A48">
        <f>+MAX($A$7:A47)+1</f>
        <v>40</v>
      </c>
      <c r="B48" t="s">
        <v>383</v>
      </c>
      <c r="C48" t="s">
        <v>384</v>
      </c>
      <c r="D48" t="s">
        <v>22</v>
      </c>
      <c r="E48" s="28">
        <v>712097</v>
      </c>
      <c r="F48" s="13">
        <v>1066.7213059999999</v>
      </c>
      <c r="G48" s="14">
        <f t="shared" si="3"/>
        <v>7.1000000000000004E-3</v>
      </c>
      <c r="H48" s="15" t="s">
        <v>322</v>
      </c>
      <c r="I48" s="106"/>
      <c r="J48" t="s">
        <v>368</v>
      </c>
      <c r="K48" s="48">
        <f t="shared" si="2"/>
        <v>2.0000000000000001E-4</v>
      </c>
    </row>
    <row r="49" spans="1:11" ht="12.75" customHeight="1" x14ac:dyDescent="0.2">
      <c r="A49">
        <f>+MAX($A$7:A48)+1</f>
        <v>41</v>
      </c>
      <c r="B49" t="s">
        <v>181</v>
      </c>
      <c r="C49" t="s">
        <v>23</v>
      </c>
      <c r="D49" t="s">
        <v>13</v>
      </c>
      <c r="E49" s="28">
        <v>109737</v>
      </c>
      <c r="F49" s="13">
        <v>1059.0717870000001</v>
      </c>
      <c r="G49" s="14">
        <f t="shared" si="3"/>
        <v>7.0000000000000001E-3</v>
      </c>
      <c r="H49" s="15" t="s">
        <v>322</v>
      </c>
      <c r="I49" s="106"/>
      <c r="J49" s="14" t="s">
        <v>62</v>
      </c>
      <c r="K49" s="48">
        <f>+SUMIFS($G$5:$G$998,$B$5:$B$998,"CBLO / Reverse Repo")+SUMIFS($G$5:$G$998,$B$5:$B$998,"Net Receivable/Payable")</f>
        <v>3.7599999999999995E-2</v>
      </c>
    </row>
    <row r="50" spans="1:11" ht="12.75" customHeight="1" x14ac:dyDescent="0.2">
      <c r="A50">
        <f>+MAX($A$7:A49)+1</f>
        <v>42</v>
      </c>
      <c r="B50" t="s">
        <v>190</v>
      </c>
      <c r="C50" t="s">
        <v>50</v>
      </c>
      <c r="D50" t="s">
        <v>39</v>
      </c>
      <c r="E50" s="28">
        <v>1293614</v>
      </c>
      <c r="F50" s="13">
        <v>1055.5890240000001</v>
      </c>
      <c r="G50" s="14">
        <f t="shared" si="3"/>
        <v>7.0000000000000001E-3</v>
      </c>
      <c r="H50" s="15" t="s">
        <v>322</v>
      </c>
      <c r="I50" s="106"/>
      <c r="J50" s="14"/>
      <c r="K50" s="48"/>
    </row>
    <row r="51" spans="1:11" ht="12.75" customHeight="1" x14ac:dyDescent="0.2">
      <c r="A51">
        <f>+MAX($A$7:A50)+1</f>
        <v>43</v>
      </c>
      <c r="B51" t="s">
        <v>214</v>
      </c>
      <c r="C51" t="s">
        <v>78</v>
      </c>
      <c r="D51" t="s">
        <v>43</v>
      </c>
      <c r="E51" s="28">
        <v>322378</v>
      </c>
      <c r="F51" s="13">
        <v>902.81958900000006</v>
      </c>
      <c r="G51" s="14">
        <f t="shared" si="3"/>
        <v>6.0000000000000001E-3</v>
      </c>
      <c r="H51" s="15" t="s">
        <v>322</v>
      </c>
      <c r="I51" s="106"/>
      <c r="J51" s="14"/>
      <c r="K51" s="48"/>
    </row>
    <row r="52" spans="1:11" ht="12.75" customHeight="1" x14ac:dyDescent="0.2">
      <c r="A52">
        <f>+MAX($A$7:A51)+1</f>
        <v>44</v>
      </c>
      <c r="B52" t="s">
        <v>224</v>
      </c>
      <c r="C52" t="s">
        <v>110</v>
      </c>
      <c r="D52" t="s">
        <v>34</v>
      </c>
      <c r="E52" s="28">
        <v>450000</v>
      </c>
      <c r="F52" s="13">
        <v>820.35</v>
      </c>
      <c r="G52" s="14">
        <f t="shared" si="3"/>
        <v>5.4000000000000003E-3</v>
      </c>
      <c r="H52" s="15" t="s">
        <v>322</v>
      </c>
      <c r="I52" s="106"/>
      <c r="K52" s="48"/>
    </row>
    <row r="53" spans="1:11" ht="12.75" customHeight="1" x14ac:dyDescent="0.2">
      <c r="A53">
        <f>+MAX($A$7:A52)+1</f>
        <v>45</v>
      </c>
      <c r="B53" t="s">
        <v>448</v>
      </c>
      <c r="C53" t="s">
        <v>449</v>
      </c>
      <c r="D53" t="s">
        <v>43</v>
      </c>
      <c r="E53" s="28">
        <v>1221430</v>
      </c>
      <c r="F53" s="13">
        <v>751.790165</v>
      </c>
      <c r="G53" s="14">
        <f t="shared" si="3"/>
        <v>5.0000000000000001E-3</v>
      </c>
      <c r="H53" s="15" t="s">
        <v>322</v>
      </c>
      <c r="I53" s="106"/>
      <c r="J53" s="14"/>
      <c r="K53" s="48"/>
    </row>
    <row r="54" spans="1:11" ht="12.75" customHeight="1" x14ac:dyDescent="0.2">
      <c r="A54">
        <f>+MAX($A$7:A53)+1</f>
        <v>46</v>
      </c>
      <c r="B54" t="s">
        <v>277</v>
      </c>
      <c r="C54" t="s">
        <v>65</v>
      </c>
      <c r="D54" t="s">
        <v>17</v>
      </c>
      <c r="E54" s="28">
        <v>600000</v>
      </c>
      <c r="F54" s="13">
        <v>702.3</v>
      </c>
      <c r="G54" s="14">
        <f t="shared" si="3"/>
        <v>4.7000000000000002E-3</v>
      </c>
      <c r="H54" s="15" t="s">
        <v>322</v>
      </c>
      <c r="I54" s="106"/>
    </row>
    <row r="55" spans="1:11" ht="12.75" customHeight="1" x14ac:dyDescent="0.2">
      <c r="A55">
        <f>+MAX($A$7:A54)+1</f>
        <v>47</v>
      </c>
      <c r="B55" t="s">
        <v>198</v>
      </c>
      <c r="C55" t="s">
        <v>63</v>
      </c>
      <c r="D55" t="s">
        <v>32</v>
      </c>
      <c r="E55" s="28">
        <v>174829</v>
      </c>
      <c r="F55" s="13">
        <v>682.8820740000001</v>
      </c>
      <c r="G55" s="14">
        <f t="shared" si="3"/>
        <v>4.4999999999999997E-3</v>
      </c>
      <c r="H55" s="15" t="s">
        <v>322</v>
      </c>
      <c r="I55" s="106"/>
    </row>
    <row r="56" spans="1:11" ht="12.75" customHeight="1" x14ac:dyDescent="0.2">
      <c r="A56">
        <f>+MAX($A$7:A55)+1</f>
        <v>48</v>
      </c>
      <c r="B56" t="s">
        <v>276</v>
      </c>
      <c r="C56" t="s">
        <v>74</v>
      </c>
      <c r="D56" t="s">
        <v>36</v>
      </c>
      <c r="E56" s="28">
        <v>146336</v>
      </c>
      <c r="F56" s="13">
        <v>497.54239999999999</v>
      </c>
      <c r="G56" s="14">
        <f t="shared" si="3"/>
        <v>3.3E-3</v>
      </c>
      <c r="H56" s="15" t="s">
        <v>322</v>
      </c>
      <c r="I56" s="106"/>
    </row>
    <row r="57" spans="1:11" ht="12.75" customHeight="1" x14ac:dyDescent="0.2">
      <c r="A57">
        <f>+MAX($A$7:A56)+1</f>
        <v>49</v>
      </c>
      <c r="B57" t="s">
        <v>398</v>
      </c>
      <c r="C57" t="s">
        <v>399</v>
      </c>
      <c r="D57" t="s">
        <v>39</v>
      </c>
      <c r="E57" s="28">
        <v>165000</v>
      </c>
      <c r="F57" s="13">
        <v>445.5</v>
      </c>
      <c r="G57" s="14">
        <f t="shared" si="3"/>
        <v>3.0000000000000001E-3</v>
      </c>
      <c r="H57" s="15" t="s">
        <v>322</v>
      </c>
      <c r="I57" s="106"/>
    </row>
    <row r="58" spans="1:11" ht="12.75" customHeight="1" x14ac:dyDescent="0.2">
      <c r="A58">
        <f>+MAX($A$7:A57)+1</f>
        <v>50</v>
      </c>
      <c r="B58" t="s">
        <v>426</v>
      </c>
      <c r="C58" t="s">
        <v>427</v>
      </c>
      <c r="D58" t="s">
        <v>30</v>
      </c>
      <c r="E58" s="28">
        <v>305000</v>
      </c>
      <c r="F58" s="13">
        <v>403.97250000000003</v>
      </c>
      <c r="G58" s="14">
        <f t="shared" si="3"/>
        <v>2.7000000000000001E-3</v>
      </c>
      <c r="H58" s="15" t="s">
        <v>322</v>
      </c>
      <c r="I58" s="106"/>
    </row>
    <row r="59" spans="1:11" ht="12.75" customHeight="1" x14ac:dyDescent="0.2">
      <c r="A59">
        <f>+MAX($A$7:A58)+1</f>
        <v>51</v>
      </c>
      <c r="B59" t="s">
        <v>450</v>
      </c>
      <c r="C59" t="s">
        <v>451</v>
      </c>
      <c r="D59" t="s">
        <v>9</v>
      </c>
      <c r="E59" s="28">
        <v>645520</v>
      </c>
      <c r="F59" s="13">
        <v>400.54516000000001</v>
      </c>
      <c r="G59" s="14">
        <f t="shared" si="3"/>
        <v>2.7000000000000001E-3</v>
      </c>
      <c r="H59" s="15" t="s">
        <v>322</v>
      </c>
      <c r="I59" s="106"/>
    </row>
    <row r="60" spans="1:11" ht="12.75" customHeight="1" x14ac:dyDescent="0.2">
      <c r="A60">
        <f>+MAX($A$7:A59)+1</f>
        <v>52</v>
      </c>
      <c r="B60" t="s">
        <v>235</v>
      </c>
      <c r="C60" t="s">
        <v>118</v>
      </c>
      <c r="D60" t="s">
        <v>17</v>
      </c>
      <c r="E60" s="28">
        <v>21646</v>
      </c>
      <c r="F60" s="13">
        <v>331.12968499999999</v>
      </c>
      <c r="G60" s="14">
        <f t="shared" si="3"/>
        <v>2.2000000000000001E-3</v>
      </c>
      <c r="H60" s="15" t="s">
        <v>322</v>
      </c>
      <c r="I60" s="106"/>
    </row>
    <row r="61" spans="1:11" ht="12.75" customHeight="1" x14ac:dyDescent="0.2">
      <c r="A61">
        <f>+MAX($A$7:A60)+1</f>
        <v>53</v>
      </c>
      <c r="B61" t="s">
        <v>297</v>
      </c>
      <c r="C61" t="s">
        <v>298</v>
      </c>
      <c r="D61" t="s">
        <v>17</v>
      </c>
      <c r="E61" s="28">
        <v>39494</v>
      </c>
      <c r="F61" s="13">
        <v>306.69065699999999</v>
      </c>
      <c r="G61" s="14">
        <f t="shared" si="3"/>
        <v>2E-3</v>
      </c>
      <c r="H61" s="15" t="s">
        <v>322</v>
      </c>
      <c r="I61" s="106"/>
    </row>
    <row r="62" spans="1:11" ht="12.75" customHeight="1" x14ac:dyDescent="0.2">
      <c r="A62">
        <f>+MAX($A$7:A61)+1</f>
        <v>54</v>
      </c>
      <c r="B62" t="s">
        <v>366</v>
      </c>
      <c r="C62" t="s">
        <v>367</v>
      </c>
      <c r="D62" t="s">
        <v>368</v>
      </c>
      <c r="E62" s="28">
        <v>17235</v>
      </c>
      <c r="F62" s="13">
        <v>28.661805000000001</v>
      </c>
      <c r="G62" s="14">
        <f t="shared" si="3"/>
        <v>2.0000000000000001E-4</v>
      </c>
      <c r="H62" s="15" t="s">
        <v>322</v>
      </c>
      <c r="I62" s="106"/>
    </row>
    <row r="63" spans="1:11" ht="12.75" customHeight="1" x14ac:dyDescent="0.2">
      <c r="A63">
        <f>+MAX($A$7:A62)+1</f>
        <v>55</v>
      </c>
      <c r="B63" t="s">
        <v>462</v>
      </c>
      <c r="C63" t="s">
        <v>81</v>
      </c>
      <c r="D63" t="s">
        <v>98</v>
      </c>
      <c r="E63" s="28">
        <v>30579</v>
      </c>
      <c r="F63" s="13">
        <v>0</v>
      </c>
      <c r="G63" s="107" t="s">
        <v>443</v>
      </c>
      <c r="H63" s="15" t="s">
        <v>322</v>
      </c>
      <c r="I63" s="106"/>
    </row>
    <row r="64" spans="1:11" ht="12.75" customHeight="1" x14ac:dyDescent="0.2">
      <c r="B64" s="18" t="s">
        <v>82</v>
      </c>
      <c r="C64" s="18"/>
      <c r="D64" s="18"/>
      <c r="E64" s="29"/>
      <c r="F64" s="19">
        <f>SUM(F9:F63)</f>
        <v>100535.68240000001</v>
      </c>
      <c r="G64" s="20">
        <f>SUM(G9:G63)</f>
        <v>0.66569999999999996</v>
      </c>
      <c r="H64" s="21"/>
      <c r="I64" s="35"/>
    </row>
    <row r="65" spans="1:9" ht="12.75" customHeight="1" x14ac:dyDescent="0.2">
      <c r="F65" s="13"/>
      <c r="G65" s="14"/>
      <c r="H65" s="15"/>
    </row>
    <row r="66" spans="1:9" ht="12.75" customHeight="1" x14ac:dyDescent="0.2">
      <c r="B66" s="16" t="s">
        <v>88</v>
      </c>
      <c r="C66" s="16"/>
      <c r="F66" s="13"/>
      <c r="G66" s="14"/>
      <c r="H66" s="15"/>
    </row>
    <row r="67" spans="1:9" ht="12.75" customHeight="1" x14ac:dyDescent="0.2">
      <c r="B67" s="16" t="s">
        <v>536</v>
      </c>
      <c r="C67" s="16"/>
      <c r="F67" s="13"/>
      <c r="G67" s="14"/>
      <c r="H67" s="15"/>
    </row>
    <row r="68" spans="1:9" ht="12.75" customHeight="1" x14ac:dyDescent="0.2">
      <c r="A68">
        <f>+MAX($A$7:A67)+1</f>
        <v>56</v>
      </c>
      <c r="B68" s="65" t="s">
        <v>201</v>
      </c>
      <c r="C68" t="s">
        <v>546</v>
      </c>
      <c r="D68" t="s">
        <v>152</v>
      </c>
      <c r="E68" s="28">
        <v>2500</v>
      </c>
      <c r="F68" s="13">
        <v>2482.0974999999999</v>
      </c>
      <c r="G68" s="14">
        <f>+ROUND(F68/VLOOKUP("Grand Total",$B$4:$F$321,5,0),4)</f>
        <v>1.6400000000000001E-2</v>
      </c>
      <c r="H68" s="15">
        <v>43353</v>
      </c>
      <c r="I68" s="106"/>
    </row>
    <row r="69" spans="1:9" ht="12.75" customHeight="1" x14ac:dyDescent="0.2">
      <c r="B69" s="18" t="s">
        <v>82</v>
      </c>
      <c r="C69" s="18"/>
      <c r="D69" s="18"/>
      <c r="E69" s="29"/>
      <c r="F69" s="19">
        <f>SUM(F68:F68)</f>
        <v>2482.0974999999999</v>
      </c>
      <c r="G69" s="20">
        <f>SUM(G68:G68)</f>
        <v>1.6400000000000001E-2</v>
      </c>
      <c r="H69" s="21"/>
    </row>
    <row r="70" spans="1:9" ht="12.75" customHeight="1" x14ac:dyDescent="0.2">
      <c r="B70" s="16"/>
      <c r="C70" s="16"/>
      <c r="F70" s="13"/>
      <c r="G70" s="14"/>
      <c r="H70" s="15"/>
    </row>
    <row r="71" spans="1:9" ht="12.75" customHeight="1" x14ac:dyDescent="0.2">
      <c r="B71" s="16" t="s">
        <v>793</v>
      </c>
      <c r="C71" s="16"/>
      <c r="F71" s="13"/>
      <c r="G71" s="14"/>
      <c r="H71" s="15"/>
    </row>
    <row r="72" spans="1:9" ht="12.75" customHeight="1" x14ac:dyDescent="0.2">
      <c r="A72">
        <f>+MAX($A$7:A71)+1</f>
        <v>57</v>
      </c>
      <c r="B72" s="65" t="s">
        <v>794</v>
      </c>
      <c r="C72" t="s">
        <v>727</v>
      </c>
      <c r="D72" t="s">
        <v>152</v>
      </c>
      <c r="E72" s="28">
        <v>700</v>
      </c>
      <c r="F72" s="13">
        <v>3494.7359999999999</v>
      </c>
      <c r="G72" s="14">
        <f t="shared" ref="G72:G79" si="4">+ROUND(F72/VLOOKUP("Grand Total",$B$4:$F$321,5,0),4)</f>
        <v>2.3099999999999999E-2</v>
      </c>
      <c r="H72" s="15">
        <v>43318</v>
      </c>
      <c r="I72" s="106"/>
    </row>
    <row r="73" spans="1:9" ht="12.75" customHeight="1" x14ac:dyDescent="0.2">
      <c r="A73">
        <f>+MAX($A$7:A72)+1</f>
        <v>58</v>
      </c>
      <c r="B73" s="65" t="s">
        <v>457</v>
      </c>
      <c r="C73" t="s">
        <v>699</v>
      </c>
      <c r="D73" t="s">
        <v>152</v>
      </c>
      <c r="E73" s="28">
        <v>500</v>
      </c>
      <c r="F73" s="13">
        <v>2500</v>
      </c>
      <c r="G73" s="14">
        <f t="shared" si="4"/>
        <v>1.66E-2</v>
      </c>
      <c r="H73" s="15">
        <v>43313</v>
      </c>
      <c r="I73" s="106"/>
    </row>
    <row r="74" spans="1:9" ht="12.75" customHeight="1" x14ac:dyDescent="0.2">
      <c r="A74">
        <f>+MAX($A$7:A73)+1</f>
        <v>59</v>
      </c>
      <c r="B74" s="65" t="s">
        <v>795</v>
      </c>
      <c r="C74" t="s">
        <v>653</v>
      </c>
      <c r="D74" t="s">
        <v>261</v>
      </c>
      <c r="E74" s="28">
        <v>500</v>
      </c>
      <c r="F74" s="13">
        <v>2475.44</v>
      </c>
      <c r="G74" s="14">
        <f t="shared" si="4"/>
        <v>1.6400000000000001E-2</v>
      </c>
      <c r="H74" s="15">
        <v>43357</v>
      </c>
      <c r="I74" s="106"/>
    </row>
    <row r="75" spans="1:9" ht="12.75" customHeight="1" x14ac:dyDescent="0.2">
      <c r="A75">
        <f>+MAX($A$7:A74)+1</f>
        <v>60</v>
      </c>
      <c r="B75" s="65" t="s">
        <v>796</v>
      </c>
      <c r="C75" t="s">
        <v>742</v>
      </c>
      <c r="D75" t="s">
        <v>152</v>
      </c>
      <c r="E75" s="28">
        <v>500</v>
      </c>
      <c r="F75" s="13">
        <v>2467.4650000000001</v>
      </c>
      <c r="G75" s="14">
        <f t="shared" si="4"/>
        <v>1.6299999999999999E-2</v>
      </c>
      <c r="H75" s="15">
        <v>43371</v>
      </c>
      <c r="I75" s="106"/>
    </row>
    <row r="76" spans="1:9" ht="12.75" customHeight="1" x14ac:dyDescent="0.2">
      <c r="A76">
        <f>+MAX($A$7:A75)+1</f>
        <v>61</v>
      </c>
      <c r="B76" s="65" t="s">
        <v>797</v>
      </c>
      <c r="C76" t="s">
        <v>456</v>
      </c>
      <c r="D76" t="s">
        <v>463</v>
      </c>
      <c r="E76" s="28">
        <v>200</v>
      </c>
      <c r="F76" s="13">
        <v>991.97799999999995</v>
      </c>
      <c r="G76" s="14">
        <f t="shared" si="4"/>
        <v>6.6E-3</v>
      </c>
      <c r="H76" s="15">
        <v>43350</v>
      </c>
      <c r="I76" s="106"/>
    </row>
    <row r="77" spans="1:9" ht="12.75" customHeight="1" x14ac:dyDescent="0.2">
      <c r="A77">
        <f>+MAX($A$7:A76)+1</f>
        <v>62</v>
      </c>
      <c r="B77" s="65" t="s">
        <v>798</v>
      </c>
      <c r="C77" t="s">
        <v>683</v>
      </c>
      <c r="D77" t="s">
        <v>261</v>
      </c>
      <c r="E77" s="28">
        <v>200</v>
      </c>
      <c r="F77" s="13">
        <v>986.36199999999997</v>
      </c>
      <c r="G77" s="14">
        <f t="shared" si="4"/>
        <v>6.4999999999999997E-3</v>
      </c>
      <c r="H77" s="15">
        <v>43367</v>
      </c>
      <c r="I77" s="106"/>
    </row>
    <row r="78" spans="1:9" ht="12.75" customHeight="1" x14ac:dyDescent="0.2">
      <c r="A78">
        <f>+MAX($A$7:A77)+1</f>
        <v>63</v>
      </c>
      <c r="B78" s="65" t="s">
        <v>799</v>
      </c>
      <c r="C78" t="s">
        <v>685</v>
      </c>
      <c r="D78" t="s">
        <v>459</v>
      </c>
      <c r="E78" s="28">
        <v>140</v>
      </c>
      <c r="F78" s="13">
        <v>690.86429999999996</v>
      </c>
      <c r="G78" s="14">
        <f t="shared" si="4"/>
        <v>4.5999999999999999E-3</v>
      </c>
      <c r="H78" s="15">
        <v>43362</v>
      </c>
      <c r="I78" s="106"/>
    </row>
    <row r="79" spans="1:9" ht="12.75" customHeight="1" x14ac:dyDescent="0.2">
      <c r="A79">
        <f>+MAX($A$7:A78)+1</f>
        <v>64</v>
      </c>
      <c r="B79" s="65" t="s">
        <v>800</v>
      </c>
      <c r="C79" t="s">
        <v>736</v>
      </c>
      <c r="D79" t="s">
        <v>261</v>
      </c>
      <c r="E79" s="28">
        <v>100</v>
      </c>
      <c r="F79" s="13">
        <v>499.24799999999999</v>
      </c>
      <c r="G79" s="14">
        <f t="shared" si="4"/>
        <v>3.3E-3</v>
      </c>
      <c r="H79" s="15">
        <v>43318</v>
      </c>
      <c r="I79" s="106"/>
    </row>
    <row r="80" spans="1:9" ht="12.75" customHeight="1" x14ac:dyDescent="0.2">
      <c r="B80" s="18" t="s">
        <v>82</v>
      </c>
      <c r="C80" s="18"/>
      <c r="D80" s="18"/>
      <c r="E80" s="29"/>
      <c r="F80" s="19">
        <f>SUM(F72:F79)</f>
        <v>14106.093299999997</v>
      </c>
      <c r="G80" s="20">
        <f>SUM(G72:G79)</f>
        <v>9.3399999999999983E-2</v>
      </c>
      <c r="H80" s="21"/>
    </row>
    <row r="81" spans="1:9" ht="12.75" customHeight="1" x14ac:dyDescent="0.2">
      <c r="F81" s="13"/>
      <c r="G81" s="14"/>
      <c r="H81" s="15"/>
    </row>
    <row r="82" spans="1:9" ht="12.75" customHeight="1" x14ac:dyDescent="0.2">
      <c r="B82" s="16" t="s">
        <v>120</v>
      </c>
      <c r="C82" s="16"/>
      <c r="F82" s="13"/>
      <c r="G82" s="14"/>
      <c r="H82" s="15"/>
    </row>
    <row r="83" spans="1:9" ht="12.75" customHeight="1" x14ac:dyDescent="0.2">
      <c r="B83" s="31" t="s">
        <v>356</v>
      </c>
      <c r="C83" s="16"/>
      <c r="F83" s="13"/>
      <c r="G83" s="14"/>
      <c r="H83" s="15"/>
    </row>
    <row r="84" spans="1:9" ht="12.75" customHeight="1" x14ac:dyDescent="0.2">
      <c r="A84">
        <f>+MAX($A$7:A83)+1</f>
        <v>65</v>
      </c>
      <c r="B84" s="65" t="s">
        <v>766</v>
      </c>
      <c r="C84" t="s">
        <v>554</v>
      </c>
      <c r="D84" t="s">
        <v>381</v>
      </c>
      <c r="E84" s="28">
        <v>250</v>
      </c>
      <c r="F84" s="13">
        <v>2550.2824999999998</v>
      </c>
      <c r="G84" s="14">
        <f t="shared" ref="G84:G101" si="5">+ROUND(F84/VLOOKUP("Grand Total",$B$4:$F$321,5,0),4)</f>
        <v>1.6899999999999998E-2</v>
      </c>
      <c r="H84" s="15">
        <v>44739</v>
      </c>
      <c r="I84" s="106"/>
    </row>
    <row r="85" spans="1:9" ht="12.75" customHeight="1" x14ac:dyDescent="0.2">
      <c r="A85">
        <f>+MAX($A$7:A84)+1</f>
        <v>66</v>
      </c>
      <c r="B85" s="65" t="s">
        <v>784</v>
      </c>
      <c r="C85" t="s">
        <v>461</v>
      </c>
      <c r="D85" t="s">
        <v>104</v>
      </c>
      <c r="E85" s="28">
        <v>235</v>
      </c>
      <c r="F85" s="13">
        <v>2225.70145</v>
      </c>
      <c r="G85" s="14">
        <f t="shared" si="5"/>
        <v>1.47E-2</v>
      </c>
      <c r="H85" s="15">
        <v>44804</v>
      </c>
      <c r="I85" s="106"/>
    </row>
    <row r="86" spans="1:9" ht="12.75" customHeight="1" x14ac:dyDescent="0.2">
      <c r="A86">
        <f>+MAX($A$7:A85)+1</f>
        <v>67</v>
      </c>
      <c r="B86" s="65" t="s">
        <v>755</v>
      </c>
      <c r="C86" t="s">
        <v>677</v>
      </c>
      <c r="D86" t="s">
        <v>315</v>
      </c>
      <c r="E86" s="28">
        <v>170000</v>
      </c>
      <c r="F86" s="13">
        <v>1674.2858000000001</v>
      </c>
      <c r="G86" s="14">
        <f t="shared" si="5"/>
        <v>1.11E-2</v>
      </c>
      <c r="H86" s="15">
        <v>44351</v>
      </c>
      <c r="I86" s="106"/>
    </row>
    <row r="87" spans="1:9" ht="12.75" customHeight="1" x14ac:dyDescent="0.2">
      <c r="A87">
        <f>+MAX($A$7:A86)+1</f>
        <v>68</v>
      </c>
      <c r="B87" s="65" t="s">
        <v>690</v>
      </c>
      <c r="C87" t="s">
        <v>460</v>
      </c>
      <c r="D87" t="s">
        <v>104</v>
      </c>
      <c r="E87" s="28">
        <v>150</v>
      </c>
      <c r="F87" s="13">
        <v>1461.4485</v>
      </c>
      <c r="G87" s="14">
        <f t="shared" si="5"/>
        <v>9.7000000000000003E-3</v>
      </c>
      <c r="H87" s="15">
        <v>44104</v>
      </c>
      <c r="I87" s="106"/>
    </row>
    <row r="88" spans="1:9" ht="12.75" customHeight="1" x14ac:dyDescent="0.2">
      <c r="A88">
        <f>+MAX($A$7:A87)+1</f>
        <v>69</v>
      </c>
      <c r="B88" s="65" t="s">
        <v>787</v>
      </c>
      <c r="C88" t="s">
        <v>442</v>
      </c>
      <c r="D88" t="s">
        <v>160</v>
      </c>
      <c r="E88" s="28">
        <v>150</v>
      </c>
      <c r="F88" s="13">
        <v>1453.7639999999999</v>
      </c>
      <c r="G88" s="14">
        <f t="shared" si="5"/>
        <v>9.5999999999999992E-3</v>
      </c>
      <c r="H88" s="15">
        <v>44376</v>
      </c>
      <c r="I88" s="106"/>
    </row>
    <row r="89" spans="1:9" ht="12.75" customHeight="1" x14ac:dyDescent="0.2">
      <c r="A89">
        <f>+MAX($A$7:A88)+1</f>
        <v>70</v>
      </c>
      <c r="B89" s="65" t="s">
        <v>314</v>
      </c>
      <c r="C89" t="s">
        <v>440</v>
      </c>
      <c r="D89" t="s">
        <v>315</v>
      </c>
      <c r="E89" s="28">
        <v>140000</v>
      </c>
      <c r="F89" s="13">
        <v>1395.2246</v>
      </c>
      <c r="G89" s="14">
        <f t="shared" si="5"/>
        <v>9.1999999999999998E-3</v>
      </c>
      <c r="H89" s="15">
        <v>43717</v>
      </c>
      <c r="I89" s="106"/>
    </row>
    <row r="90" spans="1:9" ht="12.75" customHeight="1" x14ac:dyDescent="0.2">
      <c r="A90">
        <f>+MAX($A$7:A89)+1</f>
        <v>71</v>
      </c>
      <c r="B90" s="65" t="s">
        <v>424</v>
      </c>
      <c r="C90" t="s">
        <v>425</v>
      </c>
      <c r="D90" t="s">
        <v>104</v>
      </c>
      <c r="E90" s="28">
        <v>110</v>
      </c>
      <c r="F90" s="13">
        <v>1081.0107</v>
      </c>
      <c r="G90" s="14">
        <f t="shared" si="5"/>
        <v>7.1999999999999998E-3</v>
      </c>
      <c r="H90" s="15">
        <v>44091</v>
      </c>
      <c r="I90" s="106"/>
    </row>
    <row r="91" spans="1:9" ht="12.75" customHeight="1" x14ac:dyDescent="0.2">
      <c r="A91">
        <f>+MAX($A$7:A90)+1</f>
        <v>72</v>
      </c>
      <c r="B91" s="65" t="s">
        <v>788</v>
      </c>
      <c r="C91" t="s">
        <v>479</v>
      </c>
      <c r="D91" t="s">
        <v>104</v>
      </c>
      <c r="E91" s="28">
        <v>100</v>
      </c>
      <c r="F91" s="13">
        <v>994.63199999999995</v>
      </c>
      <c r="G91" s="14">
        <f t="shared" si="5"/>
        <v>6.6E-3</v>
      </c>
      <c r="H91" s="15">
        <v>45042</v>
      </c>
      <c r="I91" s="106"/>
    </row>
    <row r="92" spans="1:9" ht="12.75" customHeight="1" x14ac:dyDescent="0.2">
      <c r="A92">
        <f>+MAX($A$7:A91)+1</f>
        <v>73</v>
      </c>
      <c r="B92" s="65" t="s">
        <v>756</v>
      </c>
      <c r="C92" t="s">
        <v>679</v>
      </c>
      <c r="D92" t="s">
        <v>381</v>
      </c>
      <c r="E92" s="28">
        <v>95</v>
      </c>
      <c r="F92" s="13">
        <v>941.77014999999994</v>
      </c>
      <c r="G92" s="14">
        <f t="shared" si="5"/>
        <v>6.1999999999999998E-3</v>
      </c>
      <c r="H92" s="15">
        <v>43616</v>
      </c>
      <c r="I92" s="106"/>
    </row>
    <row r="93" spans="1:9" ht="12.75" customHeight="1" x14ac:dyDescent="0.2">
      <c r="A93">
        <f>+MAX($A$7:A92)+1</f>
        <v>74</v>
      </c>
      <c r="B93" s="65" t="s">
        <v>789</v>
      </c>
      <c r="C93" t="s">
        <v>495</v>
      </c>
      <c r="D93" t="s">
        <v>104</v>
      </c>
      <c r="E93" s="28">
        <v>5</v>
      </c>
      <c r="F93" s="13">
        <v>499.53550000000001</v>
      </c>
      <c r="G93" s="14">
        <f t="shared" si="5"/>
        <v>3.3E-3</v>
      </c>
      <c r="H93" s="15">
        <v>43367</v>
      </c>
      <c r="I93" s="106"/>
    </row>
    <row r="94" spans="1:9" ht="12.75" customHeight="1" x14ac:dyDescent="0.2">
      <c r="A94">
        <f>+MAX($A$7:A93)+1</f>
        <v>75</v>
      </c>
      <c r="B94" s="65" t="s">
        <v>759</v>
      </c>
      <c r="C94" t="s">
        <v>372</v>
      </c>
      <c r="D94" t="s">
        <v>315</v>
      </c>
      <c r="E94" s="28">
        <v>50000</v>
      </c>
      <c r="F94" s="13">
        <v>498.541</v>
      </c>
      <c r="G94" s="14">
        <f t="shared" si="5"/>
        <v>3.3E-3</v>
      </c>
      <c r="H94" s="15">
        <v>43693</v>
      </c>
      <c r="I94" s="106"/>
    </row>
    <row r="95" spans="1:9" ht="12.75" customHeight="1" x14ac:dyDescent="0.2">
      <c r="A95">
        <f>+MAX($A$7:A94)+1</f>
        <v>76</v>
      </c>
      <c r="B95" s="65" t="s">
        <v>770</v>
      </c>
      <c r="C95" t="s">
        <v>504</v>
      </c>
      <c r="D95" t="s">
        <v>263</v>
      </c>
      <c r="E95" s="28">
        <v>50</v>
      </c>
      <c r="F95" s="13">
        <v>498</v>
      </c>
      <c r="G95" s="14">
        <f t="shared" si="5"/>
        <v>3.3E-3</v>
      </c>
      <c r="H95" s="15">
        <v>43643</v>
      </c>
      <c r="I95" s="106"/>
    </row>
    <row r="96" spans="1:9" ht="12.75" customHeight="1" x14ac:dyDescent="0.2">
      <c r="A96">
        <f>+MAX($A$7:A95)+1</f>
        <v>77</v>
      </c>
      <c r="B96" s="65" t="s">
        <v>790</v>
      </c>
      <c r="C96" t="s">
        <v>385</v>
      </c>
      <c r="D96" t="s">
        <v>104</v>
      </c>
      <c r="E96" s="28">
        <v>5</v>
      </c>
      <c r="F96" s="13">
        <v>497.72949999999997</v>
      </c>
      <c r="G96" s="14">
        <f t="shared" si="5"/>
        <v>3.3E-3</v>
      </c>
      <c r="H96" s="15">
        <v>43544</v>
      </c>
      <c r="I96" s="106"/>
    </row>
    <row r="97" spans="1:11" ht="12.75" customHeight="1" x14ac:dyDescent="0.2">
      <c r="A97">
        <f>+MAX($A$7:A96)+1</f>
        <v>78</v>
      </c>
      <c r="B97" s="65" t="s">
        <v>769</v>
      </c>
      <c r="C97" t="s">
        <v>503</v>
      </c>
      <c r="D97" t="s">
        <v>497</v>
      </c>
      <c r="E97" s="28">
        <v>70</v>
      </c>
      <c r="F97" s="13">
        <v>495.67559999999997</v>
      </c>
      <c r="G97" s="14">
        <f t="shared" si="5"/>
        <v>3.3E-3</v>
      </c>
      <c r="H97" s="15">
        <v>43826</v>
      </c>
      <c r="I97" s="106"/>
    </row>
    <row r="98" spans="1:11" ht="12.75" customHeight="1" x14ac:dyDescent="0.2">
      <c r="A98">
        <f>+MAX($A$7:A97)+1</f>
        <v>79</v>
      </c>
      <c r="B98" s="65" t="s">
        <v>791</v>
      </c>
      <c r="C98" t="s">
        <v>528</v>
      </c>
      <c r="D98" t="s">
        <v>529</v>
      </c>
      <c r="E98" s="28">
        <v>50</v>
      </c>
      <c r="F98" s="13">
        <v>490.4</v>
      </c>
      <c r="G98" s="14">
        <f t="shared" si="5"/>
        <v>3.2000000000000002E-3</v>
      </c>
      <c r="H98" s="15">
        <v>45097</v>
      </c>
      <c r="I98" s="106"/>
    </row>
    <row r="99" spans="1:11" ht="12.75" customHeight="1" x14ac:dyDescent="0.2">
      <c r="A99">
        <f>+MAX($A$7:A98)+1</f>
        <v>80</v>
      </c>
      <c r="B99" s="65" t="s">
        <v>776</v>
      </c>
      <c r="C99" t="s">
        <v>392</v>
      </c>
      <c r="D99" t="s">
        <v>498</v>
      </c>
      <c r="E99" s="28">
        <v>30</v>
      </c>
      <c r="F99" s="13">
        <v>299.31209999999999</v>
      </c>
      <c r="G99" s="14">
        <f t="shared" si="5"/>
        <v>2E-3</v>
      </c>
      <c r="H99" s="15">
        <v>43469</v>
      </c>
      <c r="I99" s="106"/>
    </row>
    <row r="100" spans="1:11" ht="12.75" customHeight="1" x14ac:dyDescent="0.2">
      <c r="A100">
        <f>+MAX($A$7:A99)+1</f>
        <v>81</v>
      </c>
      <c r="B100" s="65" t="s">
        <v>760</v>
      </c>
      <c r="C100" t="s">
        <v>362</v>
      </c>
      <c r="D100" t="s">
        <v>315</v>
      </c>
      <c r="E100" s="28">
        <v>13</v>
      </c>
      <c r="F100" s="13">
        <v>130.00766999999999</v>
      </c>
      <c r="G100" s="14">
        <f t="shared" si="5"/>
        <v>8.9999999999999998E-4</v>
      </c>
      <c r="H100" s="15">
        <v>43322</v>
      </c>
      <c r="I100" s="106"/>
    </row>
    <row r="101" spans="1:11" ht="12.75" customHeight="1" x14ac:dyDescent="0.2">
      <c r="A101">
        <f>+MAX($A$7:A100)+1</f>
        <v>82</v>
      </c>
      <c r="B101" s="65" t="s">
        <v>792</v>
      </c>
      <c r="C101" t="s">
        <v>293</v>
      </c>
      <c r="D101" t="s">
        <v>733</v>
      </c>
      <c r="E101" s="28">
        <v>10</v>
      </c>
      <c r="F101" s="13">
        <v>100.34520000000001</v>
      </c>
      <c r="G101" s="14">
        <f t="shared" si="5"/>
        <v>6.9999999999999999E-4</v>
      </c>
      <c r="H101" s="15">
        <v>43621</v>
      </c>
      <c r="I101" s="106"/>
    </row>
    <row r="102" spans="1:11" ht="12.75" customHeight="1" x14ac:dyDescent="0.2">
      <c r="B102" s="18" t="s">
        <v>82</v>
      </c>
      <c r="C102" s="18"/>
      <c r="D102" s="18"/>
      <c r="E102" s="29"/>
      <c r="F102" s="19">
        <f>SUM(F84:F101)</f>
        <v>17287.666269999998</v>
      </c>
      <c r="G102" s="20">
        <f>SUM(G84:G101)</f>
        <v>0.11449999999999996</v>
      </c>
      <c r="H102" s="21"/>
    </row>
    <row r="103" spans="1:11" ht="12.75" customHeight="1" x14ac:dyDescent="0.2">
      <c r="F103" s="13"/>
      <c r="G103" s="14"/>
      <c r="H103" s="15"/>
    </row>
    <row r="104" spans="1:11" ht="12.75" customHeight="1" x14ac:dyDescent="0.2">
      <c r="B104" s="16" t="s">
        <v>560</v>
      </c>
      <c r="C104" s="16"/>
      <c r="F104" s="13"/>
      <c r="G104" s="14"/>
      <c r="H104" s="15"/>
    </row>
    <row r="105" spans="1:11" ht="12.75" customHeight="1" x14ac:dyDescent="0.2">
      <c r="A105">
        <f>+MAX($A$7:A104)+1</f>
        <v>83</v>
      </c>
      <c r="B105" s="65" t="s">
        <v>525</v>
      </c>
      <c r="C105" t="s">
        <v>441</v>
      </c>
      <c r="D105" t="s">
        <v>734</v>
      </c>
      <c r="E105" s="28">
        <v>50</v>
      </c>
      <c r="F105" s="13">
        <v>544.18399999999997</v>
      </c>
      <c r="G105" s="14">
        <f>+ROUND(F105/VLOOKUP("Grand Total",$B$4:$F$321,5,0),4)</f>
        <v>3.5999999999999999E-3</v>
      </c>
      <c r="H105" s="15">
        <v>43321</v>
      </c>
    </row>
    <row r="106" spans="1:11" ht="12.75" customHeight="1" x14ac:dyDescent="0.2">
      <c r="B106" s="18" t="s">
        <v>82</v>
      </c>
      <c r="C106" s="18"/>
      <c r="D106" s="18"/>
      <c r="E106" s="29"/>
      <c r="F106" s="19">
        <f>SUM(F105:F105)</f>
        <v>544.18399999999997</v>
      </c>
      <c r="G106" s="20">
        <f>SUM(G105:G105)</f>
        <v>3.5999999999999999E-3</v>
      </c>
      <c r="H106" s="21"/>
    </row>
    <row r="107" spans="1:11" s="46" customFormat="1" ht="12.75" customHeight="1" x14ac:dyDescent="0.2">
      <c r="B107" s="67"/>
      <c r="C107" s="67"/>
      <c r="D107" s="67"/>
      <c r="E107" s="68"/>
      <c r="F107" s="69"/>
      <c r="G107" s="70"/>
      <c r="H107" s="71"/>
      <c r="I107" s="33"/>
      <c r="K107" s="48"/>
    </row>
    <row r="108" spans="1:11" ht="12.75" customHeight="1" x14ac:dyDescent="0.2">
      <c r="B108" s="16" t="s">
        <v>158</v>
      </c>
      <c r="C108" s="16"/>
      <c r="F108" s="13"/>
      <c r="G108" s="14"/>
      <c r="H108" s="15"/>
    </row>
    <row r="109" spans="1:11" ht="12.75" customHeight="1" x14ac:dyDescent="0.2">
      <c r="A109">
        <f>+MAX($A$7:A108)+1</f>
        <v>84</v>
      </c>
      <c r="B109" s="65" t="s">
        <v>641</v>
      </c>
      <c r="C109" t="s">
        <v>642</v>
      </c>
      <c r="D109" t="s">
        <v>354</v>
      </c>
      <c r="E109" s="28">
        <v>2700000</v>
      </c>
      <c r="F109" s="13">
        <v>2621.16</v>
      </c>
      <c r="G109" s="14">
        <f>+ROUND(F109/VLOOKUP("Grand Total",$B$4:$F$321,5,0),4)</f>
        <v>1.7399999999999999E-2</v>
      </c>
      <c r="H109" s="15">
        <v>45066</v>
      </c>
    </row>
    <row r="110" spans="1:11" ht="12.75" customHeight="1" x14ac:dyDescent="0.2">
      <c r="A110">
        <f>+MAX($A$7:A109)+1</f>
        <v>85</v>
      </c>
      <c r="B110" s="65" t="s">
        <v>530</v>
      </c>
      <c r="C110" t="s">
        <v>531</v>
      </c>
      <c r="D110" t="s">
        <v>354</v>
      </c>
      <c r="E110" s="28">
        <v>2250000</v>
      </c>
      <c r="F110" s="13">
        <v>2187.2249999999999</v>
      </c>
      <c r="G110" s="14">
        <f>+ROUND(F110/VLOOKUP("Grand Total",$B$4:$F$321,5,0),4)</f>
        <v>1.4500000000000001E-2</v>
      </c>
      <c r="H110" s="15">
        <v>45465</v>
      </c>
    </row>
    <row r="111" spans="1:11" ht="12.75" customHeight="1" x14ac:dyDescent="0.2">
      <c r="A111">
        <f>+MAX($A$7:A110)+1</f>
        <v>86</v>
      </c>
      <c r="B111" s="65" t="s">
        <v>393</v>
      </c>
      <c r="C111" t="s">
        <v>394</v>
      </c>
      <c r="D111" t="s">
        <v>354</v>
      </c>
      <c r="E111" s="28">
        <v>1900000</v>
      </c>
      <c r="F111" s="13">
        <v>1833.405</v>
      </c>
      <c r="G111" s="14">
        <f>+ROUND(F111/VLOOKUP("Grand Total",$B$4:$F$321,5,0),4)</f>
        <v>1.21E-2</v>
      </c>
      <c r="H111" s="15">
        <v>44914</v>
      </c>
    </row>
    <row r="112" spans="1:11" ht="12.75" customHeight="1" x14ac:dyDescent="0.2">
      <c r="A112">
        <f>+MAX($A$7:A111)+1</f>
        <v>87</v>
      </c>
      <c r="B112" s="65" t="s">
        <v>549</v>
      </c>
      <c r="C112" t="s">
        <v>550</v>
      </c>
      <c r="D112" t="s">
        <v>354</v>
      </c>
      <c r="E112" s="28">
        <v>1167800</v>
      </c>
      <c r="F112" s="13">
        <v>1145.0279</v>
      </c>
      <c r="G112" s="14">
        <f>+ROUND(F112/VLOOKUP("Grand Total",$B$4:$F$321,5,0),4)</f>
        <v>7.6E-3</v>
      </c>
      <c r="H112" s="15">
        <v>45032</v>
      </c>
    </row>
    <row r="113" spans="1:11" ht="12.75" customHeight="1" x14ac:dyDescent="0.2">
      <c r="A113">
        <f>+MAX($A$7:A112)+1</f>
        <v>88</v>
      </c>
      <c r="B113" s="65" t="s">
        <v>643</v>
      </c>
      <c r="C113" t="s">
        <v>644</v>
      </c>
      <c r="D113" t="s">
        <v>354</v>
      </c>
      <c r="E113" s="28">
        <v>500000</v>
      </c>
      <c r="F113" s="13">
        <v>514.5</v>
      </c>
      <c r="G113" s="14">
        <f>+ROUND(F113/VLOOKUP("Grand Total",$B$4:$F$321,5,0),4)</f>
        <v>3.3999999999999998E-3</v>
      </c>
      <c r="H113" s="15">
        <v>44508</v>
      </c>
    </row>
    <row r="114" spans="1:11" ht="12.75" customHeight="1" x14ac:dyDescent="0.2">
      <c r="B114" s="18" t="s">
        <v>82</v>
      </c>
      <c r="C114" s="18"/>
      <c r="D114" s="18"/>
      <c r="E114" s="29"/>
      <c r="F114" s="19">
        <f>SUM(F109:F113)</f>
        <v>8301.3179</v>
      </c>
      <c r="G114" s="20">
        <f>SUM(G109:G113)</f>
        <v>5.5E-2</v>
      </c>
      <c r="H114" s="21"/>
    </row>
    <row r="115" spans="1:11" s="46" customFormat="1" ht="12.75" customHeight="1" x14ac:dyDescent="0.2">
      <c r="B115" s="67"/>
      <c r="C115" s="67"/>
      <c r="D115" s="67"/>
      <c r="E115" s="68"/>
      <c r="F115" s="69"/>
      <c r="G115" s="70"/>
      <c r="H115" s="71"/>
      <c r="I115" s="33"/>
      <c r="K115" s="48"/>
    </row>
    <row r="116" spans="1:11" ht="12.75" customHeight="1" x14ac:dyDescent="0.2">
      <c r="B116" s="16" t="s">
        <v>373</v>
      </c>
      <c r="C116" s="16"/>
      <c r="F116" s="13"/>
      <c r="G116" s="14"/>
      <c r="H116" s="15"/>
    </row>
    <row r="117" spans="1:11" ht="12.75" customHeight="1" x14ac:dyDescent="0.2">
      <c r="A117">
        <f>+MAX($A$7:A116)+1</f>
        <v>89</v>
      </c>
      <c r="B117" s="65" t="s">
        <v>743</v>
      </c>
      <c r="C117" t="s">
        <v>744</v>
      </c>
      <c r="D117" t="s">
        <v>354</v>
      </c>
      <c r="E117" s="28">
        <v>500000</v>
      </c>
      <c r="F117" s="13">
        <v>506.154</v>
      </c>
      <c r="G117" s="14">
        <f>+ROUND(F117/VLOOKUP("Grand Total",$B$4:$F$321,5,0),4)</f>
        <v>3.3999999999999998E-3</v>
      </c>
      <c r="H117" s="15">
        <v>44614</v>
      </c>
    </row>
    <row r="118" spans="1:11" ht="12.75" customHeight="1" x14ac:dyDescent="0.2">
      <c r="B118" s="18" t="s">
        <v>82</v>
      </c>
      <c r="C118" s="18"/>
      <c r="D118" s="18"/>
      <c r="E118" s="29"/>
      <c r="F118" s="19">
        <f>SUM(F117:F117)</f>
        <v>506.154</v>
      </c>
      <c r="G118" s="20">
        <f>SUM(G117:G117)</f>
        <v>3.3999999999999998E-3</v>
      </c>
      <c r="H118" s="21"/>
    </row>
    <row r="119" spans="1:11" s="46" customFormat="1" ht="12.75" customHeight="1" x14ac:dyDescent="0.2">
      <c r="B119" s="67"/>
      <c r="C119" s="67"/>
      <c r="D119" s="67"/>
      <c r="E119" s="68"/>
      <c r="F119" s="69"/>
      <c r="G119" s="70"/>
      <c r="H119" s="71"/>
      <c r="I119" s="33"/>
      <c r="K119" s="48"/>
    </row>
    <row r="120" spans="1:11" ht="12.75" customHeight="1" x14ac:dyDescent="0.2">
      <c r="B120" s="16" t="s">
        <v>89</v>
      </c>
      <c r="C120" s="16"/>
      <c r="F120" s="13"/>
      <c r="G120" s="14"/>
      <c r="H120" s="15"/>
    </row>
    <row r="121" spans="1:11" ht="12.75" customHeight="1" x14ac:dyDescent="0.2">
      <c r="A121">
        <f>+MAX($A$7:A120)+1</f>
        <v>90</v>
      </c>
      <c r="B121" s="65" t="s">
        <v>654</v>
      </c>
      <c r="C121" t="s">
        <v>496</v>
      </c>
      <c r="D121" t="s">
        <v>285</v>
      </c>
      <c r="E121" s="28">
        <v>55322.918599999997</v>
      </c>
      <c r="F121" s="13">
        <v>1563.7921940000001</v>
      </c>
      <c r="G121" s="14">
        <f>+ROUND(F121/VLOOKUP("Grand Total",$B$4:$F$321,5,0),4)</f>
        <v>1.04E-2</v>
      </c>
      <c r="H121" s="15"/>
    </row>
    <row r="122" spans="1:11" ht="12.75" customHeight="1" x14ac:dyDescent="0.2">
      <c r="B122" s="18" t="s">
        <v>82</v>
      </c>
      <c r="C122" s="18"/>
      <c r="D122" s="18"/>
      <c r="E122" s="29"/>
      <c r="F122" s="19">
        <f>SUM(F121:F121)</f>
        <v>1563.7921940000001</v>
      </c>
      <c r="G122" s="20">
        <f>SUM(G121:G121)</f>
        <v>1.04E-2</v>
      </c>
      <c r="H122" s="21"/>
    </row>
    <row r="123" spans="1:11" s="46" customFormat="1" ht="12.75" customHeight="1" x14ac:dyDescent="0.2">
      <c r="B123" s="67"/>
      <c r="C123" s="67"/>
      <c r="D123" s="67"/>
      <c r="E123" s="68"/>
      <c r="F123" s="69"/>
      <c r="G123" s="70"/>
      <c r="H123" s="71"/>
      <c r="I123" s="33"/>
      <c r="K123" s="48"/>
    </row>
    <row r="124" spans="1:11" ht="12.75" customHeight="1" x14ac:dyDescent="0.2">
      <c r="B124" s="16" t="s">
        <v>91</v>
      </c>
      <c r="C124" s="16"/>
      <c r="F124" s="13"/>
      <c r="G124" s="14"/>
      <c r="H124" s="15"/>
    </row>
    <row r="125" spans="1:11" ht="12.75" customHeight="1" x14ac:dyDescent="0.2">
      <c r="A125" s="94" t="s">
        <v>321</v>
      </c>
      <c r="B125" s="16" t="s">
        <v>658</v>
      </c>
      <c r="C125" s="16"/>
      <c r="F125" s="13">
        <v>5506.3209800000004</v>
      </c>
      <c r="G125" s="14">
        <f>+ROUND(F125/VLOOKUP("Grand Total",$B$4:$F$321,5,0),4)</f>
        <v>3.6499999999999998E-2</v>
      </c>
      <c r="H125" s="15">
        <v>43313</v>
      </c>
    </row>
    <row r="126" spans="1:11" ht="12.75" customHeight="1" x14ac:dyDescent="0.2">
      <c r="B126" s="16" t="s">
        <v>92</v>
      </c>
      <c r="C126" s="16"/>
      <c r="F126" s="13">
        <v>143.24292449993663</v>
      </c>
      <c r="G126" s="14">
        <f>+ROUND(F126/VLOOKUP("Grand Total",$B$4:$F$321,5,0),4)+0.02%</f>
        <v>1.1000000000000001E-3</v>
      </c>
      <c r="H126" s="15"/>
    </row>
    <row r="127" spans="1:11" ht="12.75" customHeight="1" x14ac:dyDescent="0.2">
      <c r="B127" s="18" t="s">
        <v>82</v>
      </c>
      <c r="C127" s="18"/>
      <c r="D127" s="18"/>
      <c r="E127" s="29"/>
      <c r="F127" s="19">
        <f>SUM(F125:F126)</f>
        <v>5649.5639044999371</v>
      </c>
      <c r="G127" s="122">
        <f>SUM(G125:G126)</f>
        <v>3.7599999999999995E-2</v>
      </c>
      <c r="H127" s="21"/>
      <c r="I127" s="35"/>
    </row>
    <row r="128" spans="1:11" ht="12.75" customHeight="1" x14ac:dyDescent="0.2">
      <c r="B128" s="22" t="s">
        <v>93</v>
      </c>
      <c r="C128" s="22"/>
      <c r="D128" s="22"/>
      <c r="E128" s="30"/>
      <c r="F128" s="23">
        <f>+SUMIF($B$5:B127,"Total",$F$5:F127)</f>
        <v>150976.55146849994</v>
      </c>
      <c r="G128" s="24">
        <f>+SUMIF($B$5:B127,"Total",$G$5:G127)</f>
        <v>0.99999999999999978</v>
      </c>
      <c r="H128" s="25"/>
      <c r="I128" s="35"/>
    </row>
    <row r="129" spans="2:7" ht="12.75" customHeight="1" x14ac:dyDescent="0.2"/>
    <row r="130" spans="2:7" ht="12.75" customHeight="1" x14ac:dyDescent="0.2">
      <c r="B130" s="16" t="s">
        <v>499</v>
      </c>
      <c r="C130" s="16"/>
    </row>
    <row r="131" spans="2:7" ht="12.75" customHeight="1" x14ac:dyDescent="0.2">
      <c r="B131" s="16" t="s">
        <v>171</v>
      </c>
      <c r="C131" s="16"/>
    </row>
    <row r="132" spans="2:7" ht="12.75" customHeight="1" x14ac:dyDescent="0.2">
      <c r="B132" s="16" t="s">
        <v>172</v>
      </c>
      <c r="C132" s="16"/>
      <c r="F132" s="43"/>
      <c r="G132" s="43"/>
    </row>
    <row r="133" spans="2:7" ht="12.75" customHeight="1" x14ac:dyDescent="0.2">
      <c r="B133" s="53" t="s">
        <v>274</v>
      </c>
      <c r="C133" s="16"/>
    </row>
    <row r="134" spans="2:7" ht="12.75" customHeight="1" x14ac:dyDescent="0.2">
      <c r="B134" s="16"/>
    </row>
    <row r="135" spans="2:7" ht="12.75" customHeight="1" x14ac:dyDescent="0.2"/>
    <row r="136" spans="2:7" ht="12.75" customHeight="1" x14ac:dyDescent="0.2"/>
    <row r="137" spans="2:7" ht="12.75" customHeight="1" x14ac:dyDescent="0.2"/>
    <row r="138" spans="2:7" ht="12.75" customHeight="1" x14ac:dyDescent="0.2"/>
    <row r="139" spans="2:7" ht="12.75" customHeight="1" x14ac:dyDescent="0.2"/>
    <row r="140" spans="2:7" ht="12.75" customHeight="1" x14ac:dyDescent="0.2"/>
    <row r="141" spans="2:7" ht="12.75" customHeight="1" x14ac:dyDescent="0.2"/>
    <row r="142" spans="2:7" ht="12.75" customHeight="1" x14ac:dyDescent="0.2"/>
    <row r="143" spans="2:7" ht="12.75" customHeight="1" x14ac:dyDescent="0.2"/>
    <row r="144" spans="2:7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</sheetData>
  <sortState ref="J9:K49">
    <sortCondition descending="1" ref="K9:K49"/>
  </sortState>
  <mergeCells count="1">
    <mergeCell ref="B1:H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75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4.140625" bestFit="1" customWidth="1"/>
    <col min="4" max="4" width="14.85546875" bestFit="1" customWidth="1"/>
    <col min="5" max="5" width="11.85546875" style="28" bestFit="1" customWidth="1"/>
    <col min="6" max="6" width="22.7109375" bestFit="1" customWidth="1"/>
    <col min="7" max="7" width="14" bestFit="1" customWidth="1"/>
    <col min="8" max="8" width="11.85546875" bestFit="1" customWidth="1"/>
    <col min="9" max="9" width="15" style="64" customWidth="1"/>
    <col min="10" max="10" width="16.28515625" bestFit="1" customWidth="1"/>
    <col min="11" max="11" width="8" style="36" customWidth="1"/>
  </cols>
  <sheetData>
    <row r="1" spans="1:16" ht="18.75" x14ac:dyDescent="0.2">
      <c r="A1" s="93" t="s">
        <v>338</v>
      </c>
      <c r="B1" s="129" t="s">
        <v>159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82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88</v>
      </c>
      <c r="C7" s="16"/>
      <c r="F7" s="13"/>
      <c r="G7" s="14"/>
      <c r="H7" s="15"/>
    </row>
    <row r="8" spans="1:16" ht="12.75" customHeight="1" x14ac:dyDescent="0.2">
      <c r="B8" s="16" t="s">
        <v>536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+MAX($A$7:A8)+1</f>
        <v>1</v>
      </c>
      <c r="B9" s="65" t="s">
        <v>691</v>
      </c>
      <c r="C9" t="s">
        <v>692</v>
      </c>
      <c r="D9" t="s">
        <v>261</v>
      </c>
      <c r="E9" s="28">
        <v>7500</v>
      </c>
      <c r="F9" s="13">
        <v>7422.2250000000004</v>
      </c>
      <c r="G9" s="14">
        <f>+ROUND(F9/VLOOKUP("Grand Total",$B$4:$F$268,5,0),4)</f>
        <v>7.1800000000000003E-2</v>
      </c>
      <c r="H9" s="15">
        <v>43369</v>
      </c>
      <c r="J9" s="14" t="s">
        <v>261</v>
      </c>
      <c r="K9" s="48">
        <f>SUMIFS($G$5:$G$346,$D$5:$D$346,J9)</f>
        <v>0.40970000000000006</v>
      </c>
    </row>
    <row r="10" spans="1:16" ht="12.75" customHeight="1" x14ac:dyDescent="0.2">
      <c r="A10">
        <f>+MAX($A$7:A9)+1</f>
        <v>2</v>
      </c>
      <c r="B10" s="65" t="s">
        <v>38</v>
      </c>
      <c r="C10" t="s">
        <v>745</v>
      </c>
      <c r="D10" t="s">
        <v>261</v>
      </c>
      <c r="E10" s="28">
        <v>3100</v>
      </c>
      <c r="F10" s="13">
        <v>3080.2964000000002</v>
      </c>
      <c r="G10" s="14">
        <f>+ROUND(F10/VLOOKUP("Grand Total",$B$4:$F$268,5,0),4)</f>
        <v>2.98E-2</v>
      </c>
      <c r="H10" s="15">
        <v>43347</v>
      </c>
      <c r="J10" s="14" t="s">
        <v>152</v>
      </c>
      <c r="K10" s="48">
        <f>SUMIFS($G$5:$G$346,$D$5:$D$346,J10)</f>
        <v>0.38519999999999999</v>
      </c>
    </row>
    <row r="11" spans="1:16" ht="12.75" customHeight="1" x14ac:dyDescent="0.2">
      <c r="B11" s="18" t="s">
        <v>82</v>
      </c>
      <c r="C11" s="18"/>
      <c r="D11" s="18"/>
      <c r="E11" s="29"/>
      <c r="F11" s="19">
        <f>SUM(F9:F10)</f>
        <v>10502.521400000001</v>
      </c>
      <c r="G11" s="20">
        <f>SUM(G9:G10)</f>
        <v>0.1016</v>
      </c>
      <c r="H11" s="21"/>
      <c r="I11" s="81"/>
      <c r="J11" s="14" t="s">
        <v>354</v>
      </c>
      <c r="K11" s="48">
        <f>SUMIFS($G$5:$G$346,$D$5:$D$346,J11)</f>
        <v>0.12570000000000001</v>
      </c>
    </row>
    <row r="12" spans="1:16" ht="12.75" customHeight="1" x14ac:dyDescent="0.2">
      <c r="B12" s="16"/>
      <c r="C12" s="16"/>
      <c r="F12" s="13"/>
      <c r="G12" s="14"/>
      <c r="H12" s="15"/>
      <c r="J12" s="14" t="s">
        <v>463</v>
      </c>
      <c r="K12" s="48">
        <f t="shared" ref="K12:K13" si="0">SUMIFS($G$5:$G$346,$D$5:$D$346,J12)</f>
        <v>4.3299999999999998E-2</v>
      </c>
    </row>
    <row r="13" spans="1:16" ht="12.75" customHeight="1" x14ac:dyDescent="0.2">
      <c r="B13" s="16" t="s">
        <v>273</v>
      </c>
      <c r="C13" s="16"/>
      <c r="F13" s="13"/>
      <c r="G13" s="14"/>
      <c r="H13" s="15"/>
      <c r="J13" s="14" t="s">
        <v>459</v>
      </c>
      <c r="K13" s="48">
        <f t="shared" si="0"/>
        <v>3.3000000000000002E-2</v>
      </c>
      <c r="M13" s="14"/>
      <c r="N13" s="36"/>
      <c r="P13" s="14"/>
    </row>
    <row r="14" spans="1:16" ht="12.75" customHeight="1" x14ac:dyDescent="0.2">
      <c r="A14">
        <f>+MAX($A$7:A13)+1</f>
        <v>3</v>
      </c>
      <c r="B14" t="s">
        <v>746</v>
      </c>
      <c r="C14" t="s">
        <v>747</v>
      </c>
      <c r="D14" t="s">
        <v>261</v>
      </c>
      <c r="E14" s="28">
        <v>1500</v>
      </c>
      <c r="F14" s="13">
        <v>7411.9724999999999</v>
      </c>
      <c r="G14" s="14">
        <f t="shared" ref="G14:G29" si="1">+ROUND(F14/VLOOKUP("Grand Total",$B$4:$F$268,5,0),4)</f>
        <v>7.17E-2</v>
      </c>
      <c r="H14" s="15">
        <v>43370</v>
      </c>
      <c r="J14" s="14" t="s">
        <v>62</v>
      </c>
      <c r="K14" s="48">
        <f>+SUMIFS($G$5:$G$998,$B$5:$B$998,"CBLO / Reverse Repo")+SUMIFS($G$5:$G$998,$B$5:$B$998,"Net Receivable/Payable")</f>
        <v>3.0999999999999999E-3</v>
      </c>
      <c r="L14" s="54"/>
      <c r="M14" s="14"/>
      <c r="N14" s="36"/>
      <c r="P14" s="14"/>
    </row>
    <row r="15" spans="1:16" ht="12.75" customHeight="1" x14ac:dyDescent="0.2">
      <c r="A15">
        <f>+MAX($A$7:A14)+1</f>
        <v>4</v>
      </c>
      <c r="B15" s="65" t="s">
        <v>730</v>
      </c>
      <c r="C15" t="s">
        <v>731</v>
      </c>
      <c r="D15" t="s">
        <v>152</v>
      </c>
      <c r="E15" s="28">
        <v>1460</v>
      </c>
      <c r="F15" s="13">
        <v>7289.0208000000002</v>
      </c>
      <c r="G15" s="14">
        <f t="shared" si="1"/>
        <v>7.0499999999999993E-2</v>
      </c>
      <c r="H15" s="15">
        <v>43318</v>
      </c>
      <c r="J15" s="14"/>
      <c r="K15" s="48"/>
      <c r="M15" s="14"/>
      <c r="N15" s="36"/>
      <c r="P15" s="14"/>
    </row>
    <row r="16" spans="1:16" ht="12.75" customHeight="1" x14ac:dyDescent="0.2">
      <c r="A16">
        <f>+MAX($A$7:A15)+1</f>
        <v>5</v>
      </c>
      <c r="B16" s="65" t="s">
        <v>178</v>
      </c>
      <c r="C16" t="s">
        <v>693</v>
      </c>
      <c r="D16" t="s">
        <v>152</v>
      </c>
      <c r="E16" s="28">
        <v>1400</v>
      </c>
      <c r="F16" s="13">
        <v>6967.2889999999998</v>
      </c>
      <c r="G16" s="14">
        <f t="shared" si="1"/>
        <v>6.7400000000000002E-2</v>
      </c>
      <c r="H16" s="15">
        <v>43336</v>
      </c>
      <c r="J16" s="14"/>
      <c r="K16" s="48"/>
    </row>
    <row r="17" spans="1:11" ht="12.75" customHeight="1" x14ac:dyDescent="0.2">
      <c r="A17">
        <f>+MAX($A$7:A16)+1</f>
        <v>6</v>
      </c>
      <c r="B17" t="s">
        <v>422</v>
      </c>
      <c r="C17" t="s">
        <v>694</v>
      </c>
      <c r="D17" t="s">
        <v>261</v>
      </c>
      <c r="E17" s="28">
        <v>1380</v>
      </c>
      <c r="F17" s="13">
        <v>6891.6579000000002</v>
      </c>
      <c r="G17" s="14">
        <f t="shared" si="1"/>
        <v>6.6600000000000006E-2</v>
      </c>
      <c r="H17" s="15">
        <v>43318</v>
      </c>
      <c r="J17" s="14"/>
      <c r="K17" s="48"/>
    </row>
    <row r="18" spans="1:11" ht="12.75" customHeight="1" x14ac:dyDescent="0.2">
      <c r="A18">
        <f>+MAX($A$7:A17)+1</f>
        <v>7</v>
      </c>
      <c r="B18" t="s">
        <v>534</v>
      </c>
      <c r="C18" t="s">
        <v>683</v>
      </c>
      <c r="D18" t="s">
        <v>261</v>
      </c>
      <c r="E18" s="28">
        <v>1130</v>
      </c>
      <c r="F18" s="13">
        <v>5572.9453000000003</v>
      </c>
      <c r="G18" s="14">
        <f t="shared" si="1"/>
        <v>5.3900000000000003E-2</v>
      </c>
      <c r="H18" s="15">
        <v>43367</v>
      </c>
    </row>
    <row r="19" spans="1:11" ht="12.75" customHeight="1" x14ac:dyDescent="0.2">
      <c r="A19">
        <f>+MAX($A$7:A18)+1</f>
        <v>8</v>
      </c>
      <c r="B19" t="s">
        <v>748</v>
      </c>
      <c r="C19" t="s">
        <v>749</v>
      </c>
      <c r="D19" t="s">
        <v>261</v>
      </c>
      <c r="E19" s="28">
        <v>1000</v>
      </c>
      <c r="F19" s="13">
        <v>4940.2849999999999</v>
      </c>
      <c r="G19" s="14">
        <f t="shared" si="1"/>
        <v>4.7800000000000002E-2</v>
      </c>
      <c r="H19" s="15">
        <v>43369</v>
      </c>
    </row>
    <row r="20" spans="1:11" ht="12.75" customHeight="1" x14ac:dyDescent="0.2">
      <c r="A20">
        <f>+MAX($A$7:A19)+1</f>
        <v>9</v>
      </c>
      <c r="B20" t="s">
        <v>534</v>
      </c>
      <c r="C20" t="s">
        <v>695</v>
      </c>
      <c r="D20" t="s">
        <v>261</v>
      </c>
      <c r="E20" s="28">
        <v>920</v>
      </c>
      <c r="F20" s="13">
        <v>4557.3257999999996</v>
      </c>
      <c r="G20" s="14">
        <f t="shared" si="1"/>
        <v>4.41E-2</v>
      </c>
      <c r="H20" s="15">
        <v>43353</v>
      </c>
    </row>
    <row r="21" spans="1:11" ht="12.75" customHeight="1" x14ac:dyDescent="0.2">
      <c r="A21">
        <f>+MAX($A$7:A20)+1</f>
        <v>10</v>
      </c>
      <c r="B21" t="s">
        <v>555</v>
      </c>
      <c r="C21" t="s">
        <v>696</v>
      </c>
      <c r="D21" t="s">
        <v>152</v>
      </c>
      <c r="E21" s="28">
        <v>920</v>
      </c>
      <c r="F21" s="13">
        <v>4544.3768</v>
      </c>
      <c r="G21" s="14">
        <f t="shared" si="1"/>
        <v>4.3900000000000002E-2</v>
      </c>
      <c r="H21" s="15">
        <v>43367</v>
      </c>
      <c r="J21" s="14"/>
      <c r="K21" s="48"/>
    </row>
    <row r="22" spans="1:11" ht="12.75" customHeight="1" x14ac:dyDescent="0.2">
      <c r="A22">
        <f>+MAX($A$7:A21)+1</f>
        <v>11</v>
      </c>
      <c r="B22" t="s">
        <v>262</v>
      </c>
      <c r="C22" t="s">
        <v>655</v>
      </c>
      <c r="D22" t="s">
        <v>463</v>
      </c>
      <c r="E22" s="28">
        <v>900</v>
      </c>
      <c r="F22" s="13">
        <v>4479.7365</v>
      </c>
      <c r="G22" s="14">
        <f t="shared" si="1"/>
        <v>4.3299999999999998E-2</v>
      </c>
      <c r="H22" s="15">
        <v>43332</v>
      </c>
      <c r="J22" s="14"/>
      <c r="K22" s="48"/>
    </row>
    <row r="23" spans="1:11" ht="12.75" customHeight="1" x14ac:dyDescent="0.2">
      <c r="A23">
        <f>+MAX($A$7:A22)+1</f>
        <v>12</v>
      </c>
      <c r="B23" t="s">
        <v>555</v>
      </c>
      <c r="C23" t="s">
        <v>697</v>
      </c>
      <c r="D23" t="s">
        <v>152</v>
      </c>
      <c r="E23" s="28">
        <v>900</v>
      </c>
      <c r="F23" s="13">
        <v>4455.9134999999997</v>
      </c>
      <c r="G23" s="14">
        <f t="shared" si="1"/>
        <v>4.3099999999999999E-2</v>
      </c>
      <c r="H23" s="15">
        <v>43360</v>
      </c>
      <c r="J23" s="14"/>
      <c r="K23" s="48"/>
    </row>
    <row r="24" spans="1:11" ht="12.75" customHeight="1" x14ac:dyDescent="0.2">
      <c r="A24">
        <f>+MAX($A$7:A23)+1</f>
        <v>13</v>
      </c>
      <c r="B24" t="s">
        <v>514</v>
      </c>
      <c r="C24" t="s">
        <v>698</v>
      </c>
      <c r="D24" t="s">
        <v>152</v>
      </c>
      <c r="E24" s="28">
        <v>886</v>
      </c>
      <c r="F24" s="13">
        <v>4381.1016600000003</v>
      </c>
      <c r="G24" s="14">
        <f t="shared" si="1"/>
        <v>4.24E-2</v>
      </c>
      <c r="H24" s="15">
        <v>43362</v>
      </c>
      <c r="J24" s="14"/>
      <c r="K24" s="48"/>
    </row>
    <row r="25" spans="1:11" ht="12.75" customHeight="1" x14ac:dyDescent="0.2">
      <c r="A25">
        <f>+MAX($A$7:A24)+1</f>
        <v>14</v>
      </c>
      <c r="B25" t="s">
        <v>656</v>
      </c>
      <c r="C25" t="s">
        <v>657</v>
      </c>
      <c r="D25" t="s">
        <v>152</v>
      </c>
      <c r="E25" s="28">
        <v>880</v>
      </c>
      <c r="F25" s="13">
        <v>4379.7204000000002</v>
      </c>
      <c r="G25" s="14">
        <f t="shared" si="1"/>
        <v>4.2299999999999997E-2</v>
      </c>
      <c r="H25" s="15">
        <v>43335</v>
      </c>
      <c r="J25" s="14"/>
    </row>
    <row r="26" spans="1:11" ht="12.75" customHeight="1" x14ac:dyDescent="0.2">
      <c r="A26">
        <f>+MAX($A$7:A25)+1</f>
        <v>15</v>
      </c>
      <c r="B26" t="s">
        <v>514</v>
      </c>
      <c r="C26" t="s">
        <v>689</v>
      </c>
      <c r="D26" t="s">
        <v>152</v>
      </c>
      <c r="E26" s="28">
        <v>880</v>
      </c>
      <c r="F26" s="13">
        <v>4341.5547999999999</v>
      </c>
      <c r="G26" s="14">
        <f t="shared" si="1"/>
        <v>4.2000000000000003E-2</v>
      </c>
      <c r="H26" s="15">
        <v>43368</v>
      </c>
      <c r="J26" s="14"/>
    </row>
    <row r="27" spans="1:11" ht="12.75" customHeight="1" x14ac:dyDescent="0.2">
      <c r="A27">
        <f>+MAX($A$7:A26)+1</f>
        <v>16</v>
      </c>
      <c r="B27" t="s">
        <v>178</v>
      </c>
      <c r="C27" t="s">
        <v>682</v>
      </c>
      <c r="D27" t="s">
        <v>152</v>
      </c>
      <c r="E27" s="28">
        <v>700</v>
      </c>
      <c r="F27" s="13">
        <v>3477.8415</v>
      </c>
      <c r="G27" s="14">
        <f t="shared" si="1"/>
        <v>3.3599999999999998E-2</v>
      </c>
      <c r="H27" s="15">
        <v>43348</v>
      </c>
      <c r="J27" s="14"/>
    </row>
    <row r="28" spans="1:11" ht="12.75" customHeight="1" x14ac:dyDescent="0.2">
      <c r="A28">
        <f>+MAX($A$7:A27)+1</f>
        <v>17</v>
      </c>
      <c r="B28" t="s">
        <v>458</v>
      </c>
      <c r="C28" t="s">
        <v>685</v>
      </c>
      <c r="D28" t="s">
        <v>459</v>
      </c>
      <c r="E28" s="28">
        <v>692</v>
      </c>
      <c r="F28" s="13">
        <v>3414.8435399999998</v>
      </c>
      <c r="G28" s="14">
        <f t="shared" si="1"/>
        <v>3.3000000000000002E-2</v>
      </c>
      <c r="H28" s="15">
        <v>43362</v>
      </c>
      <c r="J28" s="14"/>
    </row>
    <row r="29" spans="1:11" ht="12.75" customHeight="1" x14ac:dyDescent="0.2">
      <c r="A29">
        <f>+MAX($A$7:A28)+1</f>
        <v>18</v>
      </c>
      <c r="B29" t="s">
        <v>422</v>
      </c>
      <c r="C29" t="s">
        <v>750</v>
      </c>
      <c r="D29" t="s">
        <v>261</v>
      </c>
      <c r="E29" s="28">
        <v>500</v>
      </c>
      <c r="F29" s="13">
        <v>2481.4924999999998</v>
      </c>
      <c r="G29" s="14">
        <f t="shared" si="1"/>
        <v>2.4E-2</v>
      </c>
      <c r="H29" s="15">
        <v>43346</v>
      </c>
      <c r="J29" s="14"/>
    </row>
    <row r="30" spans="1:11" ht="12.75" customHeight="1" x14ac:dyDescent="0.2">
      <c r="B30" s="18" t="s">
        <v>82</v>
      </c>
      <c r="C30" s="18"/>
      <c r="D30" s="18"/>
      <c r="E30" s="29"/>
      <c r="F30" s="19">
        <f>SUM(F14:F29)</f>
        <v>79587.077499999985</v>
      </c>
      <c r="G30" s="20">
        <f>SUM(G14:G29)</f>
        <v>0.76960000000000006</v>
      </c>
      <c r="H30" s="21"/>
    </row>
    <row r="31" spans="1:11" ht="12.75" customHeight="1" x14ac:dyDescent="0.2">
      <c r="F31" s="13"/>
      <c r="G31" s="14"/>
      <c r="H31" s="15"/>
    </row>
    <row r="32" spans="1:11" ht="12.75" customHeight="1" x14ac:dyDescent="0.2">
      <c r="B32" s="16" t="s">
        <v>157</v>
      </c>
      <c r="C32" s="16"/>
      <c r="F32" s="13"/>
      <c r="G32" s="14"/>
      <c r="H32" s="15"/>
    </row>
    <row r="33" spans="1:9" ht="12.75" customHeight="1" x14ac:dyDescent="0.2">
      <c r="A33">
        <f>+MAX($A$7:A32)+1</f>
        <v>19</v>
      </c>
      <c r="B33" s="1" t="s">
        <v>464</v>
      </c>
      <c r="C33" t="s">
        <v>700</v>
      </c>
      <c r="D33" t="s">
        <v>354</v>
      </c>
      <c r="E33" s="28">
        <v>10000000</v>
      </c>
      <c r="F33" s="13">
        <v>9938.5</v>
      </c>
      <c r="G33" s="14">
        <f>+ROUND(F33/VLOOKUP("Grand Total",$B$4:$F$268,5,0),4)</f>
        <v>9.6100000000000005E-2</v>
      </c>
      <c r="H33" s="15">
        <v>43349</v>
      </c>
    </row>
    <row r="34" spans="1:9" ht="12.75" customHeight="1" x14ac:dyDescent="0.2">
      <c r="A34">
        <f>+MAX($A$7:A33)+1</f>
        <v>20</v>
      </c>
      <c r="B34" s="1" t="s">
        <v>464</v>
      </c>
      <c r="C34" t="s">
        <v>675</v>
      </c>
      <c r="D34" t="s">
        <v>354</v>
      </c>
      <c r="E34" s="28">
        <v>3010000</v>
      </c>
      <c r="F34" s="13">
        <v>2994.7633799999999</v>
      </c>
      <c r="G34" s="14">
        <f>+ROUND(F34/VLOOKUP("Grand Total",$B$4:$F$268,5,0),4)</f>
        <v>2.9000000000000001E-2</v>
      </c>
      <c r="H34" s="15">
        <v>43342</v>
      </c>
    </row>
    <row r="35" spans="1:9" ht="12.75" customHeight="1" x14ac:dyDescent="0.2">
      <c r="B35" s="18" t="s">
        <v>82</v>
      </c>
      <c r="C35" s="18"/>
      <c r="D35" s="18"/>
      <c r="E35" s="29"/>
      <c r="F35" s="19">
        <f>SUM(F33:F34)</f>
        <v>12933.26338</v>
      </c>
      <c r="G35" s="20">
        <f>SUM(G33:G34)</f>
        <v>0.12510000000000002</v>
      </c>
      <c r="H35" s="21"/>
      <c r="I35" s="81"/>
    </row>
    <row r="36" spans="1:9" ht="12.75" customHeight="1" x14ac:dyDescent="0.2">
      <c r="F36" s="13"/>
      <c r="G36" s="14"/>
      <c r="H36" s="15"/>
    </row>
    <row r="37" spans="1:9" ht="12.75" customHeight="1" x14ac:dyDescent="0.2">
      <c r="B37" s="16" t="s">
        <v>701</v>
      </c>
      <c r="C37" s="16"/>
      <c r="F37" s="13"/>
      <c r="G37" s="14"/>
      <c r="H37" s="15"/>
    </row>
    <row r="38" spans="1:9" ht="12.75" customHeight="1" x14ac:dyDescent="0.2">
      <c r="A38">
        <f>+MAX($A$7:A37)+1</f>
        <v>21</v>
      </c>
      <c r="B38" s="1" t="s">
        <v>702</v>
      </c>
      <c r="C38" t="s">
        <v>703</v>
      </c>
      <c r="D38" t="s">
        <v>354</v>
      </c>
      <c r="E38" s="28">
        <v>63200</v>
      </c>
      <c r="F38" s="13">
        <v>63.100649599999997</v>
      </c>
      <c r="G38" s="14">
        <f>+ROUND(F38/VLOOKUP("Grand Total",$B$4:$F$268,5,0),4)</f>
        <v>5.9999999999999995E-4</v>
      </c>
      <c r="H38" s="15">
        <v>43322</v>
      </c>
    </row>
    <row r="39" spans="1:9" ht="12.75" customHeight="1" x14ac:dyDescent="0.2">
      <c r="B39" s="18" t="s">
        <v>82</v>
      </c>
      <c r="C39" s="18"/>
      <c r="D39" s="18"/>
      <c r="E39" s="29"/>
      <c r="F39" s="19">
        <f>SUM(F38:F38)</f>
        <v>63.100649599999997</v>
      </c>
      <c r="G39" s="20">
        <f>SUM(G38:G38)</f>
        <v>5.9999999999999995E-4</v>
      </c>
      <c r="H39" s="21"/>
      <c r="I39" s="81"/>
    </row>
    <row r="40" spans="1:9" ht="12.75" customHeight="1" x14ac:dyDescent="0.2">
      <c r="F40" s="13"/>
      <c r="G40" s="14"/>
      <c r="H40" s="15"/>
    </row>
    <row r="41" spans="1:9" ht="12.75" customHeight="1" x14ac:dyDescent="0.2">
      <c r="B41" s="16" t="s">
        <v>91</v>
      </c>
      <c r="C41" s="16"/>
      <c r="F41" s="13"/>
      <c r="G41" s="14"/>
      <c r="H41" s="15"/>
    </row>
    <row r="42" spans="1:9" ht="12.75" customHeight="1" x14ac:dyDescent="0.2">
      <c r="B42" s="16" t="s">
        <v>658</v>
      </c>
      <c r="C42" s="16"/>
      <c r="F42" s="13">
        <v>273.35579999999999</v>
      </c>
      <c r="G42" s="14">
        <f>+ROUND(F42/VLOOKUP("Grand Total",$B$4:$F$268,5,0),4)</f>
        <v>2.5999999999999999E-3</v>
      </c>
      <c r="H42" s="15">
        <v>43313</v>
      </c>
    </row>
    <row r="43" spans="1:9" ht="12.75" customHeight="1" x14ac:dyDescent="0.2">
      <c r="B43" s="16" t="s">
        <v>92</v>
      </c>
      <c r="C43" s="16"/>
      <c r="F43" s="13">
        <v>71.09096249997674</v>
      </c>
      <c r="G43" s="14">
        <f>+ROUND(F43/VLOOKUP("Grand Total",$B$4:$F$268,5,0),4)-0.02%</f>
        <v>5.0000000000000001E-4</v>
      </c>
      <c r="H43" s="15"/>
    </row>
    <row r="44" spans="1:9" ht="12.75" customHeight="1" x14ac:dyDescent="0.2">
      <c r="B44" s="18" t="s">
        <v>82</v>
      </c>
      <c r="C44" s="18"/>
      <c r="D44" s="18"/>
      <c r="E44" s="29"/>
      <c r="F44" s="19">
        <f>SUM(F42:F43)</f>
        <v>344.44676249997673</v>
      </c>
      <c r="G44" s="20">
        <f>SUM(G42:G43)</f>
        <v>3.0999999999999999E-3</v>
      </c>
      <c r="H44" s="21"/>
      <c r="I44" s="81"/>
    </row>
    <row r="45" spans="1:9" ht="12.75" customHeight="1" x14ac:dyDescent="0.2">
      <c r="B45" s="22" t="s">
        <v>93</v>
      </c>
      <c r="C45" s="22"/>
      <c r="D45" s="22"/>
      <c r="E45" s="30"/>
      <c r="F45" s="23">
        <f>+SUMIF($B$5:B44,"Total",$F$5:F44)</f>
        <v>103430.40969209997</v>
      </c>
      <c r="G45" s="24">
        <f>+SUMIF($B$5:B44,"Total",$G$5:G44)</f>
        <v>1.0000000000000002</v>
      </c>
      <c r="H45" s="25"/>
      <c r="I45" s="81"/>
    </row>
    <row r="46" spans="1:9" ht="12.75" customHeight="1" x14ac:dyDescent="0.2"/>
    <row r="47" spans="1:9" ht="12.75" customHeight="1" x14ac:dyDescent="0.2">
      <c r="B47" s="16" t="s">
        <v>499</v>
      </c>
      <c r="C47" s="16"/>
    </row>
    <row r="48" spans="1:9" ht="12.75" customHeight="1" x14ac:dyDescent="0.2">
      <c r="B48" s="16" t="s">
        <v>171</v>
      </c>
      <c r="C48" s="16"/>
    </row>
    <row r="49" spans="2:7" ht="12.75" customHeight="1" x14ac:dyDescent="0.2">
      <c r="B49" s="16" t="s">
        <v>751</v>
      </c>
      <c r="C49" s="16"/>
    </row>
    <row r="50" spans="2:7" ht="12.75" customHeight="1" x14ac:dyDescent="0.2">
      <c r="B50" s="16"/>
      <c r="C50" s="16"/>
      <c r="F50" s="43"/>
      <c r="G50" s="43"/>
    </row>
    <row r="51" spans="2:7" ht="12.75" customHeight="1" x14ac:dyDescent="0.2"/>
    <row r="52" spans="2:7" ht="12.75" customHeight="1" x14ac:dyDescent="0.2"/>
    <row r="53" spans="2:7" ht="12.75" customHeight="1" x14ac:dyDescent="0.2"/>
    <row r="54" spans="2:7" ht="12.75" customHeight="1" x14ac:dyDescent="0.2"/>
    <row r="55" spans="2:7" ht="12.75" customHeight="1" x14ac:dyDescent="0.2"/>
    <row r="56" spans="2:7" ht="12.75" customHeight="1" x14ac:dyDescent="0.2"/>
    <row r="57" spans="2:7" ht="12.75" customHeight="1" x14ac:dyDescent="0.2"/>
    <row r="58" spans="2:7" ht="12.75" customHeight="1" x14ac:dyDescent="0.2"/>
    <row r="59" spans="2:7" ht="12.75" customHeight="1" x14ac:dyDescent="0.2"/>
    <row r="60" spans="2:7" ht="12.75" customHeight="1" x14ac:dyDescent="0.2"/>
    <row r="61" spans="2:7" ht="12.75" customHeight="1" x14ac:dyDescent="0.2"/>
    <row r="62" spans="2:7" ht="12.75" customHeight="1" x14ac:dyDescent="0.2"/>
    <row r="63" spans="2:7" ht="12.75" customHeight="1" x14ac:dyDescent="0.2"/>
    <row r="64" spans="2:7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sortState ref="J8:K15">
    <sortCondition descending="1" ref="K10:K17"/>
  </sortState>
  <mergeCells count="1">
    <mergeCell ref="B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70"/>
  <sheetViews>
    <sheetView workbookViewId="0"/>
  </sheetViews>
  <sheetFormatPr defaultColWidth="9.140625" defaultRowHeight="12.75" x14ac:dyDescent="0.2"/>
  <cols>
    <col min="1" max="1" width="6.42578125" style="65" bestFit="1" customWidth="1"/>
    <col min="2" max="2" width="52.42578125" style="65" customWidth="1"/>
    <col min="3" max="3" width="14" style="65" bestFit="1" customWidth="1"/>
    <col min="4" max="4" width="14.85546875" style="65" bestFit="1" customWidth="1"/>
    <col min="5" max="5" width="11" style="84" customWidth="1"/>
    <col min="6" max="6" width="22.7109375" style="65" bestFit="1" customWidth="1"/>
    <col min="7" max="7" width="14" style="65" bestFit="1" customWidth="1"/>
    <col min="8" max="8" width="11.85546875" style="65" bestFit="1" customWidth="1"/>
    <col min="9" max="9" width="15" style="98" customWidth="1"/>
    <col min="10" max="10" width="16.28515625" style="65" bestFit="1" customWidth="1"/>
    <col min="11" max="11" width="8" style="83" customWidth="1"/>
    <col min="12" max="16384" width="9.140625" style="65"/>
  </cols>
  <sheetData>
    <row r="1" spans="1:16" ht="18.75" x14ac:dyDescent="0.2">
      <c r="A1" s="108" t="s">
        <v>339</v>
      </c>
      <c r="B1" s="129" t="s">
        <v>579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109"/>
      <c r="D2" s="110"/>
      <c r="E2" s="111"/>
      <c r="F2" s="112"/>
      <c r="G2" s="113"/>
      <c r="H2" s="113"/>
    </row>
    <row r="3" spans="1:16" ht="15.75" customHeight="1" x14ac:dyDescent="0.2">
      <c r="A3" s="114"/>
      <c r="B3" s="115"/>
      <c r="C3" s="115"/>
      <c r="D3" s="116"/>
      <c r="E3" s="111"/>
      <c r="F3" s="112"/>
      <c r="G3" s="113"/>
      <c r="H3" s="113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117"/>
    </row>
    <row r="5" spans="1:16" ht="12.75" customHeight="1" x14ac:dyDescent="0.2">
      <c r="F5" s="85"/>
      <c r="G5" s="89"/>
      <c r="H5" s="88"/>
    </row>
    <row r="6" spans="1:16" ht="12.75" customHeight="1" x14ac:dyDescent="0.2">
      <c r="F6" s="85"/>
      <c r="G6" s="89"/>
      <c r="H6" s="88"/>
    </row>
    <row r="7" spans="1:16" ht="12.75" customHeight="1" x14ac:dyDescent="0.2">
      <c r="B7" s="16" t="s">
        <v>88</v>
      </c>
      <c r="C7" s="16"/>
      <c r="F7" s="85"/>
      <c r="G7" s="89"/>
      <c r="H7" s="88"/>
      <c r="J7" s="17" t="s">
        <v>509</v>
      </c>
      <c r="K7" s="37" t="s">
        <v>11</v>
      </c>
    </row>
    <row r="8" spans="1:16" ht="12.75" customHeight="1" x14ac:dyDescent="0.2">
      <c r="B8" s="16" t="s">
        <v>761</v>
      </c>
      <c r="C8" s="16"/>
      <c r="F8" s="85"/>
      <c r="G8" s="89"/>
      <c r="H8" s="88"/>
      <c r="J8" s="14" t="s">
        <v>152</v>
      </c>
      <c r="K8" s="48">
        <f>SUMIFS($G$5:$G$363,$D$5:$D$363,J8)</f>
        <v>0.32830000000000004</v>
      </c>
      <c r="L8" s="83"/>
      <c r="M8" s="89"/>
    </row>
    <row r="9" spans="1:16" ht="12.75" customHeight="1" x14ac:dyDescent="0.2">
      <c r="A9" s="65">
        <f>+MAX($A$7:A8)+1</f>
        <v>1</v>
      </c>
      <c r="B9" s="65" t="s">
        <v>176</v>
      </c>
      <c r="C9" s="65" t="s">
        <v>728</v>
      </c>
      <c r="D9" s="65" t="s">
        <v>729</v>
      </c>
      <c r="E9" s="118">
        <v>550</v>
      </c>
      <c r="F9" s="90">
        <v>526.45230000000004</v>
      </c>
      <c r="G9" s="89">
        <f>+ROUND(F9/VLOOKUP("Grand Total",$B$4:$F$307,5,0),4)</f>
        <v>5.2299999999999999E-2</v>
      </c>
      <c r="H9" s="88">
        <v>43532</v>
      </c>
      <c r="J9" s="89" t="s">
        <v>104</v>
      </c>
      <c r="K9" s="48">
        <f>SUMIFS($G$5:$G$363,$D$5:$D$363,J9)</f>
        <v>0.19539999999999999</v>
      </c>
      <c r="L9" s="83"/>
      <c r="M9" s="89"/>
    </row>
    <row r="10" spans="1:16" ht="12.75" customHeight="1" x14ac:dyDescent="0.2">
      <c r="A10" s="65">
        <f>+MAX($A$7:A9)+1</f>
        <v>2</v>
      </c>
      <c r="B10" s="65" t="s">
        <v>763</v>
      </c>
      <c r="C10" s="65" t="s">
        <v>681</v>
      </c>
      <c r="D10" s="65" t="s">
        <v>152</v>
      </c>
      <c r="E10" s="118">
        <v>500</v>
      </c>
      <c r="F10" s="90">
        <v>478.56349999999998</v>
      </c>
      <c r="G10" s="89">
        <f t="shared" ref="G10:G11" si="0">+ROUND(F10/VLOOKUP("Grand Total",$B$4:$F$307,5,0),4)</f>
        <v>4.7500000000000001E-2</v>
      </c>
      <c r="H10" s="88">
        <v>43531</v>
      </c>
      <c r="J10" s="89" t="s">
        <v>261</v>
      </c>
      <c r="K10" s="48">
        <f t="shared" ref="K10:K11" si="1">SUMIFS($G$5:$G$363,$D$5:$D$363,J10)</f>
        <v>0.18740000000000001</v>
      </c>
      <c r="L10" s="83"/>
      <c r="M10" s="89"/>
    </row>
    <row r="11" spans="1:16" ht="12.75" customHeight="1" x14ac:dyDescent="0.2">
      <c r="A11" s="65">
        <f>+MAX($A$7:A10)+1</f>
        <v>3</v>
      </c>
      <c r="B11" s="65" t="s">
        <v>801</v>
      </c>
      <c r="C11" s="65" t="s">
        <v>745</v>
      </c>
      <c r="D11" s="65" t="s">
        <v>261</v>
      </c>
      <c r="E11" s="118">
        <v>400</v>
      </c>
      <c r="F11" s="90">
        <v>397.45760000000001</v>
      </c>
      <c r="G11" s="89">
        <f t="shared" si="0"/>
        <v>3.95E-2</v>
      </c>
      <c r="H11" s="88">
        <v>43347</v>
      </c>
      <c r="J11" s="89" t="s">
        <v>156</v>
      </c>
      <c r="K11" s="48">
        <f t="shared" si="1"/>
        <v>8.8800000000000004E-2</v>
      </c>
      <c r="L11" s="83"/>
      <c r="M11" s="89"/>
    </row>
    <row r="12" spans="1:16" ht="12.75" customHeight="1" x14ac:dyDescent="0.2">
      <c r="B12" s="18" t="s">
        <v>82</v>
      </c>
      <c r="C12" s="18"/>
      <c r="D12" s="18"/>
      <c r="E12" s="29"/>
      <c r="F12" s="19">
        <f>SUM(F9:F11)</f>
        <v>1402.4734000000001</v>
      </c>
      <c r="G12" s="20">
        <f>SUM(G9:G11)</f>
        <v>0.13930000000000001</v>
      </c>
      <c r="H12" s="21"/>
      <c r="I12" s="81"/>
      <c r="J12" s="89" t="s">
        <v>463</v>
      </c>
      <c r="K12" s="48">
        <f>SUMIFS($G$5:$G$363,$D$5:$D$363,J12)</f>
        <v>6.6700000000000009E-2</v>
      </c>
      <c r="L12" s="78">
        <f>SUM(K8:K12)</f>
        <v>0.86660000000000004</v>
      </c>
    </row>
    <row r="13" spans="1:16" ht="12.75" customHeight="1" x14ac:dyDescent="0.2">
      <c r="F13" s="85"/>
      <c r="G13" s="89"/>
      <c r="H13" s="88"/>
      <c r="J13" s="65" t="s">
        <v>381</v>
      </c>
      <c r="K13" s="48">
        <f>SUMIFS($G$5:$G$363,$D$5:$D$363,J13)</f>
        <v>5.91E-2</v>
      </c>
    </row>
    <row r="14" spans="1:16" ht="12.75" customHeight="1" x14ac:dyDescent="0.2">
      <c r="B14" s="16" t="s">
        <v>273</v>
      </c>
      <c r="C14" s="16"/>
      <c r="F14" s="85"/>
      <c r="G14" s="89"/>
      <c r="H14" s="88"/>
      <c r="J14" s="14" t="s">
        <v>729</v>
      </c>
      <c r="K14" s="48">
        <f t="shared" ref="K14:K15" si="2">SUMIFS($G$5:$G$363,$D$5:$D$363,J14)</f>
        <v>5.2299999999999999E-2</v>
      </c>
      <c r="L14" s="83"/>
      <c r="M14" s="89"/>
    </row>
    <row r="15" spans="1:16" ht="12.75" customHeight="1" x14ac:dyDescent="0.2">
      <c r="A15" s="65">
        <f>+MAX($A$7:A14)+1</f>
        <v>4</v>
      </c>
      <c r="B15" s="65" t="s">
        <v>422</v>
      </c>
      <c r="C15" s="65" t="s">
        <v>694</v>
      </c>
      <c r="D15" s="65" t="s">
        <v>261</v>
      </c>
      <c r="E15" s="118">
        <v>120</v>
      </c>
      <c r="F15" s="90">
        <v>599.27459999999996</v>
      </c>
      <c r="G15" s="89">
        <f t="shared" ref="G15:G24" si="3">+ROUND(F15/VLOOKUP("Grand Total",$B$4:$F$307,5,0),4)</f>
        <v>5.9499999999999997E-2</v>
      </c>
      <c r="H15" s="88">
        <v>43318</v>
      </c>
      <c r="J15" s="14" t="s">
        <v>354</v>
      </c>
      <c r="K15" s="48">
        <f t="shared" si="2"/>
        <v>1.24E-2</v>
      </c>
      <c r="L15" s="83"/>
      <c r="M15" s="89"/>
    </row>
    <row r="16" spans="1:16" ht="12.75" customHeight="1" x14ac:dyDescent="0.2">
      <c r="A16" s="65">
        <f>+MAX($A$7:A15)+1</f>
        <v>5</v>
      </c>
      <c r="B16" s="119" t="s">
        <v>730</v>
      </c>
      <c r="C16" s="65" t="s">
        <v>731</v>
      </c>
      <c r="D16" s="65" t="s">
        <v>152</v>
      </c>
      <c r="E16" s="118">
        <v>120</v>
      </c>
      <c r="F16" s="90">
        <v>599.09760000000006</v>
      </c>
      <c r="G16" s="89">
        <f t="shared" si="3"/>
        <v>5.9499999999999997E-2</v>
      </c>
      <c r="H16" s="88">
        <v>43318</v>
      </c>
      <c r="J16" s="14" t="s">
        <v>62</v>
      </c>
      <c r="K16" s="48">
        <f>+SUMIFS($G$5:$G$998,$B$5:$B$998,"CBLO / Reverse Repo")+SUMIFS($G$5:$G$998,$B$5:$B$998,"Net Receivable/Payable")</f>
        <v>9.5999999999999974E-3</v>
      </c>
      <c r="L16" s="78"/>
      <c r="M16" s="89"/>
      <c r="N16" s="83"/>
      <c r="P16" s="89"/>
    </row>
    <row r="17" spans="1:16" ht="12.75" customHeight="1" x14ac:dyDescent="0.2">
      <c r="A17" s="65">
        <f>+MAX($A$7:A16)+1</f>
        <v>6</v>
      </c>
      <c r="B17" s="119" t="s">
        <v>555</v>
      </c>
      <c r="C17" s="65" t="s">
        <v>697</v>
      </c>
      <c r="D17" s="65" t="s">
        <v>152</v>
      </c>
      <c r="E17" s="118">
        <v>100</v>
      </c>
      <c r="F17" s="90">
        <v>495.10149999999999</v>
      </c>
      <c r="G17" s="89">
        <f t="shared" si="3"/>
        <v>4.9200000000000001E-2</v>
      </c>
      <c r="H17" s="88">
        <v>43360</v>
      </c>
      <c r="J17" s="14"/>
      <c r="K17" s="48"/>
      <c r="L17" s="78"/>
      <c r="M17" s="89"/>
      <c r="N17" s="83"/>
      <c r="P17" s="89"/>
    </row>
    <row r="18" spans="1:16" ht="12.75" customHeight="1" x14ac:dyDescent="0.2">
      <c r="A18" s="65">
        <f>+MAX($A$7:A17)+1</f>
        <v>7</v>
      </c>
      <c r="B18" s="119" t="s">
        <v>514</v>
      </c>
      <c r="C18" s="65" t="s">
        <v>698</v>
      </c>
      <c r="D18" s="65" t="s">
        <v>152</v>
      </c>
      <c r="E18" s="118">
        <v>100</v>
      </c>
      <c r="F18" s="90">
        <v>494.48099999999999</v>
      </c>
      <c r="G18" s="89">
        <f t="shared" si="3"/>
        <v>4.9099999999999998E-2</v>
      </c>
      <c r="H18" s="88">
        <v>43362</v>
      </c>
      <c r="K18" s="48"/>
      <c r="L18" s="78"/>
      <c r="M18" s="89"/>
      <c r="N18" s="83"/>
      <c r="P18" s="89"/>
    </row>
    <row r="19" spans="1:16" ht="12.75" customHeight="1" x14ac:dyDescent="0.2">
      <c r="A19" s="65">
        <f>+MAX($A$7:A18)+1</f>
        <v>8</v>
      </c>
      <c r="B19" s="119" t="s">
        <v>534</v>
      </c>
      <c r="C19" s="65" t="s">
        <v>683</v>
      </c>
      <c r="D19" s="65" t="s">
        <v>261</v>
      </c>
      <c r="E19" s="118">
        <v>100</v>
      </c>
      <c r="F19" s="90">
        <v>493.18099999999998</v>
      </c>
      <c r="G19" s="89">
        <f t="shared" si="3"/>
        <v>4.9000000000000002E-2</v>
      </c>
      <c r="H19" s="88">
        <v>43367</v>
      </c>
      <c r="K19" s="48"/>
      <c r="L19" s="78"/>
      <c r="M19" s="89"/>
      <c r="N19" s="83"/>
      <c r="P19" s="89"/>
    </row>
    <row r="20" spans="1:16" ht="12.75" customHeight="1" x14ac:dyDescent="0.2">
      <c r="A20" s="65">
        <f>+MAX($A$7:A19)+1</f>
        <v>9</v>
      </c>
      <c r="B20" s="119" t="s">
        <v>262</v>
      </c>
      <c r="C20" s="65" t="s">
        <v>456</v>
      </c>
      <c r="D20" s="65" t="s">
        <v>463</v>
      </c>
      <c r="E20" s="118">
        <v>96</v>
      </c>
      <c r="F20" s="90">
        <v>476.14944000000003</v>
      </c>
      <c r="G20" s="89">
        <f t="shared" si="3"/>
        <v>4.7300000000000002E-2</v>
      </c>
      <c r="H20" s="88">
        <v>43350</v>
      </c>
      <c r="K20" s="48"/>
      <c r="L20" s="78"/>
      <c r="M20" s="89"/>
      <c r="N20" s="83"/>
      <c r="P20" s="89"/>
    </row>
    <row r="21" spans="1:16" ht="12.75" customHeight="1" x14ac:dyDescent="0.2">
      <c r="A21" s="65">
        <f>+MAX($A$7:A20)+1</f>
        <v>10</v>
      </c>
      <c r="B21" s="119" t="s">
        <v>534</v>
      </c>
      <c r="C21" s="65" t="s">
        <v>695</v>
      </c>
      <c r="D21" s="65" t="s">
        <v>261</v>
      </c>
      <c r="E21" s="118">
        <v>80</v>
      </c>
      <c r="F21" s="90">
        <v>396.28919999999999</v>
      </c>
      <c r="G21" s="89">
        <f t="shared" si="3"/>
        <v>3.9399999999999998E-2</v>
      </c>
      <c r="H21" s="88">
        <v>43353</v>
      </c>
      <c r="K21" s="48"/>
      <c r="L21" s="78"/>
      <c r="M21" s="89"/>
      <c r="N21" s="83"/>
      <c r="P21" s="89"/>
    </row>
    <row r="22" spans="1:16" ht="12.75" customHeight="1" x14ac:dyDescent="0.2">
      <c r="A22" s="65">
        <f>+MAX($A$7:A21)+1</f>
        <v>11</v>
      </c>
      <c r="B22" s="119" t="s">
        <v>555</v>
      </c>
      <c r="C22" s="65" t="s">
        <v>696</v>
      </c>
      <c r="D22" s="65" t="s">
        <v>152</v>
      </c>
      <c r="E22" s="118">
        <v>80</v>
      </c>
      <c r="F22" s="90">
        <v>395.16320000000002</v>
      </c>
      <c r="G22" s="89">
        <f t="shared" si="3"/>
        <v>3.9300000000000002E-2</v>
      </c>
      <c r="H22" s="88">
        <v>43367</v>
      </c>
      <c r="K22" s="48"/>
      <c r="L22" s="78"/>
      <c r="M22" s="89"/>
      <c r="N22" s="83"/>
      <c r="P22" s="89"/>
    </row>
    <row r="23" spans="1:16" ht="12.75" customHeight="1" x14ac:dyDescent="0.2">
      <c r="A23" s="65">
        <f>+MAX($A$7:A22)+1</f>
        <v>12</v>
      </c>
      <c r="B23" s="119" t="s">
        <v>514</v>
      </c>
      <c r="C23" s="65" t="s">
        <v>689</v>
      </c>
      <c r="D23" s="65" t="s">
        <v>152</v>
      </c>
      <c r="E23" s="118">
        <v>80</v>
      </c>
      <c r="F23" s="90">
        <v>394.68680000000001</v>
      </c>
      <c r="G23" s="89">
        <f t="shared" si="3"/>
        <v>3.9199999999999999E-2</v>
      </c>
      <c r="H23" s="88">
        <v>43368</v>
      </c>
      <c r="K23" s="48"/>
      <c r="L23" s="78"/>
      <c r="M23" s="89"/>
      <c r="N23" s="83"/>
      <c r="P23" s="89"/>
    </row>
    <row r="24" spans="1:16" ht="12.75" customHeight="1" x14ac:dyDescent="0.2">
      <c r="A24" s="65">
        <f>+MAX($A$7:A23)+1</f>
        <v>13</v>
      </c>
      <c r="B24" s="119" t="s">
        <v>178</v>
      </c>
      <c r="C24" s="65" t="s">
        <v>682</v>
      </c>
      <c r="D24" s="65" t="s">
        <v>152</v>
      </c>
      <c r="E24" s="118">
        <v>60</v>
      </c>
      <c r="F24" s="90">
        <v>298.10070000000002</v>
      </c>
      <c r="G24" s="89">
        <f t="shared" si="3"/>
        <v>2.9600000000000001E-2</v>
      </c>
      <c r="H24" s="88">
        <v>43348</v>
      </c>
      <c r="K24" s="48"/>
      <c r="L24" s="78"/>
      <c r="M24" s="89"/>
      <c r="N24" s="83"/>
      <c r="P24" s="89"/>
    </row>
    <row r="25" spans="1:16" ht="12.75" customHeight="1" x14ac:dyDescent="0.2">
      <c r="A25" s="65">
        <f>+MAX($A$7:A24)+1</f>
        <v>14</v>
      </c>
      <c r="B25" s="119" t="s">
        <v>262</v>
      </c>
      <c r="C25" s="65" t="s">
        <v>477</v>
      </c>
      <c r="D25" s="65" t="s">
        <v>463</v>
      </c>
      <c r="E25" s="118">
        <v>40</v>
      </c>
      <c r="F25" s="90">
        <v>194.85339999999999</v>
      </c>
      <c r="G25" s="89">
        <f t="shared" ref="G25:G27" si="4">+ROUND(F25/VLOOKUP("Grand Total",$B$4:$F$307,5,0),4)</f>
        <v>1.9400000000000001E-2</v>
      </c>
      <c r="H25" s="88">
        <v>43430</v>
      </c>
      <c r="K25" s="48"/>
      <c r="L25" s="78"/>
      <c r="M25" s="89"/>
      <c r="N25" s="83"/>
      <c r="P25" s="89"/>
    </row>
    <row r="26" spans="1:16" ht="12.75" customHeight="1" x14ac:dyDescent="0.2">
      <c r="A26" s="65">
        <f>+MAX($A$7:A25)+1</f>
        <v>15</v>
      </c>
      <c r="B26" s="119" t="s">
        <v>656</v>
      </c>
      <c r="C26" s="65" t="s">
        <v>657</v>
      </c>
      <c r="D26" s="65" t="s">
        <v>152</v>
      </c>
      <c r="E26" s="118">
        <v>20</v>
      </c>
      <c r="F26" s="90">
        <v>99.539100000000005</v>
      </c>
      <c r="G26" s="89">
        <f t="shared" si="4"/>
        <v>9.9000000000000008E-3</v>
      </c>
      <c r="H26" s="88">
        <v>43335</v>
      </c>
      <c r="K26" s="48"/>
      <c r="L26" s="78"/>
      <c r="M26" s="89"/>
      <c r="N26" s="83"/>
      <c r="P26" s="89"/>
    </row>
    <row r="27" spans="1:16" ht="12.75" customHeight="1" x14ac:dyDescent="0.2">
      <c r="A27" s="65">
        <f>+MAX($A$7:A26)+1</f>
        <v>16</v>
      </c>
      <c r="B27" s="119" t="s">
        <v>726</v>
      </c>
      <c r="C27" s="65" t="s">
        <v>727</v>
      </c>
      <c r="D27" s="65" t="s">
        <v>152</v>
      </c>
      <c r="E27" s="118">
        <v>10</v>
      </c>
      <c r="F27" s="90">
        <v>49.924799999999998</v>
      </c>
      <c r="G27" s="89">
        <f t="shared" si="4"/>
        <v>5.0000000000000001E-3</v>
      </c>
      <c r="H27" s="88">
        <v>43318</v>
      </c>
      <c r="K27" s="48"/>
      <c r="L27" s="78"/>
      <c r="M27" s="89"/>
      <c r="N27" s="83"/>
      <c r="P27" s="89"/>
    </row>
    <row r="28" spans="1:16" ht="12.75" customHeight="1" x14ac:dyDescent="0.2">
      <c r="B28" s="18" t="s">
        <v>82</v>
      </c>
      <c r="C28" s="18"/>
      <c r="D28" s="18"/>
      <c r="E28" s="29"/>
      <c r="F28" s="19">
        <f>SUM(F15:F27)</f>
        <v>4985.8423400000001</v>
      </c>
      <c r="G28" s="20">
        <f>SUM(G15:G27)</f>
        <v>0.49540000000000006</v>
      </c>
      <c r="H28" s="21"/>
      <c r="I28" s="81"/>
      <c r="J28" s="89"/>
      <c r="L28" s="78">
        <f>SUM(K14:K28)</f>
        <v>7.4299999999999991E-2</v>
      </c>
    </row>
    <row r="29" spans="1:16" ht="12.75" customHeight="1" x14ac:dyDescent="0.2">
      <c r="F29" s="85"/>
      <c r="G29" s="89"/>
      <c r="H29" s="88"/>
    </row>
    <row r="30" spans="1:16" ht="12.75" customHeight="1" x14ac:dyDescent="0.2">
      <c r="B30" s="16" t="s">
        <v>157</v>
      </c>
      <c r="C30" s="16"/>
      <c r="F30" s="85"/>
      <c r="G30" s="89"/>
      <c r="H30" s="88"/>
    </row>
    <row r="31" spans="1:16" ht="12.75" customHeight="1" x14ac:dyDescent="0.2">
      <c r="A31" s="65">
        <f>+MAX($A$7:A30)+1</f>
        <v>17</v>
      </c>
      <c r="B31" s="65" t="s">
        <v>464</v>
      </c>
      <c r="C31" s="65" t="s">
        <v>675</v>
      </c>
      <c r="D31" s="65" t="s">
        <v>354</v>
      </c>
      <c r="E31" s="84">
        <v>125000</v>
      </c>
      <c r="F31" s="85">
        <v>124.36725</v>
      </c>
      <c r="G31" s="89">
        <f>+ROUND(F31/VLOOKUP("Grand Total",$B$4:$F$307,5,0),4)</f>
        <v>1.24E-2</v>
      </c>
      <c r="H31" s="88">
        <v>43342</v>
      </c>
    </row>
    <row r="32" spans="1:16" ht="12.75" customHeight="1" x14ac:dyDescent="0.2">
      <c r="B32" s="18" t="s">
        <v>82</v>
      </c>
      <c r="C32" s="18"/>
      <c r="D32" s="18"/>
      <c r="E32" s="29"/>
      <c r="F32" s="19">
        <f>SUM(F31:F31)</f>
        <v>124.36725</v>
      </c>
      <c r="G32" s="20">
        <f>SUM(G31:G31)</f>
        <v>1.24E-2</v>
      </c>
      <c r="H32" s="21"/>
      <c r="I32" s="81"/>
    </row>
    <row r="33" spans="1:9" ht="12.75" customHeight="1" x14ac:dyDescent="0.2">
      <c r="F33" s="85"/>
      <c r="G33" s="89"/>
      <c r="H33" s="88"/>
    </row>
    <row r="34" spans="1:9" ht="12.75" customHeight="1" x14ac:dyDescent="0.2">
      <c r="B34" s="16" t="s">
        <v>120</v>
      </c>
      <c r="F34" s="85"/>
      <c r="G34" s="89"/>
      <c r="H34" s="88"/>
    </row>
    <row r="35" spans="1:9" ht="12.75" customHeight="1" x14ac:dyDescent="0.2">
      <c r="B35" s="31" t="s">
        <v>272</v>
      </c>
      <c r="C35" s="16"/>
      <c r="F35" s="85"/>
      <c r="G35" s="89"/>
      <c r="H35" s="88"/>
    </row>
    <row r="36" spans="1:9" ht="12.75" customHeight="1" x14ac:dyDescent="0.2">
      <c r="A36" s="65">
        <f>+MAX($A$7:A35)+1</f>
        <v>18</v>
      </c>
      <c r="B36" s="65" t="s">
        <v>684</v>
      </c>
      <c r="C36" s="65" t="s">
        <v>489</v>
      </c>
      <c r="D36" s="65" t="s">
        <v>104</v>
      </c>
      <c r="E36" s="84">
        <v>95</v>
      </c>
      <c r="F36" s="85">
        <v>947.89954999999998</v>
      </c>
      <c r="G36" s="89">
        <f>+ROUND(F36/VLOOKUP("Grand Total",$B$4:$F$307,5,0),4)</f>
        <v>9.4200000000000006E-2</v>
      </c>
      <c r="H36" s="88">
        <v>43584</v>
      </c>
    </row>
    <row r="37" spans="1:9" ht="12.75" customHeight="1" x14ac:dyDescent="0.2">
      <c r="A37" s="65">
        <f>+MAX($A$7:A36)+1</f>
        <v>19</v>
      </c>
      <c r="B37" s="65" t="s">
        <v>651</v>
      </c>
      <c r="C37" s="65" t="s">
        <v>652</v>
      </c>
      <c r="D37" s="65" t="s">
        <v>156</v>
      </c>
      <c r="E37" s="84">
        <v>90</v>
      </c>
      <c r="F37" s="85">
        <v>894.00059999999996</v>
      </c>
      <c r="G37" s="89">
        <f t="shared" ref="G37:G38" si="5">+ROUND(F37/VLOOKUP("Grand Total",$B$4:$F$307,5,0),4)</f>
        <v>8.8800000000000004E-2</v>
      </c>
      <c r="H37" s="88">
        <v>43662</v>
      </c>
    </row>
    <row r="38" spans="1:9" ht="12.75" customHeight="1" x14ac:dyDescent="0.2">
      <c r="A38" s="65">
        <f>+MAX($A$7:A37)+1</f>
        <v>20</v>
      </c>
      <c r="B38" s="65" t="s">
        <v>678</v>
      </c>
      <c r="C38" s="65" t="s">
        <v>679</v>
      </c>
      <c r="D38" s="65" t="s">
        <v>381</v>
      </c>
      <c r="E38" s="84">
        <v>60</v>
      </c>
      <c r="F38" s="85">
        <v>594.80219999999997</v>
      </c>
      <c r="G38" s="89">
        <f t="shared" si="5"/>
        <v>5.91E-2</v>
      </c>
      <c r="H38" s="88">
        <v>43616</v>
      </c>
    </row>
    <row r="39" spans="1:9" ht="12.75" customHeight="1" x14ac:dyDescent="0.2">
      <c r="A39" s="65">
        <f>+MAX($A$7:A38)+1</f>
        <v>21</v>
      </c>
      <c r="B39" s="65" t="s">
        <v>737</v>
      </c>
      <c r="C39" s="65" t="s">
        <v>738</v>
      </c>
      <c r="D39" s="65" t="s">
        <v>104</v>
      </c>
      <c r="E39" s="84">
        <v>52</v>
      </c>
      <c r="F39" s="85">
        <v>517.95795999999996</v>
      </c>
      <c r="G39" s="89">
        <f t="shared" ref="G39:G40" si="6">+ROUND(F39/VLOOKUP("Grand Total",$B$4:$F$307,5,0),4)</f>
        <v>5.1499999999999997E-2</v>
      </c>
      <c r="H39" s="88">
        <v>43623</v>
      </c>
    </row>
    <row r="40" spans="1:9" ht="12.75" customHeight="1" x14ac:dyDescent="0.2">
      <c r="A40" s="65">
        <f>+MAX($A$7:A39)+1</f>
        <v>22</v>
      </c>
      <c r="B40" s="65" t="s">
        <v>687</v>
      </c>
      <c r="C40" s="65" t="s">
        <v>688</v>
      </c>
      <c r="D40" s="65" t="s">
        <v>104</v>
      </c>
      <c r="E40" s="84">
        <v>50</v>
      </c>
      <c r="F40" s="85">
        <v>500.17599999999999</v>
      </c>
      <c r="G40" s="89">
        <f t="shared" si="6"/>
        <v>4.9700000000000001E-2</v>
      </c>
      <c r="H40" s="88">
        <v>43677</v>
      </c>
    </row>
    <row r="41" spans="1:9" ht="12.75" customHeight="1" x14ac:dyDescent="0.2">
      <c r="B41" s="18" t="s">
        <v>82</v>
      </c>
      <c r="C41" s="18"/>
      <c r="D41" s="18"/>
      <c r="E41" s="29"/>
      <c r="F41" s="19">
        <f>SUM(F36:F40)</f>
        <v>3454.8363100000001</v>
      </c>
      <c r="G41" s="20">
        <f>SUM(G36:G40)</f>
        <v>0.34329999999999999</v>
      </c>
      <c r="H41" s="21"/>
      <c r="I41" s="81"/>
    </row>
    <row r="42" spans="1:9" ht="12.75" customHeight="1" x14ac:dyDescent="0.2">
      <c r="F42" s="85"/>
      <c r="G42" s="89"/>
      <c r="H42" s="88"/>
    </row>
    <row r="43" spans="1:9" ht="12.75" customHeight="1" x14ac:dyDescent="0.2">
      <c r="B43" s="16" t="s">
        <v>91</v>
      </c>
      <c r="C43" s="16"/>
      <c r="F43" s="85"/>
      <c r="G43" s="89"/>
      <c r="H43" s="88"/>
    </row>
    <row r="44" spans="1:9" ht="12.75" customHeight="1" x14ac:dyDescent="0.2">
      <c r="A44" s="94" t="s">
        <v>321</v>
      </c>
      <c r="B44" s="16" t="s">
        <v>658</v>
      </c>
      <c r="C44" s="16"/>
      <c r="F44" s="85">
        <v>282.54086999999998</v>
      </c>
      <c r="G44" s="89">
        <f>+ROUND(F44/VLOOKUP("Grand Total",$B$4:$F$307,5,0),4)</f>
        <v>2.81E-2</v>
      </c>
      <c r="H44" s="88">
        <v>43313</v>
      </c>
    </row>
    <row r="45" spans="1:9" ht="12.75" customHeight="1" x14ac:dyDescent="0.2">
      <c r="B45" s="16" t="s">
        <v>92</v>
      </c>
      <c r="C45" s="16"/>
      <c r="F45" s="79">
        <v>-182.96194579999792</v>
      </c>
      <c r="G45" s="127">
        <f>+ROUND(F45/VLOOKUP("Grand Total",$B$4:$F$307,5,0),4)-0.03%</f>
        <v>-1.8500000000000003E-2</v>
      </c>
      <c r="H45" s="88"/>
    </row>
    <row r="46" spans="1:9" ht="12.75" customHeight="1" x14ac:dyDescent="0.2">
      <c r="B46" s="18" t="s">
        <v>82</v>
      </c>
      <c r="C46" s="18"/>
      <c r="D46" s="18"/>
      <c r="E46" s="29"/>
      <c r="F46" s="19">
        <f>SUM(F44:F45)</f>
        <v>99.578924200002064</v>
      </c>
      <c r="G46" s="20">
        <f>SUM(G44:G45)</f>
        <v>9.5999999999999974E-3</v>
      </c>
      <c r="H46" s="21"/>
      <c r="I46" s="81"/>
    </row>
    <row r="47" spans="1:9" ht="12.75" customHeight="1" x14ac:dyDescent="0.2">
      <c r="B47" s="22" t="s">
        <v>93</v>
      </c>
      <c r="C47" s="22"/>
      <c r="D47" s="22"/>
      <c r="E47" s="30"/>
      <c r="F47" s="23">
        <f>+SUMIF($B$5:B46,"Total",$F$5:F46)</f>
        <v>10067.098224200003</v>
      </c>
      <c r="G47" s="24">
        <f>+SUMIF($B$5:B46,"Total",$G$5:G46)</f>
        <v>1</v>
      </c>
      <c r="H47" s="25"/>
      <c r="I47" s="81"/>
    </row>
    <row r="48" spans="1:9" ht="12.75" customHeight="1" x14ac:dyDescent="0.2"/>
    <row r="49" spans="2:3" ht="12.75" customHeight="1" x14ac:dyDescent="0.2">
      <c r="B49" s="16" t="s">
        <v>499</v>
      </c>
      <c r="C49" s="16"/>
    </row>
    <row r="50" spans="2:3" ht="12.75" customHeight="1" x14ac:dyDescent="0.2">
      <c r="B50" s="16" t="s">
        <v>171</v>
      </c>
      <c r="C50" s="16"/>
    </row>
    <row r="51" spans="2:3" ht="12.75" customHeight="1" x14ac:dyDescent="0.2">
      <c r="B51" s="16"/>
      <c r="C51" s="16"/>
    </row>
    <row r="52" spans="2:3" ht="12.75" customHeight="1" x14ac:dyDescent="0.2">
      <c r="B52" s="16"/>
      <c r="C52" s="16"/>
    </row>
    <row r="53" spans="2:3" ht="12.75" customHeight="1" x14ac:dyDescent="0.2">
      <c r="B53" s="16"/>
      <c r="C53" s="16"/>
    </row>
    <row r="54" spans="2:3" ht="12.75" customHeight="1" x14ac:dyDescent="0.2"/>
    <row r="55" spans="2:3" ht="12.75" customHeight="1" x14ac:dyDescent="0.2"/>
    <row r="56" spans="2:3" ht="12.75" customHeight="1" x14ac:dyDescent="0.2"/>
    <row r="57" spans="2:3" ht="12.75" customHeight="1" x14ac:dyDescent="0.2"/>
    <row r="58" spans="2:3" ht="12.75" customHeight="1" x14ac:dyDescent="0.2"/>
    <row r="59" spans="2:3" ht="12.75" customHeight="1" x14ac:dyDescent="0.2"/>
    <row r="60" spans="2:3" ht="12.75" customHeight="1" x14ac:dyDescent="0.2"/>
    <row r="61" spans="2:3" ht="12.75" customHeight="1" x14ac:dyDescent="0.2"/>
    <row r="62" spans="2:3" ht="12.75" customHeight="1" x14ac:dyDescent="0.2"/>
    <row r="63" spans="2:3" ht="12.75" customHeight="1" x14ac:dyDescent="0.2"/>
    <row r="64" spans="2:3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</sheetData>
  <sortState ref="J8:K14">
    <sortCondition descending="1" ref="K12:K18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L10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42.5703125" bestFit="1" customWidth="1"/>
    <col min="5" max="5" width="10.71093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5703125" bestFit="1" customWidth="1"/>
    <col min="11" max="11" width="8.28515625" style="36" bestFit="1" customWidth="1"/>
  </cols>
  <sheetData>
    <row r="1" spans="1:11" ht="18.75" x14ac:dyDescent="0.2">
      <c r="A1" s="93" t="s">
        <v>342</v>
      </c>
      <c r="B1" s="129" t="s">
        <v>663</v>
      </c>
      <c r="C1" s="130"/>
      <c r="D1" s="130"/>
      <c r="E1" s="130"/>
      <c r="F1" s="130"/>
      <c r="G1" s="130"/>
      <c r="H1" s="131"/>
    </row>
    <row r="2" spans="1:11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1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1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1" ht="12.75" customHeight="1" x14ac:dyDescent="0.2">
      <c r="F5" s="13"/>
      <c r="G5" s="14"/>
      <c r="H5" s="15"/>
    </row>
    <row r="6" spans="1:11" ht="12.75" customHeight="1" x14ac:dyDescent="0.2">
      <c r="B6" s="16"/>
      <c r="F6" s="13"/>
      <c r="G6" s="14"/>
      <c r="H6" s="15"/>
    </row>
    <row r="7" spans="1:11" ht="12.75" customHeight="1" x14ac:dyDescent="0.2">
      <c r="B7" s="16" t="s">
        <v>8</v>
      </c>
      <c r="F7" s="13"/>
      <c r="G7" s="14"/>
      <c r="H7" s="15"/>
      <c r="J7" s="17" t="s">
        <v>509</v>
      </c>
      <c r="K7" s="37" t="s">
        <v>11</v>
      </c>
    </row>
    <row r="8" spans="1:11" ht="12.75" customHeight="1" x14ac:dyDescent="0.2">
      <c r="B8" s="16" t="s">
        <v>356</v>
      </c>
      <c r="C8" s="16"/>
      <c r="F8" s="13"/>
      <c r="G8" s="14"/>
      <c r="H8" s="15"/>
      <c r="J8" s="89" t="s">
        <v>285</v>
      </c>
      <c r="K8" s="102">
        <f t="shared" ref="K8:K32" si="0">SUMIFS($G$5:$G$402,$D$5:$D$402,J8)</f>
        <v>0.27339999999999998</v>
      </c>
    </row>
    <row r="9" spans="1:11" ht="12.75" customHeight="1" x14ac:dyDescent="0.2">
      <c r="A9">
        <f>+MAX($A$8:A8)+1</f>
        <v>1</v>
      </c>
      <c r="B9" t="s">
        <v>176</v>
      </c>
      <c r="C9" t="s">
        <v>12</v>
      </c>
      <c r="D9" t="s">
        <v>9</v>
      </c>
      <c r="E9" s="28">
        <v>281</v>
      </c>
      <c r="F9" s="13">
        <v>6.1243949999999998</v>
      </c>
      <c r="G9" s="14">
        <f t="shared" ref="G9:G40" si="1">+ROUND(F9/VLOOKUP("Grand Total",$B$4:$F$357,5,0),4)</f>
        <v>3.6999999999999998E-2</v>
      </c>
      <c r="H9" s="15" t="s">
        <v>322</v>
      </c>
      <c r="J9" s="89" t="s">
        <v>9</v>
      </c>
      <c r="K9" s="102">
        <f t="shared" si="0"/>
        <v>0.14280000000000001</v>
      </c>
    </row>
    <row r="10" spans="1:11" ht="12.75" customHeight="1" x14ac:dyDescent="0.2">
      <c r="A10">
        <f>+MAX($A$8:A9)+1</f>
        <v>2</v>
      </c>
      <c r="B10" t="s">
        <v>178</v>
      </c>
      <c r="C10" t="s">
        <v>29</v>
      </c>
      <c r="D10" t="s">
        <v>28</v>
      </c>
      <c r="E10" s="28">
        <v>458</v>
      </c>
      <c r="F10" s="13">
        <v>5.4318799999999996</v>
      </c>
      <c r="G10" s="14">
        <f t="shared" si="1"/>
        <v>3.2800000000000003E-2</v>
      </c>
      <c r="H10" s="15" t="s">
        <v>322</v>
      </c>
      <c r="J10" s="89" t="s">
        <v>24</v>
      </c>
      <c r="K10" s="102">
        <f t="shared" si="0"/>
        <v>8.7600000000000011E-2</v>
      </c>
    </row>
    <row r="11" spans="1:11" ht="12.75" customHeight="1" x14ac:dyDescent="0.2">
      <c r="A11">
        <f>+MAX($A$8:A10)+1</f>
        <v>3</v>
      </c>
      <c r="B11" t="s">
        <v>185</v>
      </c>
      <c r="C11" t="s">
        <v>44</v>
      </c>
      <c r="D11" t="s">
        <v>24</v>
      </c>
      <c r="E11" s="28">
        <v>1428</v>
      </c>
      <c r="F11" s="13">
        <v>4.2511559999999999</v>
      </c>
      <c r="G11" s="14">
        <f t="shared" si="1"/>
        <v>2.5700000000000001E-2</v>
      </c>
      <c r="H11" s="15" t="s">
        <v>322</v>
      </c>
      <c r="J11" s="80" t="s">
        <v>13</v>
      </c>
      <c r="K11" s="102">
        <f t="shared" si="0"/>
        <v>5.2299999999999999E-2</v>
      </c>
    </row>
    <row r="12" spans="1:11" ht="12.75" customHeight="1" x14ac:dyDescent="0.2">
      <c r="A12">
        <f>+MAX($A$8:A11)+1</f>
        <v>4</v>
      </c>
      <c r="B12" t="s">
        <v>200</v>
      </c>
      <c r="C12" t="s">
        <v>18</v>
      </c>
      <c r="D12" t="s">
        <v>13</v>
      </c>
      <c r="E12" s="28">
        <v>211</v>
      </c>
      <c r="F12" s="13">
        <v>4.0938220000000003</v>
      </c>
      <c r="G12" s="14">
        <f t="shared" si="1"/>
        <v>2.47E-2</v>
      </c>
      <c r="H12" s="15" t="s">
        <v>322</v>
      </c>
      <c r="J12" s="80" t="s">
        <v>22</v>
      </c>
      <c r="K12" s="102">
        <f t="shared" si="0"/>
        <v>3.8900000000000004E-2</v>
      </c>
    </row>
    <row r="13" spans="1:11" ht="12.75" customHeight="1" x14ac:dyDescent="0.2">
      <c r="A13">
        <f>+MAX($A$8:A12)+1</f>
        <v>5</v>
      </c>
      <c r="B13" t="s">
        <v>15</v>
      </c>
      <c r="C13" t="s">
        <v>16</v>
      </c>
      <c r="D13" t="s">
        <v>9</v>
      </c>
      <c r="E13" s="28">
        <v>1327</v>
      </c>
      <c r="F13" s="13">
        <v>3.8947449999999999</v>
      </c>
      <c r="G13" s="14">
        <f t="shared" si="1"/>
        <v>2.35E-2</v>
      </c>
      <c r="H13" s="15" t="s">
        <v>322</v>
      </c>
      <c r="J13" s="80" t="s">
        <v>34</v>
      </c>
      <c r="K13" s="102">
        <f t="shared" si="0"/>
        <v>3.4000000000000002E-2</v>
      </c>
    </row>
    <row r="14" spans="1:11" ht="12.75" customHeight="1" x14ac:dyDescent="0.2">
      <c r="A14">
        <f>+MAX($A$8:A13)+1</f>
        <v>6</v>
      </c>
      <c r="B14" t="s">
        <v>179</v>
      </c>
      <c r="C14" t="s">
        <v>10</v>
      </c>
      <c r="D14" t="s">
        <v>9</v>
      </c>
      <c r="E14" s="28">
        <v>1274</v>
      </c>
      <c r="F14" s="13">
        <v>3.8761450000000002</v>
      </c>
      <c r="G14" s="14">
        <f t="shared" si="1"/>
        <v>2.3400000000000001E-2</v>
      </c>
      <c r="H14" s="15" t="s">
        <v>322</v>
      </c>
      <c r="J14" s="80" t="s">
        <v>19</v>
      </c>
      <c r="K14" s="102">
        <f t="shared" si="0"/>
        <v>3.3500000000000002E-2</v>
      </c>
    </row>
    <row r="15" spans="1:11" ht="12.75" customHeight="1" x14ac:dyDescent="0.2">
      <c r="A15">
        <f>+MAX($A$8:A14)+1</f>
        <v>7</v>
      </c>
      <c r="B15" t="s">
        <v>177</v>
      </c>
      <c r="C15" t="s">
        <v>14</v>
      </c>
      <c r="D15" t="s">
        <v>13</v>
      </c>
      <c r="E15" s="28">
        <v>254</v>
      </c>
      <c r="F15" s="13">
        <v>3.4673540000000003</v>
      </c>
      <c r="G15" s="14">
        <f t="shared" si="1"/>
        <v>2.0899999999999998E-2</v>
      </c>
      <c r="H15" s="15" t="s">
        <v>322</v>
      </c>
      <c r="J15" s="80" t="s">
        <v>28</v>
      </c>
      <c r="K15" s="102">
        <f t="shared" si="0"/>
        <v>3.2800000000000003E-2</v>
      </c>
    </row>
    <row r="16" spans="1:11" ht="12.75" customHeight="1" x14ac:dyDescent="0.2">
      <c r="A16">
        <f>+MAX($A$8:A15)+1</f>
        <v>8</v>
      </c>
      <c r="B16" t="s">
        <v>182</v>
      </c>
      <c r="C16" t="s">
        <v>25</v>
      </c>
      <c r="D16" t="s">
        <v>22</v>
      </c>
      <c r="E16" s="28">
        <v>160</v>
      </c>
      <c r="F16" s="13">
        <v>3.1917599999999999</v>
      </c>
      <c r="G16" s="14">
        <f t="shared" si="1"/>
        <v>1.9300000000000001E-2</v>
      </c>
      <c r="H16" s="15" t="s">
        <v>322</v>
      </c>
      <c r="J16" s="80" t="s">
        <v>21</v>
      </c>
      <c r="K16" s="102">
        <f t="shared" si="0"/>
        <v>2.8999999999999998E-2</v>
      </c>
    </row>
    <row r="17" spans="1:11" ht="12.75" customHeight="1" x14ac:dyDescent="0.2">
      <c r="A17">
        <f>+MAX($A$8:A16)+1</f>
        <v>9</v>
      </c>
      <c r="B17" t="s">
        <v>209</v>
      </c>
      <c r="C17" t="s">
        <v>69</v>
      </c>
      <c r="D17" t="s">
        <v>26</v>
      </c>
      <c r="E17" s="28">
        <v>235</v>
      </c>
      <c r="F17" s="13">
        <v>3.0604049999999998</v>
      </c>
      <c r="G17" s="14">
        <f t="shared" si="1"/>
        <v>1.8499999999999999E-2</v>
      </c>
      <c r="H17" s="15" t="s">
        <v>322</v>
      </c>
      <c r="J17" s="80" t="s">
        <v>26</v>
      </c>
      <c r="K17" s="102">
        <f t="shared" si="0"/>
        <v>2.87E-2</v>
      </c>
    </row>
    <row r="18" spans="1:11" ht="12.75" customHeight="1" x14ac:dyDescent="0.2">
      <c r="A18">
        <f>+MAX($A$8:A17)+1</f>
        <v>10</v>
      </c>
      <c r="B18" t="s">
        <v>304</v>
      </c>
      <c r="C18" t="s">
        <v>538</v>
      </c>
      <c r="D18" t="s">
        <v>127</v>
      </c>
      <c r="E18" s="28">
        <v>980</v>
      </c>
      <c r="F18" s="13">
        <v>2.4999799999999999</v>
      </c>
      <c r="G18" s="14">
        <f t="shared" si="1"/>
        <v>1.5100000000000001E-2</v>
      </c>
      <c r="H18" s="15" t="s">
        <v>322</v>
      </c>
      <c r="J18" s="80" t="s">
        <v>17</v>
      </c>
      <c r="K18" s="102">
        <f t="shared" si="0"/>
        <v>2.69E-2</v>
      </c>
    </row>
    <row r="19" spans="1:11" ht="12.75" customHeight="1" x14ac:dyDescent="0.2">
      <c r="A19">
        <f>+MAX($A$8:A18)+1</f>
        <v>11</v>
      </c>
      <c r="B19" t="s">
        <v>282</v>
      </c>
      <c r="C19" t="s">
        <v>283</v>
      </c>
      <c r="D19" t="s">
        <v>137</v>
      </c>
      <c r="E19" s="28">
        <v>404</v>
      </c>
      <c r="F19" s="13">
        <v>2.4742979999999997</v>
      </c>
      <c r="G19" s="14">
        <f t="shared" si="1"/>
        <v>1.49E-2</v>
      </c>
      <c r="H19" s="15" t="s">
        <v>322</v>
      </c>
      <c r="J19" s="80" t="s">
        <v>127</v>
      </c>
      <c r="K19" s="102">
        <f t="shared" si="0"/>
        <v>1.9900000000000001E-2</v>
      </c>
    </row>
    <row r="20" spans="1:11" ht="12.75" customHeight="1" x14ac:dyDescent="0.2">
      <c r="A20">
        <f>+MAX($A$8:A19)+1</f>
        <v>12</v>
      </c>
      <c r="B20" t="s">
        <v>345</v>
      </c>
      <c r="C20" t="s">
        <v>344</v>
      </c>
      <c r="D20" t="s">
        <v>24</v>
      </c>
      <c r="E20" s="28">
        <v>565</v>
      </c>
      <c r="F20" s="13">
        <v>2.3817575</v>
      </c>
      <c r="G20" s="14">
        <f t="shared" si="1"/>
        <v>1.44E-2</v>
      </c>
      <c r="H20" s="15" t="s">
        <v>322</v>
      </c>
      <c r="J20" s="80" t="s">
        <v>39</v>
      </c>
      <c r="K20" s="102">
        <f t="shared" si="0"/>
        <v>1.83E-2</v>
      </c>
    </row>
    <row r="21" spans="1:11" ht="12.75" customHeight="1" x14ac:dyDescent="0.2">
      <c r="A21">
        <f>+MAX($A$8:A20)+1</f>
        <v>13</v>
      </c>
      <c r="B21" t="s">
        <v>466</v>
      </c>
      <c r="C21" t="s">
        <v>467</v>
      </c>
      <c r="D21" t="s">
        <v>34</v>
      </c>
      <c r="E21" s="28">
        <v>3180</v>
      </c>
      <c r="F21" s="13">
        <v>2.3706900000000002</v>
      </c>
      <c r="G21" s="14">
        <f t="shared" si="1"/>
        <v>1.43E-2</v>
      </c>
      <c r="H21" s="15" t="s">
        <v>322</v>
      </c>
      <c r="J21" s="80" t="s">
        <v>36</v>
      </c>
      <c r="K21" s="102">
        <f t="shared" si="0"/>
        <v>1.7899999999999999E-2</v>
      </c>
    </row>
    <row r="22" spans="1:11" ht="12.75" customHeight="1" x14ac:dyDescent="0.2">
      <c r="A22">
        <f>+MAX($A$8:A21)+1</f>
        <v>14</v>
      </c>
      <c r="B22" t="s">
        <v>275</v>
      </c>
      <c r="C22" t="s">
        <v>55</v>
      </c>
      <c r="D22" t="s">
        <v>24</v>
      </c>
      <c r="E22" s="28">
        <v>147</v>
      </c>
      <c r="F22" s="13">
        <v>2.2918034999999999</v>
      </c>
      <c r="G22" s="14">
        <f t="shared" si="1"/>
        <v>1.38E-2</v>
      </c>
      <c r="H22" s="15" t="s">
        <v>322</v>
      </c>
      <c r="J22" s="80" t="s">
        <v>137</v>
      </c>
      <c r="K22" s="102">
        <f t="shared" si="0"/>
        <v>1.49E-2</v>
      </c>
    </row>
    <row r="23" spans="1:11" ht="12.75" customHeight="1" x14ac:dyDescent="0.2">
      <c r="A23">
        <f>+MAX($A$8:A22)+1</f>
        <v>15</v>
      </c>
      <c r="B23" t="s">
        <v>195</v>
      </c>
      <c r="C23" t="s">
        <v>72</v>
      </c>
      <c r="D23" t="s">
        <v>407</v>
      </c>
      <c r="E23" s="28">
        <v>1664</v>
      </c>
      <c r="F23" s="13">
        <v>2.21312</v>
      </c>
      <c r="G23" s="14">
        <f t="shared" si="1"/>
        <v>1.34E-2</v>
      </c>
      <c r="H23" s="15" t="s">
        <v>322</v>
      </c>
      <c r="J23" s="80" t="s">
        <v>407</v>
      </c>
      <c r="K23" s="102">
        <f t="shared" si="0"/>
        <v>1.34E-2</v>
      </c>
    </row>
    <row r="24" spans="1:11" ht="12.75" customHeight="1" x14ac:dyDescent="0.2">
      <c r="A24">
        <f>+MAX($A$8:A23)+1</f>
        <v>16</v>
      </c>
      <c r="B24" t="s">
        <v>539</v>
      </c>
      <c r="C24" t="s">
        <v>540</v>
      </c>
      <c r="D24" t="s">
        <v>22</v>
      </c>
      <c r="E24" s="28">
        <v>506</v>
      </c>
      <c r="F24" s="13">
        <v>2.1178629999999998</v>
      </c>
      <c r="G24" s="14">
        <f t="shared" si="1"/>
        <v>1.2800000000000001E-2</v>
      </c>
      <c r="H24" s="15" t="s">
        <v>322</v>
      </c>
      <c r="J24" s="80" t="s">
        <v>102</v>
      </c>
      <c r="K24" s="102">
        <f t="shared" si="0"/>
        <v>1.3299999999999999E-2</v>
      </c>
    </row>
    <row r="25" spans="1:11" ht="12.75" customHeight="1" x14ac:dyDescent="0.2">
      <c r="A25">
        <f>+MAX($A$8:A24)+1</f>
        <v>17</v>
      </c>
      <c r="B25" t="s">
        <v>358</v>
      </c>
      <c r="C25" t="s">
        <v>359</v>
      </c>
      <c r="D25" t="s">
        <v>360</v>
      </c>
      <c r="E25" s="28">
        <v>1421</v>
      </c>
      <c r="F25" s="13">
        <v>2.0817649999999999</v>
      </c>
      <c r="G25" s="14">
        <f t="shared" si="1"/>
        <v>1.26E-2</v>
      </c>
      <c r="H25" s="15" t="s">
        <v>322</v>
      </c>
      <c r="J25" s="80" t="s">
        <v>360</v>
      </c>
      <c r="K25" s="102">
        <f t="shared" si="0"/>
        <v>1.26E-2</v>
      </c>
    </row>
    <row r="26" spans="1:11" ht="12.75" customHeight="1" x14ac:dyDescent="0.2">
      <c r="A26">
        <f>+MAX($A$8:A25)+1</f>
        <v>18</v>
      </c>
      <c r="B26" t="s">
        <v>468</v>
      </c>
      <c r="C26" t="s">
        <v>469</v>
      </c>
      <c r="D26" t="s">
        <v>24</v>
      </c>
      <c r="E26" s="28">
        <v>31</v>
      </c>
      <c r="F26" s="13">
        <v>2.0103965000000001</v>
      </c>
      <c r="G26" s="14">
        <f t="shared" si="1"/>
        <v>1.21E-2</v>
      </c>
      <c r="H26" s="15" t="s">
        <v>322</v>
      </c>
      <c r="J26" s="80" t="s">
        <v>43</v>
      </c>
      <c r="K26" s="102">
        <f t="shared" si="0"/>
        <v>9.8999999999999991E-3</v>
      </c>
    </row>
    <row r="27" spans="1:11" ht="12.75" customHeight="1" x14ac:dyDescent="0.2">
      <c r="A27">
        <f>+MAX($A$8:A26)+1</f>
        <v>19</v>
      </c>
      <c r="B27" t="s">
        <v>187</v>
      </c>
      <c r="C27" t="s">
        <v>46</v>
      </c>
      <c r="D27" t="s">
        <v>24</v>
      </c>
      <c r="E27" s="28">
        <v>30</v>
      </c>
      <c r="F27" s="13">
        <v>1.9626600000000001</v>
      </c>
      <c r="G27" s="14">
        <f t="shared" si="1"/>
        <v>1.18E-2</v>
      </c>
      <c r="H27" s="15" t="s">
        <v>322</v>
      </c>
      <c r="J27" s="80" t="s">
        <v>49</v>
      </c>
      <c r="K27" s="102">
        <f t="shared" si="0"/>
        <v>9.7000000000000003E-3</v>
      </c>
    </row>
    <row r="28" spans="1:11" ht="12.75" customHeight="1" x14ac:dyDescent="0.2">
      <c r="A28">
        <f>+MAX($A$8:A27)+1</f>
        <v>20</v>
      </c>
      <c r="B28" t="s">
        <v>227</v>
      </c>
      <c r="C28" t="s">
        <v>111</v>
      </c>
      <c r="D28" t="s">
        <v>34</v>
      </c>
      <c r="E28" s="28">
        <v>1256</v>
      </c>
      <c r="F28" s="13">
        <v>1.9449160000000001</v>
      </c>
      <c r="G28" s="14">
        <f t="shared" si="1"/>
        <v>1.17E-2</v>
      </c>
      <c r="H28" s="15" t="s">
        <v>322</v>
      </c>
      <c r="J28" s="80" t="s">
        <v>35</v>
      </c>
      <c r="K28" s="102">
        <f t="shared" si="0"/>
        <v>5.7000000000000002E-3</v>
      </c>
    </row>
    <row r="29" spans="1:11" ht="12.75" customHeight="1" x14ac:dyDescent="0.2">
      <c r="A29">
        <f>+MAX($A$8:A28)+1</f>
        <v>21</v>
      </c>
      <c r="B29" t="s">
        <v>193</v>
      </c>
      <c r="C29" t="s">
        <v>47</v>
      </c>
      <c r="D29" t="s">
        <v>19</v>
      </c>
      <c r="E29" s="28">
        <v>20</v>
      </c>
      <c r="F29" s="13">
        <v>1.90411</v>
      </c>
      <c r="G29" s="14">
        <f t="shared" si="1"/>
        <v>1.15E-2</v>
      </c>
      <c r="H29" s="15" t="s">
        <v>322</v>
      </c>
      <c r="J29" s="80" t="s">
        <v>41</v>
      </c>
      <c r="K29" s="102">
        <f t="shared" si="0"/>
        <v>5.4999999999999997E-3</v>
      </c>
    </row>
    <row r="30" spans="1:11" ht="12.75" customHeight="1" x14ac:dyDescent="0.2">
      <c r="A30">
        <f>+MAX($A$8:A29)+1</f>
        <v>22</v>
      </c>
      <c r="B30" t="s">
        <v>276</v>
      </c>
      <c r="C30" t="s">
        <v>74</v>
      </c>
      <c r="D30" t="s">
        <v>36</v>
      </c>
      <c r="E30" s="28">
        <v>556</v>
      </c>
      <c r="F30" s="13">
        <v>1.8904000000000001</v>
      </c>
      <c r="G30" s="14">
        <f t="shared" si="1"/>
        <v>1.14E-2</v>
      </c>
      <c r="H30" s="15" t="s">
        <v>322</v>
      </c>
      <c r="J30" s="80" t="s">
        <v>32</v>
      </c>
      <c r="K30" s="102">
        <f t="shared" si="0"/>
        <v>4.8999999999999998E-3</v>
      </c>
    </row>
    <row r="31" spans="1:11" ht="12.75" customHeight="1" x14ac:dyDescent="0.2">
      <c r="A31">
        <f>+MAX($A$8:A30)+1</f>
        <v>23</v>
      </c>
      <c r="B31" t="s">
        <v>196</v>
      </c>
      <c r="C31" t="s">
        <v>94</v>
      </c>
      <c r="D31" t="s">
        <v>9</v>
      </c>
      <c r="E31" s="28">
        <v>141</v>
      </c>
      <c r="F31" s="13">
        <v>1.8426585</v>
      </c>
      <c r="G31" s="14">
        <f t="shared" si="1"/>
        <v>1.11E-2</v>
      </c>
      <c r="H31" s="15" t="s">
        <v>322</v>
      </c>
      <c r="J31" s="80" t="s">
        <v>30</v>
      </c>
      <c r="K31" s="102">
        <f t="shared" si="0"/>
        <v>4.8999999999999998E-3</v>
      </c>
    </row>
    <row r="32" spans="1:11" ht="12.75" customHeight="1" x14ac:dyDescent="0.2">
      <c r="A32">
        <f>+MAX($A$8:A31)+1</f>
        <v>24</v>
      </c>
      <c r="B32" t="s">
        <v>252</v>
      </c>
      <c r="C32" t="s">
        <v>140</v>
      </c>
      <c r="D32" t="s">
        <v>39</v>
      </c>
      <c r="E32" s="28">
        <v>261</v>
      </c>
      <c r="F32" s="13">
        <v>1.698588</v>
      </c>
      <c r="G32" s="14">
        <f t="shared" si="1"/>
        <v>1.03E-2</v>
      </c>
      <c r="H32" s="15" t="s">
        <v>322</v>
      </c>
      <c r="J32" s="80" t="s">
        <v>368</v>
      </c>
      <c r="K32" s="102">
        <f t="shared" si="0"/>
        <v>3.3999999999999998E-3</v>
      </c>
    </row>
    <row r="33" spans="1:11" ht="12.75" customHeight="1" x14ac:dyDescent="0.2">
      <c r="A33">
        <f>+MAX($A$8:A32)+1</f>
        <v>25</v>
      </c>
      <c r="B33" t="s">
        <v>277</v>
      </c>
      <c r="C33" t="s">
        <v>65</v>
      </c>
      <c r="D33" t="s">
        <v>17</v>
      </c>
      <c r="E33" s="28">
        <v>1402</v>
      </c>
      <c r="F33" s="13">
        <v>1.641041</v>
      </c>
      <c r="G33" s="14">
        <f t="shared" si="1"/>
        <v>9.9000000000000008E-3</v>
      </c>
      <c r="H33" s="15" t="s">
        <v>322</v>
      </c>
      <c r="J33" s="14" t="s">
        <v>62</v>
      </c>
      <c r="K33" s="48">
        <f>+SUMIFS($G$5:$G$998,$B$5:$B$998,"CBLO / Reverse Repo")+SUMIFS($G$5:$G$998,$B$5:$B$998,"Net Receivable/Payable")</f>
        <v>6.5799999999999997E-2</v>
      </c>
    </row>
    <row r="34" spans="1:11" ht="12.75" customHeight="1" x14ac:dyDescent="0.2">
      <c r="A34">
        <f>+MAX($A$8:A33)+1</f>
        <v>26</v>
      </c>
      <c r="B34" t="s">
        <v>215</v>
      </c>
      <c r="C34" t="s">
        <v>664</v>
      </c>
      <c r="D34" t="s">
        <v>24</v>
      </c>
      <c r="E34" s="28">
        <v>277</v>
      </c>
      <c r="F34" s="13">
        <v>1.6261285000000001</v>
      </c>
      <c r="G34" s="14">
        <f t="shared" si="1"/>
        <v>9.7999999999999997E-3</v>
      </c>
      <c r="H34" s="15" t="s">
        <v>322</v>
      </c>
      <c r="J34" s="17"/>
      <c r="K34" s="37"/>
    </row>
    <row r="35" spans="1:11" ht="12.75" customHeight="1" x14ac:dyDescent="0.2">
      <c r="A35">
        <f>+MAX($A$8:A34)+1</f>
        <v>27</v>
      </c>
      <c r="B35" t="s">
        <v>212</v>
      </c>
      <c r="C35" t="s">
        <v>76</v>
      </c>
      <c r="D35" t="s">
        <v>49</v>
      </c>
      <c r="E35" s="28">
        <v>614</v>
      </c>
      <c r="F35" s="13">
        <v>1.603154</v>
      </c>
      <c r="G35" s="14">
        <f t="shared" si="1"/>
        <v>9.7000000000000003E-3</v>
      </c>
      <c r="H35" s="15" t="s">
        <v>322</v>
      </c>
      <c r="J35" s="17"/>
      <c r="K35" s="37"/>
    </row>
    <row r="36" spans="1:11" ht="12.75" customHeight="1" x14ac:dyDescent="0.2">
      <c r="A36">
        <f>+MAX($A$8:A35)+1</f>
        <v>28</v>
      </c>
      <c r="B36" t="s">
        <v>217</v>
      </c>
      <c r="C36" t="s">
        <v>96</v>
      </c>
      <c r="D36" t="s">
        <v>19</v>
      </c>
      <c r="E36" s="28">
        <v>171</v>
      </c>
      <c r="F36" s="13">
        <v>1.6004745</v>
      </c>
      <c r="G36" s="14">
        <f t="shared" si="1"/>
        <v>9.7000000000000003E-3</v>
      </c>
      <c r="H36" s="15" t="s">
        <v>322</v>
      </c>
      <c r="J36" s="17"/>
      <c r="K36" s="37"/>
    </row>
    <row r="37" spans="1:11" ht="12.75" customHeight="1" x14ac:dyDescent="0.2">
      <c r="A37">
        <f>+MAX($A$8:A36)+1</f>
        <v>29</v>
      </c>
      <c r="B37" t="s">
        <v>208</v>
      </c>
      <c r="C37" t="s">
        <v>64</v>
      </c>
      <c r="D37" t="s">
        <v>26</v>
      </c>
      <c r="E37" s="28">
        <v>421</v>
      </c>
      <c r="F37" s="13">
        <v>1.4008775</v>
      </c>
      <c r="G37" s="14">
        <f t="shared" si="1"/>
        <v>8.5000000000000006E-3</v>
      </c>
      <c r="H37" s="15" t="s">
        <v>322</v>
      </c>
      <c r="J37" s="17"/>
      <c r="K37" s="37"/>
    </row>
    <row r="38" spans="1:11" ht="12.75" customHeight="1" x14ac:dyDescent="0.2">
      <c r="A38">
        <f>+MAX($A$8:A37)+1</f>
        <v>30</v>
      </c>
      <c r="B38" t="s">
        <v>189</v>
      </c>
      <c r="C38" t="s">
        <v>48</v>
      </c>
      <c r="D38" t="s">
        <v>21</v>
      </c>
      <c r="E38" s="28">
        <v>18</v>
      </c>
      <c r="F38" s="13">
        <v>1.3800239999999999</v>
      </c>
      <c r="G38" s="14">
        <f t="shared" si="1"/>
        <v>8.3000000000000001E-3</v>
      </c>
      <c r="H38" s="15" t="s">
        <v>322</v>
      </c>
      <c r="J38" s="17"/>
      <c r="K38" s="37"/>
    </row>
    <row r="39" spans="1:11" ht="12.75" customHeight="1" x14ac:dyDescent="0.2">
      <c r="A39">
        <f>+MAX($A$8:A38)+1</f>
        <v>31</v>
      </c>
      <c r="B39" t="s">
        <v>190</v>
      </c>
      <c r="C39" t="s">
        <v>50</v>
      </c>
      <c r="D39" t="s">
        <v>39</v>
      </c>
      <c r="E39" s="28">
        <v>1627</v>
      </c>
      <c r="F39" s="13">
        <v>1.3276320000000001</v>
      </c>
      <c r="G39" s="14">
        <f t="shared" si="1"/>
        <v>8.0000000000000002E-3</v>
      </c>
      <c r="H39" s="15" t="s">
        <v>322</v>
      </c>
      <c r="J39" s="17"/>
      <c r="K39" s="37"/>
    </row>
    <row r="40" spans="1:11" ht="12.75" customHeight="1" x14ac:dyDescent="0.2">
      <c r="A40">
        <f>+MAX($A$8:A39)+1</f>
        <v>32</v>
      </c>
      <c r="B40" t="s">
        <v>445</v>
      </c>
      <c r="C40" t="s">
        <v>395</v>
      </c>
      <c r="D40" t="s">
        <v>21</v>
      </c>
      <c r="E40" s="28">
        <v>483</v>
      </c>
      <c r="F40" s="13">
        <v>1.2516944999999999</v>
      </c>
      <c r="G40" s="14">
        <f t="shared" si="1"/>
        <v>7.6E-3</v>
      </c>
      <c r="H40" s="15" t="s">
        <v>322</v>
      </c>
      <c r="J40" s="17"/>
      <c r="K40" s="37"/>
    </row>
    <row r="41" spans="1:11" ht="12.75" customHeight="1" x14ac:dyDescent="0.2">
      <c r="A41">
        <f>+MAX($A$8:A40)+1</f>
        <v>33</v>
      </c>
      <c r="B41" t="s">
        <v>365</v>
      </c>
      <c r="C41" t="s">
        <v>66</v>
      </c>
      <c r="D41" t="s">
        <v>21</v>
      </c>
      <c r="E41" s="28">
        <v>208</v>
      </c>
      <c r="F41" s="13">
        <v>1.18248</v>
      </c>
      <c r="G41" s="14">
        <f t="shared" ref="G41:G71" si="2">+ROUND(F41/VLOOKUP("Grand Total",$B$4:$F$357,5,0),4)</f>
        <v>7.1000000000000004E-3</v>
      </c>
      <c r="H41" s="15" t="s">
        <v>322</v>
      </c>
      <c r="J41" s="17"/>
      <c r="K41" s="37"/>
    </row>
    <row r="42" spans="1:11" ht="12.75" customHeight="1" x14ac:dyDescent="0.2">
      <c r="A42">
        <f>+MAX($A$8:A41)+1</f>
        <v>34</v>
      </c>
      <c r="B42" t="s">
        <v>286</v>
      </c>
      <c r="C42" t="s">
        <v>287</v>
      </c>
      <c r="D42" t="s">
        <v>9</v>
      </c>
      <c r="E42" s="28">
        <v>687</v>
      </c>
      <c r="F42" s="13">
        <v>1.1809529999999999</v>
      </c>
      <c r="G42" s="14">
        <f t="shared" si="2"/>
        <v>7.1000000000000004E-3</v>
      </c>
      <c r="H42" s="15" t="s">
        <v>322</v>
      </c>
      <c r="J42" s="17"/>
      <c r="K42" s="37"/>
    </row>
    <row r="43" spans="1:11" ht="12.75" customHeight="1" x14ac:dyDescent="0.2">
      <c r="A43">
        <f>+MAX($A$8:A42)+1</f>
        <v>35</v>
      </c>
      <c r="B43" t="s">
        <v>38</v>
      </c>
      <c r="C43" t="s">
        <v>40</v>
      </c>
      <c r="D43" t="s">
        <v>9</v>
      </c>
      <c r="E43" s="28">
        <v>752</v>
      </c>
      <c r="F43" s="13">
        <v>1.153192</v>
      </c>
      <c r="G43" s="14">
        <f t="shared" si="2"/>
        <v>7.0000000000000001E-3</v>
      </c>
      <c r="H43" s="15" t="s">
        <v>322</v>
      </c>
      <c r="J43" s="17"/>
      <c r="K43" s="37"/>
    </row>
    <row r="44" spans="1:11" ht="12.75" customHeight="1" x14ac:dyDescent="0.2">
      <c r="A44">
        <f>+MAX($A$8:A43)+1</f>
        <v>36</v>
      </c>
      <c r="B44" t="s">
        <v>155</v>
      </c>
      <c r="C44" t="s">
        <v>166</v>
      </c>
      <c r="D44" t="s">
        <v>9</v>
      </c>
      <c r="E44" s="28">
        <v>400</v>
      </c>
      <c r="F44" s="13">
        <v>1.1379999999999999</v>
      </c>
      <c r="G44" s="14">
        <f t="shared" si="2"/>
        <v>6.8999999999999999E-3</v>
      </c>
      <c r="H44" s="15" t="s">
        <v>322</v>
      </c>
      <c r="J44" s="17"/>
      <c r="K44" s="37"/>
    </row>
    <row r="45" spans="1:11" ht="12.75" customHeight="1" x14ac:dyDescent="0.2">
      <c r="A45">
        <f>+MAX($A$8:A44)+1</f>
        <v>37</v>
      </c>
      <c r="B45" t="s">
        <v>410</v>
      </c>
      <c r="C45" t="s">
        <v>411</v>
      </c>
      <c r="D45" t="s">
        <v>22</v>
      </c>
      <c r="E45" s="28">
        <v>81</v>
      </c>
      <c r="F45" s="13">
        <v>1.1195415</v>
      </c>
      <c r="G45" s="14">
        <f t="shared" si="2"/>
        <v>6.7999999999999996E-3</v>
      </c>
      <c r="H45" s="15" t="s">
        <v>322</v>
      </c>
      <c r="J45" s="17"/>
      <c r="K45" s="37"/>
    </row>
    <row r="46" spans="1:11" ht="12.75" customHeight="1" x14ac:dyDescent="0.2">
      <c r="A46">
        <f>+MAX($A$8:A45)+1</f>
        <v>38</v>
      </c>
      <c r="B46" t="s">
        <v>181</v>
      </c>
      <c r="C46" t="s">
        <v>23</v>
      </c>
      <c r="D46" t="s">
        <v>13</v>
      </c>
      <c r="E46" s="28">
        <v>115</v>
      </c>
      <c r="F46" s="13">
        <v>1.1098650000000001</v>
      </c>
      <c r="G46" s="14">
        <f t="shared" si="2"/>
        <v>6.7000000000000002E-3</v>
      </c>
      <c r="H46" s="15" t="s">
        <v>322</v>
      </c>
      <c r="J46" s="17"/>
      <c r="K46" s="37"/>
    </row>
    <row r="47" spans="1:11" ht="12.75" customHeight="1" x14ac:dyDescent="0.2">
      <c r="A47">
        <f>+MAX($A$8:A46)+1</f>
        <v>39</v>
      </c>
      <c r="B47" t="s">
        <v>470</v>
      </c>
      <c r="C47" t="s">
        <v>471</v>
      </c>
      <c r="D47" t="s">
        <v>102</v>
      </c>
      <c r="E47" s="28">
        <v>1427</v>
      </c>
      <c r="F47" s="13">
        <v>1.105925</v>
      </c>
      <c r="G47" s="14">
        <f t="shared" si="2"/>
        <v>6.7000000000000002E-3</v>
      </c>
      <c r="H47" s="15" t="s">
        <v>322</v>
      </c>
      <c r="J47" s="17"/>
      <c r="K47" s="37"/>
    </row>
    <row r="48" spans="1:11" ht="12.75" customHeight="1" x14ac:dyDescent="0.2">
      <c r="A48">
        <f>+MAX($A$8:A47)+1</f>
        <v>40</v>
      </c>
      <c r="B48" t="s">
        <v>297</v>
      </c>
      <c r="C48" t="s">
        <v>298</v>
      </c>
      <c r="D48" t="s">
        <v>17</v>
      </c>
      <c r="E48" s="28">
        <v>142</v>
      </c>
      <c r="F48" s="13">
        <v>1.1027010000000002</v>
      </c>
      <c r="G48" s="14">
        <f t="shared" si="2"/>
        <v>6.7000000000000002E-3</v>
      </c>
      <c r="H48" s="15" t="s">
        <v>322</v>
      </c>
      <c r="J48" s="17"/>
      <c r="K48" s="37"/>
    </row>
    <row r="49" spans="1:11" ht="12.75" customHeight="1" x14ac:dyDescent="0.2">
      <c r="A49">
        <f>+MAX($A$8:A48)+1</f>
        <v>41</v>
      </c>
      <c r="B49" t="s">
        <v>484</v>
      </c>
      <c r="C49" t="s">
        <v>485</v>
      </c>
      <c r="D49" t="s">
        <v>102</v>
      </c>
      <c r="E49" s="28">
        <v>1329</v>
      </c>
      <c r="F49" s="13">
        <v>1.0970895000000001</v>
      </c>
      <c r="G49" s="14">
        <f t="shared" si="2"/>
        <v>6.6E-3</v>
      </c>
      <c r="H49" s="15" t="s">
        <v>322</v>
      </c>
      <c r="J49" s="17"/>
      <c r="K49" s="37"/>
    </row>
    <row r="50" spans="1:11" ht="12.75" customHeight="1" x14ac:dyDescent="0.2">
      <c r="A50">
        <f>+MAX($A$8:A49)+1</f>
        <v>42</v>
      </c>
      <c r="B50" t="s">
        <v>204</v>
      </c>
      <c r="C50" t="s">
        <v>61</v>
      </c>
      <c r="D50" t="s">
        <v>34</v>
      </c>
      <c r="E50" s="28">
        <v>292</v>
      </c>
      <c r="F50" s="13">
        <v>1.0938319999999999</v>
      </c>
      <c r="G50" s="14">
        <f t="shared" si="2"/>
        <v>6.6E-3</v>
      </c>
      <c r="H50" s="15" t="s">
        <v>322</v>
      </c>
      <c r="J50" s="17"/>
      <c r="K50" s="37"/>
    </row>
    <row r="51" spans="1:11" ht="12.75" customHeight="1" x14ac:dyDescent="0.2">
      <c r="A51">
        <f>+MAX($A$8:A50)+1</f>
        <v>43</v>
      </c>
      <c r="B51" t="s">
        <v>318</v>
      </c>
      <c r="C51" t="s">
        <v>319</v>
      </c>
      <c r="D51" t="s">
        <v>36</v>
      </c>
      <c r="E51" s="28">
        <v>1502</v>
      </c>
      <c r="F51" s="13">
        <v>1.083693</v>
      </c>
      <c r="G51" s="14">
        <f t="shared" si="2"/>
        <v>6.4999999999999997E-3</v>
      </c>
      <c r="H51" s="15" t="s">
        <v>322</v>
      </c>
      <c r="J51" s="17"/>
      <c r="K51" s="37"/>
    </row>
    <row r="52" spans="1:11" ht="12.75" customHeight="1" x14ac:dyDescent="0.2">
      <c r="A52">
        <f>+MAX($A$8:A51)+1</f>
        <v>44</v>
      </c>
      <c r="B52" t="s">
        <v>481</v>
      </c>
      <c r="C52" t="s">
        <v>355</v>
      </c>
      <c r="D52" t="s">
        <v>9</v>
      </c>
      <c r="E52" s="28">
        <v>1058</v>
      </c>
      <c r="F52" s="13">
        <v>1.0585289999999998</v>
      </c>
      <c r="G52" s="14">
        <f t="shared" si="2"/>
        <v>6.4000000000000003E-3</v>
      </c>
      <c r="H52" s="15" t="s">
        <v>322</v>
      </c>
      <c r="J52" s="17"/>
      <c r="K52" s="37"/>
    </row>
    <row r="53" spans="1:11" ht="12.75" customHeight="1" x14ac:dyDescent="0.2">
      <c r="A53">
        <f>+MAX($A$8:A52)+1</f>
        <v>45</v>
      </c>
      <c r="B53" t="s">
        <v>225</v>
      </c>
      <c r="C53" t="s">
        <v>108</v>
      </c>
      <c r="D53" t="s">
        <v>19</v>
      </c>
      <c r="E53" s="28">
        <v>32</v>
      </c>
      <c r="F53" s="13">
        <v>1.054224</v>
      </c>
      <c r="G53" s="14">
        <f t="shared" si="2"/>
        <v>6.4000000000000003E-3</v>
      </c>
      <c r="H53" s="15" t="s">
        <v>322</v>
      </c>
      <c r="J53" s="17"/>
      <c r="K53" s="37"/>
    </row>
    <row r="54" spans="1:11" ht="12.75" customHeight="1" x14ac:dyDescent="0.2">
      <c r="A54">
        <f>+MAX($A$8:A53)+1</f>
        <v>46</v>
      </c>
      <c r="B54" t="s">
        <v>207</v>
      </c>
      <c r="C54" t="s">
        <v>68</v>
      </c>
      <c r="D54" t="s">
        <v>9</v>
      </c>
      <c r="E54" s="28">
        <v>1167</v>
      </c>
      <c r="F54" s="13">
        <v>1.0386299999999999</v>
      </c>
      <c r="G54" s="14">
        <f t="shared" si="2"/>
        <v>6.3E-3</v>
      </c>
      <c r="H54" s="15" t="s">
        <v>322</v>
      </c>
      <c r="J54" s="17"/>
      <c r="K54" s="37"/>
    </row>
    <row r="55" spans="1:11" ht="12.75" customHeight="1" x14ac:dyDescent="0.2">
      <c r="A55">
        <f>+MAX($A$8:A54)+1</f>
        <v>47</v>
      </c>
      <c r="B55" t="s">
        <v>188</v>
      </c>
      <c r="C55" t="s">
        <v>51</v>
      </c>
      <c r="D55" t="s">
        <v>17</v>
      </c>
      <c r="E55" s="28">
        <v>24</v>
      </c>
      <c r="F55" s="13">
        <v>1.0065120000000001</v>
      </c>
      <c r="G55" s="14">
        <f t="shared" si="2"/>
        <v>6.1000000000000004E-3</v>
      </c>
      <c r="H55" s="15" t="s">
        <v>322</v>
      </c>
      <c r="J55" s="17"/>
      <c r="K55" s="37"/>
    </row>
    <row r="56" spans="1:11" ht="12.75" customHeight="1" x14ac:dyDescent="0.2">
      <c r="A56">
        <f>+MAX($A$8:A55)+1</f>
        <v>48</v>
      </c>
      <c r="B56" t="s">
        <v>199</v>
      </c>
      <c r="C56" t="s">
        <v>59</v>
      </c>
      <c r="D56" t="s">
        <v>21</v>
      </c>
      <c r="E56" s="28">
        <v>168</v>
      </c>
      <c r="F56" s="13">
        <v>0.99380399999999991</v>
      </c>
      <c r="G56" s="14">
        <f t="shared" si="2"/>
        <v>6.0000000000000001E-3</v>
      </c>
      <c r="H56" s="15" t="s">
        <v>322</v>
      </c>
      <c r="J56" s="17"/>
      <c r="K56" s="37"/>
    </row>
    <row r="57" spans="1:11" ht="12.75" customHeight="1" x14ac:dyDescent="0.2">
      <c r="A57">
        <f>+MAX($A$8:A56)+1</f>
        <v>49</v>
      </c>
      <c r="B57" t="s">
        <v>183</v>
      </c>
      <c r="C57" t="s">
        <v>37</v>
      </c>
      <c r="D57" t="s">
        <v>19</v>
      </c>
      <c r="E57" s="28">
        <v>36</v>
      </c>
      <c r="F57" s="13">
        <v>0.97201800000000005</v>
      </c>
      <c r="G57" s="14">
        <f t="shared" si="2"/>
        <v>5.8999999999999999E-3</v>
      </c>
      <c r="H57" s="15" t="s">
        <v>322</v>
      </c>
      <c r="J57" s="17"/>
      <c r="K57" s="37"/>
    </row>
    <row r="58" spans="1:11" ht="12.75" customHeight="1" x14ac:dyDescent="0.2">
      <c r="A58">
        <f>+MAX($A$8:A57)+1</f>
        <v>50</v>
      </c>
      <c r="B58" t="s">
        <v>214</v>
      </c>
      <c r="C58" t="s">
        <v>78</v>
      </c>
      <c r="D58" t="s">
        <v>43</v>
      </c>
      <c r="E58" s="28">
        <v>344</v>
      </c>
      <c r="F58" s="13">
        <v>0.96337200000000001</v>
      </c>
      <c r="G58" s="14">
        <f t="shared" si="2"/>
        <v>5.7999999999999996E-3</v>
      </c>
      <c r="H58" s="15" t="s">
        <v>322</v>
      </c>
      <c r="J58" s="17"/>
      <c r="K58" s="37"/>
    </row>
    <row r="59" spans="1:11" ht="12.75" customHeight="1" x14ac:dyDescent="0.2">
      <c r="A59">
        <f>+MAX($A$8:A58)+1</f>
        <v>51</v>
      </c>
      <c r="B59" t="s">
        <v>510</v>
      </c>
      <c r="C59" t="s">
        <v>511</v>
      </c>
      <c r="D59" t="s">
        <v>35</v>
      </c>
      <c r="E59" s="28">
        <v>101</v>
      </c>
      <c r="F59" s="13">
        <v>0.93899699999999997</v>
      </c>
      <c r="G59" s="14">
        <f t="shared" si="2"/>
        <v>5.7000000000000002E-3</v>
      </c>
      <c r="H59" s="15" t="s">
        <v>322</v>
      </c>
      <c r="J59" s="17"/>
      <c r="K59" s="37"/>
    </row>
    <row r="60" spans="1:11" ht="12.75" customHeight="1" x14ac:dyDescent="0.2">
      <c r="A60">
        <f>+MAX($A$8:A59)+1</f>
        <v>52</v>
      </c>
      <c r="B60" t="s">
        <v>408</v>
      </c>
      <c r="C60" t="s">
        <v>409</v>
      </c>
      <c r="D60" t="s">
        <v>41</v>
      </c>
      <c r="E60" s="28">
        <v>110</v>
      </c>
      <c r="F60" s="13">
        <v>0.919655</v>
      </c>
      <c r="G60" s="14">
        <f t="shared" si="2"/>
        <v>5.4999999999999997E-3</v>
      </c>
      <c r="H60" s="15" t="s">
        <v>322</v>
      </c>
      <c r="J60" s="17"/>
      <c r="K60" s="37"/>
    </row>
    <row r="61" spans="1:11" ht="12.75" customHeight="1" x14ac:dyDescent="0.2">
      <c r="A61">
        <f>+MAX($A$8:A60)+1</f>
        <v>53</v>
      </c>
      <c r="B61" t="s">
        <v>201</v>
      </c>
      <c r="C61" t="s">
        <v>27</v>
      </c>
      <c r="D61" t="s">
        <v>9</v>
      </c>
      <c r="E61" s="28">
        <v>167</v>
      </c>
      <c r="F61" s="13">
        <v>0.91916799999999999</v>
      </c>
      <c r="G61" s="14">
        <f t="shared" si="2"/>
        <v>5.4999999999999997E-3</v>
      </c>
      <c r="H61" s="15" t="s">
        <v>322</v>
      </c>
      <c r="J61" s="17"/>
      <c r="K61" s="37"/>
    </row>
    <row r="62" spans="1:11" ht="12.75" customHeight="1" x14ac:dyDescent="0.2">
      <c r="A62">
        <f>+MAX($A$8:A61)+1</f>
        <v>54</v>
      </c>
      <c r="B62" t="s">
        <v>450</v>
      </c>
      <c r="C62" t="s">
        <v>451</v>
      </c>
      <c r="D62" t="s">
        <v>9</v>
      </c>
      <c r="E62" s="28">
        <v>1466</v>
      </c>
      <c r="F62" s="13">
        <v>0.90965300000000004</v>
      </c>
      <c r="G62" s="14">
        <f t="shared" si="2"/>
        <v>5.4999999999999997E-3</v>
      </c>
      <c r="H62" s="15" t="s">
        <v>322</v>
      </c>
      <c r="J62" s="17"/>
      <c r="K62" s="37"/>
    </row>
    <row r="63" spans="1:11" ht="12.75" customHeight="1" x14ac:dyDescent="0.2">
      <c r="A63">
        <f>+MAX($A$8:A62)+1</f>
        <v>55</v>
      </c>
      <c r="B63" t="s">
        <v>516</v>
      </c>
      <c r="C63" t="s">
        <v>517</v>
      </c>
      <c r="D63" t="s">
        <v>30</v>
      </c>
      <c r="E63" s="28">
        <v>401</v>
      </c>
      <c r="F63" s="13">
        <v>0.81663649999999999</v>
      </c>
      <c r="G63" s="14">
        <f t="shared" si="2"/>
        <v>4.8999999999999998E-3</v>
      </c>
      <c r="H63" s="15" t="s">
        <v>322</v>
      </c>
      <c r="J63" s="17"/>
      <c r="K63" s="37"/>
    </row>
    <row r="64" spans="1:11" ht="12.75" customHeight="1" x14ac:dyDescent="0.2">
      <c r="A64">
        <f>+MAX($A$8:A63)+1</f>
        <v>56</v>
      </c>
      <c r="B64" t="s">
        <v>198</v>
      </c>
      <c r="C64" t="s">
        <v>63</v>
      </c>
      <c r="D64" t="s">
        <v>32</v>
      </c>
      <c r="E64" s="28">
        <v>208</v>
      </c>
      <c r="F64" s="13">
        <v>0.81244800000000006</v>
      </c>
      <c r="G64" s="14">
        <f t="shared" si="2"/>
        <v>4.8999999999999998E-3</v>
      </c>
      <c r="H64" s="15" t="s">
        <v>322</v>
      </c>
      <c r="J64" s="17"/>
      <c r="K64" s="37"/>
    </row>
    <row r="65" spans="1:12" ht="12.75" customHeight="1" x14ac:dyDescent="0.2">
      <c r="A65">
        <f>+MAX($A$8:A64)+1</f>
        <v>57</v>
      </c>
      <c r="B65" t="s">
        <v>446</v>
      </c>
      <c r="C65" t="s">
        <v>447</v>
      </c>
      <c r="D65" t="s">
        <v>127</v>
      </c>
      <c r="E65" s="28">
        <v>407</v>
      </c>
      <c r="F65" s="13">
        <v>0.79975499999999999</v>
      </c>
      <c r="G65" s="14">
        <f t="shared" si="2"/>
        <v>4.7999999999999996E-3</v>
      </c>
      <c r="H65" s="15" t="s">
        <v>322</v>
      </c>
      <c r="J65" s="17"/>
      <c r="K65" s="37"/>
    </row>
    <row r="66" spans="1:12" ht="12.75" customHeight="1" x14ac:dyDescent="0.2">
      <c r="A66">
        <f>+MAX($A$8:A65)+1</f>
        <v>58</v>
      </c>
      <c r="B66" t="s">
        <v>191</v>
      </c>
      <c r="C66" t="s">
        <v>31</v>
      </c>
      <c r="D66" t="s">
        <v>17</v>
      </c>
      <c r="E66" s="28">
        <v>90</v>
      </c>
      <c r="F66" s="13">
        <v>0.69137999999999999</v>
      </c>
      <c r="G66" s="14">
        <f t="shared" si="2"/>
        <v>4.1999999999999997E-3</v>
      </c>
      <c r="H66" s="15" t="s">
        <v>322</v>
      </c>
      <c r="J66" s="17"/>
      <c r="K66" s="37"/>
    </row>
    <row r="67" spans="1:12" ht="12.75" customHeight="1" x14ac:dyDescent="0.2">
      <c r="A67">
        <f>+MAX($A$8:A66)+1</f>
        <v>59</v>
      </c>
      <c r="B67" t="s">
        <v>448</v>
      </c>
      <c r="C67" t="s">
        <v>449</v>
      </c>
      <c r="D67" t="s">
        <v>43</v>
      </c>
      <c r="E67" s="28">
        <v>1114</v>
      </c>
      <c r="F67" s="13">
        <v>0.68566699999999992</v>
      </c>
      <c r="G67" s="14">
        <f t="shared" si="2"/>
        <v>4.1000000000000003E-3</v>
      </c>
      <c r="H67" s="15" t="s">
        <v>322</v>
      </c>
      <c r="J67" s="17"/>
      <c r="K67" s="37"/>
    </row>
    <row r="68" spans="1:12" ht="12.75" customHeight="1" x14ac:dyDescent="0.2">
      <c r="A68">
        <f>+MAX($A$8:A67)+1</f>
        <v>60</v>
      </c>
      <c r="B68" t="s">
        <v>366</v>
      </c>
      <c r="C68" t="s">
        <v>367</v>
      </c>
      <c r="D68" t="s">
        <v>368</v>
      </c>
      <c r="E68" s="28">
        <v>335</v>
      </c>
      <c r="F68" s="13">
        <v>0.55710499999999996</v>
      </c>
      <c r="G68" s="14">
        <f t="shared" si="2"/>
        <v>3.3999999999999998E-3</v>
      </c>
      <c r="H68" s="15" t="s">
        <v>322</v>
      </c>
      <c r="J68" s="17"/>
      <c r="K68" s="37"/>
    </row>
    <row r="69" spans="1:12" ht="12.75" customHeight="1" x14ac:dyDescent="0.2">
      <c r="A69">
        <f>+MAX($A$8:A68)+1</f>
        <v>61</v>
      </c>
      <c r="B69" t="s">
        <v>482</v>
      </c>
      <c r="C69" t="s">
        <v>483</v>
      </c>
      <c r="D69" t="s">
        <v>9</v>
      </c>
      <c r="E69" s="28">
        <v>1151</v>
      </c>
      <c r="F69" s="13">
        <v>0.52025199999999994</v>
      </c>
      <c r="G69" s="14">
        <f t="shared" si="2"/>
        <v>3.0999999999999999E-3</v>
      </c>
      <c r="H69" s="15" t="s">
        <v>322</v>
      </c>
      <c r="J69" s="17"/>
      <c r="K69" s="37"/>
    </row>
    <row r="70" spans="1:12" ht="12.75" customHeight="1" x14ac:dyDescent="0.2">
      <c r="A70">
        <f>+MAX($A$8:A69)+1</f>
        <v>62</v>
      </c>
      <c r="B70" t="s">
        <v>284</v>
      </c>
      <c r="C70" t="s">
        <v>70</v>
      </c>
      <c r="D70" t="s">
        <v>26</v>
      </c>
      <c r="E70" s="28">
        <v>2374</v>
      </c>
      <c r="F70" s="13">
        <v>0.277758</v>
      </c>
      <c r="G70" s="14">
        <f t="shared" si="2"/>
        <v>1.6999999999999999E-3</v>
      </c>
      <c r="H70" s="15" t="s">
        <v>322</v>
      </c>
      <c r="J70" s="17"/>
      <c r="K70" s="37"/>
    </row>
    <row r="71" spans="1:12" ht="12.75" customHeight="1" x14ac:dyDescent="0.2">
      <c r="A71">
        <f>+MAX($A$8:A70)+1</f>
        <v>63</v>
      </c>
      <c r="B71" t="s">
        <v>203</v>
      </c>
      <c r="C71" t="s">
        <v>73</v>
      </c>
      <c r="D71" t="s">
        <v>34</v>
      </c>
      <c r="E71" s="28">
        <v>6095</v>
      </c>
      <c r="F71" s="13">
        <v>0.22551499999999999</v>
      </c>
      <c r="G71" s="14">
        <f t="shared" si="2"/>
        <v>1.4E-3</v>
      </c>
      <c r="H71" s="15" t="s">
        <v>322</v>
      </c>
      <c r="J71" s="17"/>
      <c r="K71" s="37"/>
    </row>
    <row r="72" spans="1:12" ht="12.75" customHeight="1" x14ac:dyDescent="0.2">
      <c r="B72" s="18" t="s">
        <v>82</v>
      </c>
      <c r="C72" s="18"/>
      <c r="D72" s="18"/>
      <c r="E72" s="29"/>
      <c r="F72" s="19">
        <f>SUM(F9:F71)</f>
        <v>109.43604450000004</v>
      </c>
      <c r="G72" s="20">
        <f>SUM(G9:G71)</f>
        <v>0.66079999999999994</v>
      </c>
      <c r="H72" s="21"/>
      <c r="I72" s="35"/>
    </row>
    <row r="73" spans="1:12" ht="11.25" customHeight="1" x14ac:dyDescent="0.2">
      <c r="F73" s="13"/>
      <c r="G73" s="14"/>
      <c r="H73" s="15"/>
      <c r="L73" s="54">
        <f>+SUM($K$11:K11)</f>
        <v>5.2299999999999999E-2</v>
      </c>
    </row>
    <row r="74" spans="1:12" ht="12.75" customHeight="1" x14ac:dyDescent="0.2">
      <c r="B74" s="16" t="s">
        <v>89</v>
      </c>
      <c r="C74" s="16"/>
      <c r="F74" s="13"/>
      <c r="G74" s="14"/>
      <c r="H74" s="15"/>
    </row>
    <row r="75" spans="1:12" ht="12.75" customHeight="1" x14ac:dyDescent="0.2">
      <c r="A75">
        <f>+MAX($A$8:A74)+1</f>
        <v>64</v>
      </c>
      <c r="B75" t="s">
        <v>294</v>
      </c>
      <c r="C75" t="s">
        <v>270</v>
      </c>
      <c r="D75" t="s">
        <v>285</v>
      </c>
      <c r="E75" s="28">
        <v>1549.4143999999999</v>
      </c>
      <c r="F75" s="13">
        <v>45.308781600000003</v>
      </c>
      <c r="G75" s="14">
        <f>+ROUND(F75/VLOOKUP("Grand Total",$B$4:$F$357,5,0),4)</f>
        <v>0.27339999999999998</v>
      </c>
      <c r="H75" s="15" t="s">
        <v>322</v>
      </c>
      <c r="J75" s="17"/>
      <c r="K75" s="37"/>
    </row>
    <row r="76" spans="1:12" ht="12.75" customHeight="1" x14ac:dyDescent="0.2">
      <c r="B76" s="18" t="s">
        <v>82</v>
      </c>
      <c r="C76" s="18"/>
      <c r="D76" s="18"/>
      <c r="E76" s="29"/>
      <c r="F76" s="19">
        <f>SUM(F75:F75)</f>
        <v>45.308781600000003</v>
      </c>
      <c r="G76" s="20">
        <f>SUM(G75:G75)</f>
        <v>0.27339999999999998</v>
      </c>
      <c r="H76" s="21"/>
      <c r="I76" s="35"/>
    </row>
    <row r="77" spans="1:12" ht="11.25" customHeight="1" x14ac:dyDescent="0.2">
      <c r="F77" s="13"/>
      <c r="G77" s="14"/>
      <c r="H77" s="15"/>
      <c r="L77" s="54"/>
    </row>
    <row r="78" spans="1:12" ht="12.75" customHeight="1" x14ac:dyDescent="0.2">
      <c r="B78" s="16" t="s">
        <v>91</v>
      </c>
      <c r="C78" s="16"/>
      <c r="F78" s="13"/>
      <c r="G78" s="14"/>
      <c r="H78" s="15"/>
    </row>
    <row r="79" spans="1:12" ht="12.75" customHeight="1" x14ac:dyDescent="0.2">
      <c r="A79" s="94" t="s">
        <v>321</v>
      </c>
      <c r="B79" s="16" t="s">
        <v>658</v>
      </c>
      <c r="C79" s="16"/>
      <c r="F79" s="13">
        <v>5.6907500000000004</v>
      </c>
      <c r="G79" s="14">
        <f>+ROUND(F79/VLOOKUP("Grand Total",$B$4:$F$350,5,0),4)</f>
        <v>3.4299999999999997E-2</v>
      </c>
      <c r="H79" s="15">
        <v>43313</v>
      </c>
    </row>
    <row r="80" spans="1:12" ht="12.75" customHeight="1" x14ac:dyDescent="0.2">
      <c r="B80" s="16" t="s">
        <v>92</v>
      </c>
      <c r="C80" s="16"/>
      <c r="F80" s="13">
        <v>5.2765568999999459</v>
      </c>
      <c r="G80" s="14">
        <f>+ROUND(F80/VLOOKUP("Grand Total",$B$4:$F$357,5,0),4)-0.03%</f>
        <v>3.15E-2</v>
      </c>
      <c r="H80" s="15"/>
    </row>
    <row r="81" spans="2:9" ht="12.75" customHeight="1" x14ac:dyDescent="0.2">
      <c r="B81" s="18" t="s">
        <v>82</v>
      </c>
      <c r="C81" s="18"/>
      <c r="D81" s="18"/>
      <c r="E81" s="29"/>
      <c r="F81" s="19">
        <f>SUM(F79:F80)</f>
        <v>10.967306899999947</v>
      </c>
      <c r="G81" s="20">
        <f>SUM(G79:G80)</f>
        <v>6.5799999999999997E-2</v>
      </c>
      <c r="H81" s="21"/>
      <c r="I81" s="35"/>
    </row>
    <row r="82" spans="2:9" ht="12.75" customHeight="1" x14ac:dyDescent="0.2">
      <c r="B82" s="22" t="s">
        <v>93</v>
      </c>
      <c r="C82" s="22"/>
      <c r="D82" s="22"/>
      <c r="E82" s="30"/>
      <c r="F82" s="23">
        <f>+SUMIF($B$5:B81,"Total",$F$5:F81)</f>
        <v>165.71213299999999</v>
      </c>
      <c r="G82" s="24">
        <f>+SUMIF($B$5:B81,"Total",$G$5:G81)</f>
        <v>0.99999999999999989</v>
      </c>
      <c r="H82" s="25"/>
      <c r="I82" s="35"/>
    </row>
    <row r="83" spans="2:9" ht="12.75" customHeight="1" x14ac:dyDescent="0.2"/>
    <row r="84" spans="2:9" ht="12.75" customHeight="1" x14ac:dyDescent="0.2">
      <c r="B84" s="16"/>
      <c r="C84" s="16"/>
    </row>
    <row r="85" spans="2:9" ht="12.75" customHeight="1" x14ac:dyDescent="0.2">
      <c r="B85" s="16"/>
      <c r="C85" s="16"/>
    </row>
    <row r="86" spans="2:9" ht="12.75" customHeight="1" x14ac:dyDescent="0.2">
      <c r="B86" s="16"/>
      <c r="C86" s="16"/>
    </row>
    <row r="87" spans="2:9" ht="12.75" customHeight="1" x14ac:dyDescent="0.2">
      <c r="B87" s="16"/>
      <c r="C87" s="16"/>
    </row>
    <row r="88" spans="2:9" ht="12.75" customHeight="1" x14ac:dyDescent="0.2">
      <c r="B88" s="16"/>
      <c r="C88" s="16"/>
    </row>
    <row r="89" spans="2:9" ht="12.75" customHeight="1" x14ac:dyDescent="0.2"/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52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8.140625" customWidth="1"/>
    <col min="4" max="4" width="25.42578125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21.5703125" customWidth="1"/>
    <col min="12" max="12" width="8" style="36" customWidth="1"/>
    <col min="14" max="14" width="23.7109375" bestFit="1" customWidth="1"/>
    <col min="18" max="18" width="16.7109375" bestFit="1" customWidth="1"/>
  </cols>
  <sheetData>
    <row r="1" spans="1:17" ht="18.75" x14ac:dyDescent="0.2">
      <c r="A1" s="93" t="s">
        <v>328</v>
      </c>
      <c r="B1" s="129" t="s">
        <v>659</v>
      </c>
      <c r="C1" s="130"/>
      <c r="D1" s="130"/>
      <c r="E1" s="130"/>
      <c r="F1" s="130"/>
      <c r="G1" s="130"/>
      <c r="H1" s="130"/>
      <c r="I1" s="131"/>
    </row>
    <row r="2" spans="1:17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126" t="s">
        <v>705</v>
      </c>
      <c r="I4" s="32" t="s">
        <v>6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8</v>
      </c>
      <c r="C7" s="16"/>
      <c r="F7" s="13"/>
      <c r="G7" s="14"/>
      <c r="H7" s="14"/>
      <c r="I7" s="15"/>
    </row>
    <row r="8" spans="1:17" ht="12.75" customHeight="1" x14ac:dyDescent="0.2">
      <c r="B8" s="16" t="s">
        <v>356</v>
      </c>
      <c r="C8" s="16"/>
      <c r="F8" s="13"/>
      <c r="G8" s="14"/>
      <c r="H8" s="14"/>
      <c r="I8" s="60"/>
      <c r="K8" s="17" t="s">
        <v>509</v>
      </c>
      <c r="L8" s="101" t="s">
        <v>11</v>
      </c>
      <c r="Q8" s="65"/>
    </row>
    <row r="9" spans="1:17" s="65" customFormat="1" ht="12.75" customHeight="1" x14ac:dyDescent="0.2">
      <c r="A9" s="77">
        <f>+MAX($A$8:A8)+1</f>
        <v>1</v>
      </c>
      <c r="B9" s="77" t="s">
        <v>216</v>
      </c>
      <c r="C9" s="65" t="s">
        <v>97</v>
      </c>
      <c r="D9" s="77" t="s">
        <v>24</v>
      </c>
      <c r="E9" s="74">
        <v>26096</v>
      </c>
      <c r="F9" s="79">
        <v>451.89138399999996</v>
      </c>
      <c r="G9" s="76">
        <f t="shared" ref="G9:G33" si="0">+ROUND(F9/VLOOKUP("Grand Total",$B$4:$F$282,5,0),4)</f>
        <v>2.5399999999999999E-2</v>
      </c>
      <c r="H9" s="76"/>
      <c r="I9" s="90" t="s">
        <v>322</v>
      </c>
      <c r="J9" s="100"/>
      <c r="K9" s="65" t="s">
        <v>22</v>
      </c>
      <c r="L9" s="102">
        <f t="shared" ref="L9:L28" si="1">SUMIFS($G$5:$G$298,$D$5:$D$298,K9)</f>
        <v>0.1368</v>
      </c>
    </row>
    <row r="10" spans="1:17" s="65" customFormat="1" ht="12.75" customHeight="1" x14ac:dyDescent="0.2">
      <c r="A10" s="77">
        <f>+MAX($A$8:A9)+1</f>
        <v>2</v>
      </c>
      <c r="B10" s="77" t="s">
        <v>176</v>
      </c>
      <c r="C10" s="65" t="s">
        <v>12</v>
      </c>
      <c r="D10" s="77" t="s">
        <v>9</v>
      </c>
      <c r="E10" s="74">
        <v>18561</v>
      </c>
      <c r="F10" s="79">
        <v>404.53699499999999</v>
      </c>
      <c r="G10" s="76">
        <f t="shared" si="0"/>
        <v>2.2800000000000001E-2</v>
      </c>
      <c r="H10" s="76"/>
      <c r="I10" s="90" t="s">
        <v>322</v>
      </c>
      <c r="J10" s="100"/>
      <c r="K10" s="14" t="s">
        <v>21</v>
      </c>
      <c r="L10" s="102">
        <f t="shared" si="1"/>
        <v>0.1011</v>
      </c>
    </row>
    <row r="11" spans="1:17" s="65" customFormat="1" ht="12.75" customHeight="1" x14ac:dyDescent="0.2">
      <c r="A11" s="77">
        <f>+MAX($A$8:A10)+1</f>
        <v>3</v>
      </c>
      <c r="B11" s="77" t="s">
        <v>345</v>
      </c>
      <c r="C11" s="65" t="s">
        <v>344</v>
      </c>
      <c r="D11" s="77" t="s">
        <v>24</v>
      </c>
      <c r="E11" s="74">
        <v>81480</v>
      </c>
      <c r="F11" s="79">
        <v>343.47894000000002</v>
      </c>
      <c r="G11" s="76">
        <f t="shared" si="0"/>
        <v>1.9300000000000001E-2</v>
      </c>
      <c r="H11" s="76"/>
      <c r="I11" s="90" t="s">
        <v>322</v>
      </c>
      <c r="J11" s="100"/>
      <c r="K11" s="65" t="s">
        <v>9</v>
      </c>
      <c r="L11" s="102">
        <f t="shared" si="1"/>
        <v>9.0200000000000002E-2</v>
      </c>
    </row>
    <row r="12" spans="1:17" s="65" customFormat="1" ht="12.75" customHeight="1" x14ac:dyDescent="0.2">
      <c r="A12" s="77">
        <f>+MAX($A$8:A11)+1</f>
        <v>4</v>
      </c>
      <c r="B12" s="77" t="s">
        <v>182</v>
      </c>
      <c r="C12" s="65" t="s">
        <v>25</v>
      </c>
      <c r="D12" s="77" t="s">
        <v>22</v>
      </c>
      <c r="E12" s="74">
        <v>15944</v>
      </c>
      <c r="F12" s="79">
        <v>318.05888399999998</v>
      </c>
      <c r="G12" s="76">
        <f t="shared" si="0"/>
        <v>1.7899999999999999E-2</v>
      </c>
      <c r="H12" s="76"/>
      <c r="I12" s="90" t="s">
        <v>322</v>
      </c>
      <c r="J12" s="100"/>
      <c r="K12" s="65" t="s">
        <v>19</v>
      </c>
      <c r="L12" s="102">
        <f t="shared" si="1"/>
        <v>8.6699999999999985E-2</v>
      </c>
    </row>
    <row r="13" spans="1:17" s="65" customFormat="1" ht="12.75" customHeight="1" x14ac:dyDescent="0.2">
      <c r="A13" s="77">
        <f>+MAX($A$8:A12)+1</f>
        <v>5</v>
      </c>
      <c r="B13" s="77" t="s">
        <v>200</v>
      </c>
      <c r="C13" s="65" t="s">
        <v>18</v>
      </c>
      <c r="D13" s="77" t="s">
        <v>13</v>
      </c>
      <c r="E13" s="74">
        <v>15890</v>
      </c>
      <c r="F13" s="79">
        <v>308.29777999999999</v>
      </c>
      <c r="G13" s="76">
        <f t="shared" si="0"/>
        <v>1.7399999999999999E-2</v>
      </c>
      <c r="H13" s="76"/>
      <c r="I13" s="90" t="s">
        <v>322</v>
      </c>
      <c r="J13" s="100"/>
      <c r="K13" s="89" t="s">
        <v>24</v>
      </c>
      <c r="L13" s="102">
        <f t="shared" si="1"/>
        <v>8.0600000000000005E-2</v>
      </c>
    </row>
    <row r="14" spans="1:17" s="65" customFormat="1" ht="12.75" customHeight="1" x14ac:dyDescent="0.2">
      <c r="A14" s="77">
        <f>+MAX($A$8:A13)+1</f>
        <v>6</v>
      </c>
      <c r="B14" s="77" t="s">
        <v>178</v>
      </c>
      <c r="C14" s="65" t="s">
        <v>29</v>
      </c>
      <c r="D14" s="77" t="s">
        <v>28</v>
      </c>
      <c r="E14" s="74">
        <v>25599</v>
      </c>
      <c r="F14" s="79">
        <v>303.60413999999997</v>
      </c>
      <c r="G14" s="76">
        <f t="shared" si="0"/>
        <v>1.7100000000000001E-2</v>
      </c>
      <c r="H14" s="76"/>
      <c r="I14" s="90" t="s">
        <v>322</v>
      </c>
      <c r="J14" s="100"/>
      <c r="K14" s="14" t="s">
        <v>152</v>
      </c>
      <c r="L14" s="102">
        <f t="shared" si="1"/>
        <v>6.1700000000000005E-2</v>
      </c>
    </row>
    <row r="15" spans="1:17" s="65" customFormat="1" ht="12.75" customHeight="1" x14ac:dyDescent="0.2">
      <c r="A15" s="77">
        <f>+MAX($A$8:A14)+1</f>
        <v>7</v>
      </c>
      <c r="B15" s="77" t="s">
        <v>15</v>
      </c>
      <c r="C15" s="65" t="s">
        <v>16</v>
      </c>
      <c r="D15" s="77" t="s">
        <v>9</v>
      </c>
      <c r="E15" s="74">
        <v>99000</v>
      </c>
      <c r="F15" s="79">
        <v>290.565</v>
      </c>
      <c r="G15" s="76">
        <f t="shared" si="0"/>
        <v>1.6400000000000001E-2</v>
      </c>
      <c r="H15" s="76"/>
      <c r="I15" s="90" t="s">
        <v>322</v>
      </c>
      <c r="J15" s="100"/>
      <c r="K15" s="14" t="s">
        <v>381</v>
      </c>
      <c r="L15" s="102">
        <f t="shared" si="1"/>
        <v>5.0299999999999997E-2</v>
      </c>
    </row>
    <row r="16" spans="1:17" s="65" customFormat="1" ht="12.75" customHeight="1" x14ac:dyDescent="0.2">
      <c r="A16" s="77">
        <f>+MAX($A$8:A15)+1</f>
        <v>8</v>
      </c>
      <c r="B16" s="77" t="s">
        <v>185</v>
      </c>
      <c r="C16" s="65" t="s">
        <v>44</v>
      </c>
      <c r="D16" s="77" t="s">
        <v>24</v>
      </c>
      <c r="E16" s="74">
        <v>87268</v>
      </c>
      <c r="F16" s="79">
        <v>259.79683600000004</v>
      </c>
      <c r="G16" s="76">
        <f t="shared" si="0"/>
        <v>1.46E-2</v>
      </c>
      <c r="H16" s="76"/>
      <c r="I16" s="90" t="s">
        <v>322</v>
      </c>
      <c r="J16" s="100"/>
      <c r="K16" s="14" t="s">
        <v>315</v>
      </c>
      <c r="L16" s="102">
        <f t="shared" si="1"/>
        <v>4.6800000000000008E-2</v>
      </c>
    </row>
    <row r="17" spans="1:12" s="65" customFormat="1" ht="12.75" customHeight="1" x14ac:dyDescent="0.2">
      <c r="A17" s="77">
        <f>+MAX($A$8:A16)+1</f>
        <v>9</v>
      </c>
      <c r="B17" s="77" t="s">
        <v>217</v>
      </c>
      <c r="C17" s="65" t="s">
        <v>96</v>
      </c>
      <c r="D17" s="77" t="s">
        <v>19</v>
      </c>
      <c r="E17" s="74">
        <v>27064</v>
      </c>
      <c r="F17" s="79">
        <v>253.305508</v>
      </c>
      <c r="G17" s="76">
        <f t="shared" si="0"/>
        <v>1.43E-2</v>
      </c>
      <c r="H17" s="76"/>
      <c r="I17" s="90" t="s">
        <v>322</v>
      </c>
      <c r="J17" s="100"/>
      <c r="K17" s="65" t="s">
        <v>34</v>
      </c>
      <c r="L17" s="102">
        <f t="shared" si="1"/>
        <v>3.78E-2</v>
      </c>
    </row>
    <row r="18" spans="1:12" s="65" customFormat="1" ht="12.75" customHeight="1" x14ac:dyDescent="0.2">
      <c r="A18" s="77">
        <f>+MAX($A$8:A17)+1</f>
        <v>10</v>
      </c>
      <c r="B18" s="77" t="s">
        <v>212</v>
      </c>
      <c r="C18" s="65" t="s">
        <v>76</v>
      </c>
      <c r="D18" s="77" t="s">
        <v>49</v>
      </c>
      <c r="E18" s="74">
        <v>93647</v>
      </c>
      <c r="F18" s="79">
        <v>244.512317</v>
      </c>
      <c r="G18" s="76">
        <f t="shared" si="0"/>
        <v>1.38E-2</v>
      </c>
      <c r="H18" s="76"/>
      <c r="I18" s="90" t="s">
        <v>322</v>
      </c>
      <c r="J18" s="100"/>
      <c r="K18" s="89" t="s">
        <v>13</v>
      </c>
      <c r="L18" s="102">
        <f t="shared" si="1"/>
        <v>3.44E-2</v>
      </c>
    </row>
    <row r="19" spans="1:12" s="65" customFormat="1" ht="12.75" customHeight="1" x14ac:dyDescent="0.2">
      <c r="A19" s="77">
        <f>+MAX($A$8:A18)+1</f>
        <v>11</v>
      </c>
      <c r="B19" s="77" t="s">
        <v>539</v>
      </c>
      <c r="C19" s="65" t="s">
        <v>540</v>
      </c>
      <c r="D19" s="77" t="s">
        <v>22</v>
      </c>
      <c r="E19" s="74">
        <v>57850</v>
      </c>
      <c r="F19" s="79">
        <v>242.13117500000001</v>
      </c>
      <c r="G19" s="76">
        <f t="shared" si="0"/>
        <v>1.3599999999999999E-2</v>
      </c>
      <c r="H19" s="76"/>
      <c r="I19" s="90" t="s">
        <v>322</v>
      </c>
      <c r="J19" s="100"/>
      <c r="K19" s="65" t="s">
        <v>723</v>
      </c>
      <c r="L19" s="102">
        <f t="shared" si="1"/>
        <v>2.9499999999999998E-2</v>
      </c>
    </row>
    <row r="20" spans="1:12" s="65" customFormat="1" ht="12.75" customHeight="1" x14ac:dyDescent="0.2">
      <c r="A20" s="77">
        <f>+MAX($A$8:A19)+1</f>
        <v>12</v>
      </c>
      <c r="B20" s="77" t="s">
        <v>227</v>
      </c>
      <c r="C20" s="65" t="s">
        <v>111</v>
      </c>
      <c r="D20" s="77" t="s">
        <v>34</v>
      </c>
      <c r="E20" s="74">
        <v>155429</v>
      </c>
      <c r="F20" s="79">
        <v>240.68180649999999</v>
      </c>
      <c r="G20" s="76">
        <f t="shared" si="0"/>
        <v>1.35E-2</v>
      </c>
      <c r="H20" s="76"/>
      <c r="I20" s="90" t="s">
        <v>322</v>
      </c>
      <c r="J20" s="100"/>
      <c r="K20" s="65" t="s">
        <v>17</v>
      </c>
      <c r="L20" s="102">
        <f t="shared" si="1"/>
        <v>1.9900000000000001E-2</v>
      </c>
    </row>
    <row r="21" spans="1:12" s="65" customFormat="1" ht="12.75" customHeight="1" x14ac:dyDescent="0.2">
      <c r="A21" s="77">
        <f>+MAX($A$8:A20)+1</f>
        <v>13</v>
      </c>
      <c r="B21" s="77" t="s">
        <v>196</v>
      </c>
      <c r="C21" s="65" t="s">
        <v>94</v>
      </c>
      <c r="D21" s="77" t="s">
        <v>9</v>
      </c>
      <c r="E21" s="74">
        <v>17412</v>
      </c>
      <c r="F21" s="79">
        <v>227.548722</v>
      </c>
      <c r="G21" s="76">
        <f t="shared" si="0"/>
        <v>1.2800000000000001E-2</v>
      </c>
      <c r="H21" s="76"/>
      <c r="I21" s="90" t="s">
        <v>322</v>
      </c>
      <c r="J21" s="100"/>
      <c r="K21" s="14" t="s">
        <v>285</v>
      </c>
      <c r="L21" s="102">
        <f t="shared" si="1"/>
        <v>1.9800000000000002E-2</v>
      </c>
    </row>
    <row r="22" spans="1:12" s="65" customFormat="1" ht="12.75" customHeight="1" x14ac:dyDescent="0.2">
      <c r="A22" s="77">
        <f>+MAX($A$8:A21)+1</f>
        <v>14</v>
      </c>
      <c r="B22" s="77" t="s">
        <v>365</v>
      </c>
      <c r="C22" s="65" t="s">
        <v>66</v>
      </c>
      <c r="D22" s="77" t="s">
        <v>21</v>
      </c>
      <c r="E22" s="74">
        <v>36016</v>
      </c>
      <c r="F22" s="79">
        <v>204.75095999999999</v>
      </c>
      <c r="G22" s="76">
        <f t="shared" si="0"/>
        <v>1.15E-2</v>
      </c>
      <c r="H22" s="76"/>
      <c r="I22" s="90" t="s">
        <v>322</v>
      </c>
      <c r="J22" s="100"/>
      <c r="K22" s="14" t="s">
        <v>28</v>
      </c>
      <c r="L22" s="102">
        <f t="shared" si="1"/>
        <v>1.7100000000000001E-2</v>
      </c>
    </row>
    <row r="23" spans="1:12" s="65" customFormat="1" ht="12.75" customHeight="1" x14ac:dyDescent="0.2">
      <c r="A23" s="77">
        <f>+MAX($A$8:A22)+1</f>
        <v>15</v>
      </c>
      <c r="B23" s="77" t="s">
        <v>468</v>
      </c>
      <c r="C23" s="65" t="s">
        <v>469</v>
      </c>
      <c r="D23" s="77" t="s">
        <v>24</v>
      </c>
      <c r="E23" s="74">
        <v>3155</v>
      </c>
      <c r="F23" s="79">
        <v>204.6064825</v>
      </c>
      <c r="G23" s="76">
        <f t="shared" si="0"/>
        <v>1.15E-2</v>
      </c>
      <c r="H23" s="76"/>
      <c r="I23" s="90" t="s">
        <v>322</v>
      </c>
      <c r="J23" s="100"/>
      <c r="K23" s="14" t="s">
        <v>263</v>
      </c>
      <c r="L23" s="102">
        <f t="shared" si="1"/>
        <v>1.6799999999999999E-2</v>
      </c>
    </row>
    <row r="24" spans="1:12" s="65" customFormat="1" ht="12.75" customHeight="1" x14ac:dyDescent="0.2">
      <c r="A24" s="77">
        <f>+MAX($A$8:A23)+1</f>
        <v>16</v>
      </c>
      <c r="B24" s="77" t="s">
        <v>179</v>
      </c>
      <c r="C24" s="65" t="s">
        <v>10</v>
      </c>
      <c r="D24" s="77" t="s">
        <v>9</v>
      </c>
      <c r="E24" s="74">
        <v>66617</v>
      </c>
      <c r="F24" s="79">
        <v>202.68222249999999</v>
      </c>
      <c r="G24" s="76">
        <f t="shared" si="0"/>
        <v>1.14E-2</v>
      </c>
      <c r="H24" s="76"/>
      <c r="I24" s="90" t="s">
        <v>322</v>
      </c>
      <c r="J24" s="100"/>
      <c r="K24" s="14" t="s">
        <v>49</v>
      </c>
      <c r="L24" s="102">
        <f t="shared" si="1"/>
        <v>1.38E-2</v>
      </c>
    </row>
    <row r="25" spans="1:12" s="65" customFormat="1" ht="12.75" customHeight="1" x14ac:dyDescent="0.2">
      <c r="A25" s="77">
        <f>+MAX($A$8:A24)+1</f>
        <v>17</v>
      </c>
      <c r="B25" s="77" t="s">
        <v>209</v>
      </c>
      <c r="C25" s="65" t="s">
        <v>69</v>
      </c>
      <c r="D25" s="77" t="s">
        <v>26</v>
      </c>
      <c r="E25" s="74">
        <v>15146</v>
      </c>
      <c r="F25" s="79">
        <v>197.24635800000001</v>
      </c>
      <c r="G25" s="76">
        <f t="shared" si="0"/>
        <v>1.11E-2</v>
      </c>
      <c r="H25" s="76"/>
      <c r="I25" s="90" t="s">
        <v>322</v>
      </c>
      <c r="J25" s="100"/>
      <c r="K25" s="14" t="s">
        <v>26</v>
      </c>
      <c r="L25" s="102">
        <f t="shared" si="1"/>
        <v>1.11E-2</v>
      </c>
    </row>
    <row r="26" spans="1:12" s="65" customFormat="1" ht="12.75" customHeight="1" x14ac:dyDescent="0.2">
      <c r="A26" s="77">
        <f>+MAX($A$8:A25)+1</f>
        <v>18</v>
      </c>
      <c r="B26" s="77" t="s">
        <v>224</v>
      </c>
      <c r="C26" s="65" t="s">
        <v>110</v>
      </c>
      <c r="D26" s="77" t="s">
        <v>34</v>
      </c>
      <c r="E26" s="74">
        <v>106893</v>
      </c>
      <c r="F26" s="79">
        <v>194.865939</v>
      </c>
      <c r="G26" s="76">
        <f t="shared" si="0"/>
        <v>1.0999999999999999E-2</v>
      </c>
      <c r="H26" s="76"/>
      <c r="I26" s="90" t="s">
        <v>322</v>
      </c>
      <c r="J26" s="100"/>
      <c r="K26" s="14" t="s">
        <v>354</v>
      </c>
      <c r="L26" s="102">
        <f t="shared" si="1"/>
        <v>1.03E-2</v>
      </c>
    </row>
    <row r="27" spans="1:12" s="65" customFormat="1" ht="12.75" customHeight="1" x14ac:dyDescent="0.2">
      <c r="A27" s="77">
        <f>+MAX($A$8:A26)+1</f>
        <v>19</v>
      </c>
      <c r="B27" s="77" t="s">
        <v>177</v>
      </c>
      <c r="C27" s="65" t="s">
        <v>14</v>
      </c>
      <c r="D27" s="77" t="s">
        <v>13</v>
      </c>
      <c r="E27" s="74">
        <v>13602</v>
      </c>
      <c r="F27" s="79">
        <v>185.680902</v>
      </c>
      <c r="G27" s="76">
        <f t="shared" si="0"/>
        <v>1.0500000000000001E-2</v>
      </c>
      <c r="H27" s="76"/>
      <c r="I27" s="90" t="s">
        <v>322</v>
      </c>
      <c r="J27" s="100"/>
      <c r="K27" s="14" t="s">
        <v>102</v>
      </c>
      <c r="L27" s="102">
        <f t="shared" si="1"/>
        <v>8.6999999999999994E-3</v>
      </c>
    </row>
    <row r="28" spans="1:12" s="65" customFormat="1" ht="12.75" customHeight="1" x14ac:dyDescent="0.2">
      <c r="A28" s="77">
        <f>+MAX($A$8:A27)+1</f>
        <v>20</v>
      </c>
      <c r="B28" s="77" t="s">
        <v>466</v>
      </c>
      <c r="C28" s="65" t="s">
        <v>467</v>
      </c>
      <c r="D28" s="77" t="s">
        <v>34</v>
      </c>
      <c r="E28" s="74">
        <v>236144</v>
      </c>
      <c r="F28" s="79">
        <v>176.04535199999998</v>
      </c>
      <c r="G28" s="76">
        <f t="shared" si="0"/>
        <v>9.9000000000000008E-3</v>
      </c>
      <c r="H28" s="76"/>
      <c r="I28" s="90" t="s">
        <v>322</v>
      </c>
      <c r="J28" s="100"/>
      <c r="K28" s="14" t="s">
        <v>463</v>
      </c>
      <c r="L28" s="102">
        <f t="shared" si="1"/>
        <v>5.4999999999999997E-3</v>
      </c>
    </row>
    <row r="29" spans="1:12" s="65" customFormat="1" ht="12.75" customHeight="1" x14ac:dyDescent="0.2">
      <c r="A29" s="77">
        <f>+MAX($A$8:A28)+1</f>
        <v>21</v>
      </c>
      <c r="B29" s="77" t="s">
        <v>187</v>
      </c>
      <c r="C29" s="65" t="s">
        <v>46</v>
      </c>
      <c r="D29" s="77" t="s">
        <v>24</v>
      </c>
      <c r="E29" s="74">
        <v>2669</v>
      </c>
      <c r="F29" s="79">
        <v>174.61131800000001</v>
      </c>
      <c r="G29" s="76">
        <f t="shared" si="0"/>
        <v>9.7999999999999997E-3</v>
      </c>
      <c r="H29" s="76"/>
      <c r="I29" s="90" t="s">
        <v>322</v>
      </c>
      <c r="J29" s="100"/>
      <c r="K29" s="14" t="s">
        <v>62</v>
      </c>
      <c r="L29" s="48">
        <f>+SUMIFS($G$5:$G$998,$B$5:$B$998,"CBLO / Reverse Repo")+SUMIFS($G$5:$G$998,$B$5:$B$998,"Net Receivable/Payable")</f>
        <v>0.1211</v>
      </c>
    </row>
    <row r="30" spans="1:12" s="65" customFormat="1" ht="12.75" customHeight="1" x14ac:dyDescent="0.2">
      <c r="A30" s="77">
        <f>+MAX($A$8:A29)+1</f>
        <v>22</v>
      </c>
      <c r="B30" s="77" t="s">
        <v>199</v>
      </c>
      <c r="C30" s="65" t="s">
        <v>59</v>
      </c>
      <c r="D30" s="77" t="s">
        <v>21</v>
      </c>
      <c r="E30" s="74">
        <v>28300</v>
      </c>
      <c r="F30" s="79">
        <v>167.40864999999999</v>
      </c>
      <c r="G30" s="76">
        <f t="shared" si="0"/>
        <v>9.4000000000000004E-3</v>
      </c>
      <c r="H30" s="76"/>
      <c r="I30" s="90" t="s">
        <v>322</v>
      </c>
      <c r="J30" s="100"/>
      <c r="K30" s="14"/>
      <c r="L30" s="48"/>
    </row>
    <row r="31" spans="1:12" s="65" customFormat="1" ht="12.75" customHeight="1" x14ac:dyDescent="0.2">
      <c r="A31" s="77">
        <f>+MAX($A$8:A30)+1</f>
        <v>23</v>
      </c>
      <c r="B31" s="77" t="s">
        <v>470</v>
      </c>
      <c r="C31" s="65" t="s">
        <v>471</v>
      </c>
      <c r="D31" s="77" t="s">
        <v>102</v>
      </c>
      <c r="E31" s="74">
        <v>200000</v>
      </c>
      <c r="F31" s="79">
        <v>155</v>
      </c>
      <c r="G31" s="76">
        <f t="shared" si="0"/>
        <v>8.6999999999999994E-3</v>
      </c>
      <c r="H31" s="76"/>
      <c r="I31" s="90" t="s">
        <v>322</v>
      </c>
      <c r="J31" s="100"/>
      <c r="K31" s="14"/>
      <c r="L31" s="48"/>
    </row>
    <row r="32" spans="1:12" s="65" customFormat="1" ht="12.75" customHeight="1" x14ac:dyDescent="0.2">
      <c r="A32" s="77">
        <f>+MAX($A$8:A31)+1</f>
        <v>24</v>
      </c>
      <c r="B32" s="77" t="s">
        <v>193</v>
      </c>
      <c r="C32" s="65" t="s">
        <v>47</v>
      </c>
      <c r="D32" s="77" t="s">
        <v>19</v>
      </c>
      <c r="E32" s="74">
        <v>1425</v>
      </c>
      <c r="F32" s="79">
        <v>135.66783749999999</v>
      </c>
      <c r="G32" s="76">
        <f t="shared" si="0"/>
        <v>7.6E-3</v>
      </c>
      <c r="H32" s="76"/>
      <c r="I32" s="90" t="s">
        <v>322</v>
      </c>
      <c r="J32" s="100"/>
      <c r="K32" s="14"/>
      <c r="L32" s="48"/>
    </row>
    <row r="33" spans="1:14" s="65" customFormat="1" ht="12.75" customHeight="1" x14ac:dyDescent="0.2">
      <c r="A33" s="77">
        <f>+MAX($A$8:A32)+1</f>
        <v>25</v>
      </c>
      <c r="B33" s="77" t="s">
        <v>226</v>
      </c>
      <c r="C33" s="65" t="s">
        <v>109</v>
      </c>
      <c r="D33" s="77" t="s">
        <v>13</v>
      </c>
      <c r="E33" s="74">
        <v>17000</v>
      </c>
      <c r="F33" s="79">
        <v>115.72750000000001</v>
      </c>
      <c r="G33" s="76">
        <f t="shared" si="0"/>
        <v>6.4999999999999997E-3</v>
      </c>
      <c r="H33" s="76"/>
      <c r="I33" s="90" t="s">
        <v>322</v>
      </c>
      <c r="J33" s="100"/>
      <c r="K33" s="14"/>
      <c r="L33" s="48"/>
    </row>
    <row r="34" spans="1:14" ht="12.75" customHeight="1" x14ac:dyDescent="0.2">
      <c r="B34" s="18" t="s">
        <v>82</v>
      </c>
      <c r="C34" s="18"/>
      <c r="D34" s="18"/>
      <c r="E34" s="19"/>
      <c r="F34" s="19">
        <f>SUM(F9:F33)</f>
        <v>6002.7030090000007</v>
      </c>
      <c r="G34" s="20">
        <f>SUM(G9:G33)</f>
        <v>0.3378000000000001</v>
      </c>
      <c r="H34" s="20"/>
      <c r="I34" s="21"/>
      <c r="K34" s="65"/>
      <c r="L34" s="102"/>
    </row>
    <row r="35" spans="1:14" ht="12.75" customHeight="1" x14ac:dyDescent="0.2">
      <c r="F35" s="44"/>
      <c r="G35" s="14"/>
      <c r="H35" s="14"/>
      <c r="I35" s="15"/>
      <c r="K35" s="89"/>
      <c r="L35" s="102"/>
    </row>
    <row r="36" spans="1:14" s="65" customFormat="1" ht="12.75" customHeight="1" x14ac:dyDescent="0.2">
      <c r="A36"/>
      <c r="B36" s="16" t="s">
        <v>515</v>
      </c>
      <c r="C36" s="16"/>
      <c r="D36"/>
      <c r="E36" s="38"/>
      <c r="F36" s="44"/>
      <c r="G36" s="45"/>
      <c r="H36" s="45"/>
      <c r="I36" s="47"/>
      <c r="J36" s="77"/>
      <c r="K36" s="14"/>
      <c r="L36" s="102"/>
      <c r="N36" s="75"/>
    </row>
    <row r="37" spans="1:14" s="65" customFormat="1" ht="12.75" customHeight="1" x14ac:dyDescent="0.2">
      <c r="A37" s="77">
        <f>+MAX($A$8:A36)+1</f>
        <v>26</v>
      </c>
      <c r="B37" s="77" t="s">
        <v>186</v>
      </c>
      <c r="C37" s="65" t="s">
        <v>42</v>
      </c>
      <c r="D37" s="77" t="s">
        <v>22</v>
      </c>
      <c r="E37" s="74">
        <v>237000</v>
      </c>
      <c r="F37" s="79">
        <v>1423.1849999999999</v>
      </c>
      <c r="G37" s="76">
        <f>+ROUND(F37/VLOOKUP("Grand Total",$B$4:$F$282,5,0),4)</f>
        <v>8.0100000000000005E-2</v>
      </c>
      <c r="H37" s="76"/>
      <c r="I37" s="90" t="s">
        <v>322</v>
      </c>
      <c r="J37" s="100"/>
      <c r="K37" s="89" t="s">
        <v>22</v>
      </c>
      <c r="L37" s="102">
        <f>SUMIFS($G$5:$G$298,$D$5:$D$298,K37)</f>
        <v>0.1368</v>
      </c>
    </row>
    <row r="38" spans="1:14" s="65" customFormat="1" ht="12.75" customHeight="1" x14ac:dyDescent="0.2">
      <c r="A38" s="77">
        <f>+A37+1</f>
        <v>27</v>
      </c>
      <c r="B38" s="77" t="s">
        <v>186</v>
      </c>
      <c r="C38" s="120" t="s">
        <v>704</v>
      </c>
      <c r="D38" s="77" t="s">
        <v>288</v>
      </c>
      <c r="E38" s="74">
        <v>-237000</v>
      </c>
      <c r="F38" s="79">
        <v>-1430.6505</v>
      </c>
      <c r="G38" s="76"/>
      <c r="H38" s="127">
        <f>+ROUND(F38/VLOOKUP("Grand Total",$B$4:$F$282,5,0),4)</f>
        <v>-8.0500000000000002E-2</v>
      </c>
      <c r="I38" s="103">
        <v>43342</v>
      </c>
      <c r="J38" s="100"/>
      <c r="K38" s="89"/>
      <c r="L38" s="102"/>
    </row>
    <row r="39" spans="1:14" s="65" customFormat="1" ht="12.75" customHeight="1" x14ac:dyDescent="0.2">
      <c r="A39" s="77">
        <f t="shared" ref="A39:A64" si="2">+A38+1</f>
        <v>28</v>
      </c>
      <c r="B39" s="77" t="s">
        <v>199</v>
      </c>
      <c r="C39" s="65" t="s">
        <v>59</v>
      </c>
      <c r="D39" s="77" t="s">
        <v>21</v>
      </c>
      <c r="E39" s="74">
        <v>175000</v>
      </c>
      <c r="F39" s="79">
        <v>1035.2124999999999</v>
      </c>
      <c r="G39" s="76">
        <f>+ROUND(F39/VLOOKUP("Grand Total",$B$4:$F$282,5,0),4)</f>
        <v>5.8299999999999998E-2</v>
      </c>
      <c r="H39" s="76"/>
      <c r="I39" s="90" t="s">
        <v>322</v>
      </c>
      <c r="J39" s="100"/>
      <c r="K39" s="89" t="s">
        <v>21</v>
      </c>
      <c r="L39" s="102">
        <f>SUMIFS($G$5:$G$298,$D$5:$D$298,K39)</f>
        <v>0.1011</v>
      </c>
    </row>
    <row r="40" spans="1:14" s="65" customFormat="1" ht="12.75" customHeight="1" x14ac:dyDescent="0.2">
      <c r="A40" s="77">
        <f t="shared" si="2"/>
        <v>29</v>
      </c>
      <c r="B40" s="77" t="s">
        <v>199</v>
      </c>
      <c r="C40" s="120" t="s">
        <v>704</v>
      </c>
      <c r="D40" s="77" t="s">
        <v>288</v>
      </c>
      <c r="E40" s="74">
        <v>-175000</v>
      </c>
      <c r="F40" s="79">
        <v>-1039.2375</v>
      </c>
      <c r="G40" s="76"/>
      <c r="H40" s="127">
        <f>+ROUND(F40/VLOOKUP("Grand Total",$B$4:$F$282,5,0),4)</f>
        <v>-5.8500000000000003E-2</v>
      </c>
      <c r="I40" s="103">
        <v>43342</v>
      </c>
      <c r="J40" s="100"/>
      <c r="K40" s="89"/>
      <c r="L40" s="102"/>
    </row>
    <row r="41" spans="1:14" s="65" customFormat="1" ht="12.75" customHeight="1" x14ac:dyDescent="0.2">
      <c r="A41" s="77">
        <f t="shared" si="2"/>
        <v>30</v>
      </c>
      <c r="B41" s="77" t="s">
        <v>193</v>
      </c>
      <c r="C41" s="65" t="s">
        <v>47</v>
      </c>
      <c r="D41" s="77" t="s">
        <v>19</v>
      </c>
      <c r="E41" s="74">
        <v>6000</v>
      </c>
      <c r="F41" s="79">
        <v>571.23299999999995</v>
      </c>
      <c r="G41" s="76">
        <f>+ROUND(F41/VLOOKUP("Grand Total",$B$4:$F$282,5,0),4)</f>
        <v>3.2199999999999999E-2</v>
      </c>
      <c r="H41" s="76"/>
      <c r="I41" s="90" t="s">
        <v>322</v>
      </c>
      <c r="J41" s="100"/>
      <c r="K41" s="65" t="s">
        <v>19</v>
      </c>
      <c r="L41" s="102">
        <f>SUMIFS($G$5:$G$298,$D$5:$D$298,K41)</f>
        <v>8.6699999999999985E-2</v>
      </c>
    </row>
    <row r="42" spans="1:14" s="65" customFormat="1" ht="12.75" customHeight="1" x14ac:dyDescent="0.2">
      <c r="A42" s="77">
        <f t="shared" si="2"/>
        <v>31</v>
      </c>
      <c r="B42" s="77" t="s">
        <v>193</v>
      </c>
      <c r="C42" s="120" t="s">
        <v>704</v>
      </c>
      <c r="D42" s="77" t="s">
        <v>288</v>
      </c>
      <c r="E42" s="74">
        <v>-6000</v>
      </c>
      <c r="F42" s="79">
        <v>-568.56299999999999</v>
      </c>
      <c r="G42" s="76"/>
      <c r="H42" s="127">
        <f>+ROUND(F42/VLOOKUP("Grand Total",$B$4:$F$282,5,0),4)</f>
        <v>-3.2000000000000001E-2</v>
      </c>
      <c r="I42" s="103">
        <v>43342</v>
      </c>
      <c r="J42" s="100"/>
      <c r="K42" s="89"/>
      <c r="L42" s="102"/>
    </row>
    <row r="43" spans="1:14" s="65" customFormat="1" ht="12.75" customHeight="1" x14ac:dyDescent="0.2">
      <c r="A43" s="77">
        <f t="shared" si="2"/>
        <v>32</v>
      </c>
      <c r="B43" s="77" t="s">
        <v>721</v>
      </c>
      <c r="C43" s="65" t="s">
        <v>722</v>
      </c>
      <c r="D43" s="77" t="s">
        <v>723</v>
      </c>
      <c r="E43" s="74">
        <v>268000</v>
      </c>
      <c r="F43" s="79">
        <v>523.80600000000004</v>
      </c>
      <c r="G43" s="76">
        <f>+ROUND(F43/VLOOKUP("Grand Total",$B$4:$F$282,5,0),4)</f>
        <v>2.9499999999999998E-2</v>
      </c>
      <c r="H43" s="76"/>
      <c r="I43" s="90" t="s">
        <v>322</v>
      </c>
      <c r="J43" s="100"/>
      <c r="K43" s="89" t="s">
        <v>152</v>
      </c>
      <c r="L43" s="102">
        <f>SUMIFS($G$5:$G$298,$D$5:$D$298,K43)</f>
        <v>6.1700000000000005E-2</v>
      </c>
    </row>
    <row r="44" spans="1:14" s="65" customFormat="1" ht="12.75" customHeight="1" x14ac:dyDescent="0.2">
      <c r="A44" s="77">
        <f t="shared" si="2"/>
        <v>33</v>
      </c>
      <c r="B44" s="77" t="s">
        <v>721</v>
      </c>
      <c r="C44" s="120" t="s">
        <v>704</v>
      </c>
      <c r="D44" s="77" t="s">
        <v>288</v>
      </c>
      <c r="E44" s="74">
        <v>-268000</v>
      </c>
      <c r="F44" s="79">
        <v>-528.09400000000005</v>
      </c>
      <c r="G44" s="76"/>
      <c r="H44" s="127">
        <f>+ROUND(F44/VLOOKUP("Grand Total",$B$4:$F$282,5,0),4)</f>
        <v>-2.9700000000000001E-2</v>
      </c>
      <c r="I44" s="103">
        <v>43342</v>
      </c>
      <c r="J44" s="100"/>
      <c r="K44" s="89"/>
      <c r="L44" s="102"/>
    </row>
    <row r="45" spans="1:14" s="65" customFormat="1" ht="12.75" customHeight="1" x14ac:dyDescent="0.2">
      <c r="A45" s="77">
        <f t="shared" si="2"/>
        <v>34</v>
      </c>
      <c r="B45" s="77" t="s">
        <v>15</v>
      </c>
      <c r="C45" s="65" t="s">
        <v>16</v>
      </c>
      <c r="D45" s="77" t="s">
        <v>9</v>
      </c>
      <c r="E45" s="74">
        <v>162000</v>
      </c>
      <c r="F45" s="79">
        <v>475.47</v>
      </c>
      <c r="G45" s="76">
        <f>+ROUND(F45/VLOOKUP("Grand Total",$B$4:$F$282,5,0),4)</f>
        <v>2.6800000000000001E-2</v>
      </c>
      <c r="H45" s="76"/>
      <c r="I45" s="90" t="s">
        <v>322</v>
      </c>
      <c r="J45" s="100"/>
      <c r="K45" s="65" t="s">
        <v>9</v>
      </c>
      <c r="L45" s="102">
        <f>SUMIFS($G$5:$G$298,$D$5:$D$298,K45)</f>
        <v>9.0200000000000002E-2</v>
      </c>
    </row>
    <row r="46" spans="1:14" s="65" customFormat="1" ht="12.75" customHeight="1" x14ac:dyDescent="0.2">
      <c r="A46" s="77">
        <f t="shared" si="2"/>
        <v>35</v>
      </c>
      <c r="B46" s="77" t="s">
        <v>15</v>
      </c>
      <c r="C46" s="120" t="s">
        <v>704</v>
      </c>
      <c r="D46" s="77" t="s">
        <v>288</v>
      </c>
      <c r="E46" s="74">
        <v>-162000</v>
      </c>
      <c r="F46" s="79">
        <v>-477.57600000000002</v>
      </c>
      <c r="G46" s="76"/>
      <c r="H46" s="127">
        <f>+ROUND(F46/VLOOKUP("Grand Total",$B$4:$F$282,5,0),4)</f>
        <v>-2.69E-2</v>
      </c>
      <c r="I46" s="103">
        <v>43342</v>
      </c>
      <c r="J46" s="100"/>
      <c r="K46" s="89"/>
      <c r="L46" s="102"/>
    </row>
    <row r="47" spans="1:14" s="65" customFormat="1" ht="12.75" customHeight="1" x14ac:dyDescent="0.2">
      <c r="A47" s="77">
        <f t="shared" si="2"/>
        <v>36</v>
      </c>
      <c r="B47" s="77" t="s">
        <v>306</v>
      </c>
      <c r="C47" s="65" t="s">
        <v>307</v>
      </c>
      <c r="D47" s="77" t="s">
        <v>22</v>
      </c>
      <c r="E47" s="74">
        <v>34500</v>
      </c>
      <c r="F47" s="79">
        <v>447.48225000000002</v>
      </c>
      <c r="G47" s="76">
        <f>+ROUND(F47/VLOOKUP("Grand Total",$B$4:$F$282,5,0),4)</f>
        <v>2.52E-2</v>
      </c>
      <c r="H47" s="76"/>
      <c r="I47" s="90" t="s">
        <v>322</v>
      </c>
      <c r="J47" s="100"/>
      <c r="K47" s="89" t="s">
        <v>315</v>
      </c>
      <c r="L47" s="102">
        <f>SUMIFS($G$5:$G$298,$D$5:$D$298,K47)</f>
        <v>4.6800000000000008E-2</v>
      </c>
    </row>
    <row r="48" spans="1:14" s="65" customFormat="1" ht="12.75" customHeight="1" x14ac:dyDescent="0.2">
      <c r="A48" s="77">
        <f t="shared" si="2"/>
        <v>37</v>
      </c>
      <c r="B48" s="77" t="s">
        <v>306</v>
      </c>
      <c r="C48" s="120" t="s">
        <v>704</v>
      </c>
      <c r="D48" s="77" t="s">
        <v>288</v>
      </c>
      <c r="E48" s="74">
        <v>-34500</v>
      </c>
      <c r="F48" s="79">
        <v>-446.39550000000003</v>
      </c>
      <c r="G48" s="76"/>
      <c r="H48" s="127">
        <f>+ROUND(F48/VLOOKUP("Grand Total",$B$4:$F$282,5,0),4)</f>
        <v>-2.5100000000000001E-2</v>
      </c>
      <c r="I48" s="103">
        <v>43342</v>
      </c>
      <c r="J48" s="100"/>
      <c r="K48" s="89"/>
      <c r="L48" s="102"/>
    </row>
    <row r="49" spans="1:12" s="65" customFormat="1" ht="12.75" customHeight="1" x14ac:dyDescent="0.2">
      <c r="A49" s="77">
        <f t="shared" si="2"/>
        <v>38</v>
      </c>
      <c r="B49" s="77" t="s">
        <v>365</v>
      </c>
      <c r="C49" s="65" t="s">
        <v>66</v>
      </c>
      <c r="D49" s="77" t="s">
        <v>21</v>
      </c>
      <c r="E49" s="74">
        <v>63800</v>
      </c>
      <c r="F49" s="79">
        <v>362.70299999999997</v>
      </c>
      <c r="G49" s="76">
        <f>+ROUND(F49/VLOOKUP("Grand Total",$B$4:$F$282,5,0),4)</f>
        <v>2.0400000000000001E-2</v>
      </c>
      <c r="H49" s="76"/>
      <c r="I49" s="90" t="s">
        <v>322</v>
      </c>
      <c r="J49" s="100"/>
      <c r="K49" s="89" t="s">
        <v>24</v>
      </c>
      <c r="L49" s="102">
        <f>SUMIFS($G$5:$G$298,$D$5:$D$298,K49)</f>
        <v>8.0600000000000005E-2</v>
      </c>
    </row>
    <row r="50" spans="1:12" s="65" customFormat="1" ht="12.75" customHeight="1" x14ac:dyDescent="0.2">
      <c r="A50" s="77">
        <f t="shared" si="2"/>
        <v>39</v>
      </c>
      <c r="B50" s="77" t="s">
        <v>365</v>
      </c>
      <c r="C50" s="120" t="s">
        <v>704</v>
      </c>
      <c r="D50" s="77" t="s">
        <v>288</v>
      </c>
      <c r="E50" s="74">
        <v>-63800</v>
      </c>
      <c r="F50" s="79">
        <v>-363.34100000000001</v>
      </c>
      <c r="G50" s="76"/>
      <c r="H50" s="127">
        <f>+ROUND(F50/VLOOKUP("Grand Total",$B$4:$F$282,5,0),4)</f>
        <v>-2.0500000000000001E-2</v>
      </c>
      <c r="I50" s="103">
        <v>43342</v>
      </c>
      <c r="J50" s="100"/>
      <c r="K50" s="89"/>
      <c r="L50" s="102"/>
    </row>
    <row r="51" spans="1:12" s="65" customFormat="1" ht="12.75" customHeight="1" x14ac:dyDescent="0.2">
      <c r="A51" s="77">
        <f t="shared" si="2"/>
        <v>40</v>
      </c>
      <c r="B51" s="77" t="s">
        <v>184</v>
      </c>
      <c r="C51" s="65" t="s">
        <v>33</v>
      </c>
      <c r="D51" s="77" t="s">
        <v>17</v>
      </c>
      <c r="E51" s="74">
        <v>38500</v>
      </c>
      <c r="F51" s="79">
        <v>352.67925000000002</v>
      </c>
      <c r="G51" s="76">
        <f>+ROUND(F51/VLOOKUP("Grand Total",$B$4:$F$282,5,0),4)</f>
        <v>1.9900000000000001E-2</v>
      </c>
      <c r="H51" s="76"/>
      <c r="I51" s="90" t="s">
        <v>322</v>
      </c>
      <c r="J51" s="100"/>
      <c r="K51" s="89" t="s">
        <v>13</v>
      </c>
      <c r="L51" s="102">
        <f>SUMIFS($G$5:$G$298,$D$5:$D$298,K51)</f>
        <v>3.44E-2</v>
      </c>
    </row>
    <row r="52" spans="1:12" s="65" customFormat="1" ht="12.75" customHeight="1" x14ac:dyDescent="0.2">
      <c r="A52" s="77">
        <f t="shared" si="2"/>
        <v>41</v>
      </c>
      <c r="B52" s="77" t="s">
        <v>184</v>
      </c>
      <c r="C52" s="120" t="s">
        <v>704</v>
      </c>
      <c r="D52" s="77" t="s">
        <v>288</v>
      </c>
      <c r="E52" s="74">
        <v>-38500</v>
      </c>
      <c r="F52" s="79">
        <v>-354.58499999999998</v>
      </c>
      <c r="G52" s="76"/>
      <c r="H52" s="127">
        <f>+ROUND(F52/VLOOKUP("Grand Total",$B$4:$F$282,5,0),4)</f>
        <v>-0.02</v>
      </c>
      <c r="I52" s="103">
        <v>43342</v>
      </c>
      <c r="J52" s="100"/>
      <c r="K52" s="89"/>
      <c r="L52" s="102"/>
    </row>
    <row r="53" spans="1:12" s="65" customFormat="1" ht="12.75" customHeight="1" x14ac:dyDescent="0.2">
      <c r="A53" s="77">
        <f t="shared" si="2"/>
        <v>42</v>
      </c>
      <c r="B53" s="77" t="s">
        <v>180</v>
      </c>
      <c r="C53" s="65" t="s">
        <v>20</v>
      </c>
      <c r="D53" s="77" t="s">
        <v>19</v>
      </c>
      <c r="E53" s="74">
        <v>105000</v>
      </c>
      <c r="F53" s="79">
        <v>277.30500000000001</v>
      </c>
      <c r="G53" s="76">
        <f>+ROUND(F53/VLOOKUP("Grand Total",$B$4:$F$282,5,0),4)</f>
        <v>1.5599999999999999E-2</v>
      </c>
      <c r="H53" s="76"/>
      <c r="I53" s="90" t="s">
        <v>322</v>
      </c>
      <c r="J53" s="100"/>
      <c r="K53" s="89" t="s">
        <v>263</v>
      </c>
      <c r="L53" s="102">
        <f>SUMIFS($G$5:$G$298,$D$5:$D$298,K53)</f>
        <v>1.6799999999999999E-2</v>
      </c>
    </row>
    <row r="54" spans="1:12" s="65" customFormat="1" ht="12.75" customHeight="1" x14ac:dyDescent="0.2">
      <c r="A54" s="77">
        <f t="shared" si="2"/>
        <v>43</v>
      </c>
      <c r="B54" s="77" t="s">
        <v>180</v>
      </c>
      <c r="C54" s="120" t="s">
        <v>704</v>
      </c>
      <c r="D54" s="77" t="s">
        <v>288</v>
      </c>
      <c r="E54" s="74">
        <v>-105000</v>
      </c>
      <c r="F54" s="79">
        <v>-278.19749999999999</v>
      </c>
      <c r="G54" s="76"/>
      <c r="H54" s="127">
        <f>+ROUND(F54/VLOOKUP("Grand Total",$B$4:$F$282,5,0),4)</f>
        <v>-1.5699999999999999E-2</v>
      </c>
      <c r="I54" s="103">
        <v>43342</v>
      </c>
      <c r="J54" s="100"/>
      <c r="K54" s="89"/>
      <c r="L54" s="102"/>
    </row>
    <row r="55" spans="1:12" s="65" customFormat="1" ht="12.75" customHeight="1" x14ac:dyDescent="0.2">
      <c r="A55" s="77">
        <f t="shared" si="2"/>
        <v>44</v>
      </c>
      <c r="B55" s="77" t="s">
        <v>183</v>
      </c>
      <c r="C55" s="65" t="s">
        <v>37</v>
      </c>
      <c r="D55" s="77" t="s">
        <v>19</v>
      </c>
      <c r="E55" s="74">
        <v>6250</v>
      </c>
      <c r="F55" s="79">
        <v>168.75312500000001</v>
      </c>
      <c r="G55" s="76">
        <f>+ROUND(F55/VLOOKUP("Grand Total",$B$4:$F$282,5,0),4)</f>
        <v>9.4999999999999998E-3</v>
      </c>
      <c r="H55" s="76"/>
      <c r="I55" s="90" t="s">
        <v>322</v>
      </c>
      <c r="J55" s="100"/>
      <c r="K55" s="89"/>
      <c r="L55" s="102"/>
    </row>
    <row r="56" spans="1:12" s="65" customFormat="1" ht="12.75" customHeight="1" x14ac:dyDescent="0.2">
      <c r="A56" s="77">
        <f t="shared" si="2"/>
        <v>45</v>
      </c>
      <c r="B56" s="77" t="s">
        <v>183</v>
      </c>
      <c r="C56" s="120" t="s">
        <v>704</v>
      </c>
      <c r="D56" s="77" t="s">
        <v>288</v>
      </c>
      <c r="E56" s="74">
        <v>-6250</v>
      </c>
      <c r="F56" s="79">
        <v>-169.67500000000001</v>
      </c>
      <c r="G56" s="76"/>
      <c r="H56" s="127">
        <f>+ROUND(F56/VLOOKUP("Grand Total",$B$4:$F$282,5,0),4)</f>
        <v>-9.5999999999999992E-3</v>
      </c>
      <c r="I56" s="103">
        <v>43342</v>
      </c>
      <c r="J56" s="100"/>
      <c r="K56" s="89"/>
      <c r="L56" s="102"/>
    </row>
    <row r="57" spans="1:12" s="65" customFormat="1" ht="12.75" customHeight="1" x14ac:dyDescent="0.2">
      <c r="A57" s="77">
        <f t="shared" si="2"/>
        <v>46</v>
      </c>
      <c r="B57" s="77" t="s">
        <v>403</v>
      </c>
      <c r="C57" s="65" t="s">
        <v>404</v>
      </c>
      <c r="D57" s="77" t="s">
        <v>19</v>
      </c>
      <c r="E57" s="74">
        <v>8800</v>
      </c>
      <c r="F57" s="79">
        <v>81.668400000000005</v>
      </c>
      <c r="G57" s="76">
        <f>+ROUND(F57/VLOOKUP("Grand Total",$B$4:$F$282,5,0),4)</f>
        <v>4.5999999999999999E-3</v>
      </c>
      <c r="H57" s="76"/>
      <c r="I57" s="90" t="s">
        <v>322</v>
      </c>
      <c r="J57" s="100"/>
      <c r="K57" s="89"/>
      <c r="L57" s="102"/>
    </row>
    <row r="58" spans="1:12" s="65" customFormat="1" ht="12.75" customHeight="1" x14ac:dyDescent="0.2">
      <c r="A58" s="77">
        <f t="shared" si="2"/>
        <v>47</v>
      </c>
      <c r="B58" s="77" t="s">
        <v>403</v>
      </c>
      <c r="C58" s="120" t="s">
        <v>704</v>
      </c>
      <c r="D58" s="77" t="s">
        <v>288</v>
      </c>
      <c r="E58" s="74">
        <v>-8800</v>
      </c>
      <c r="F58" s="79">
        <v>-81.9148</v>
      </c>
      <c r="G58" s="76"/>
      <c r="H58" s="127">
        <f>+ROUND(F58/VLOOKUP("Grand Total",$B$4:$F$282,5,0),4)</f>
        <v>-4.5999999999999999E-3</v>
      </c>
      <c r="I58" s="103">
        <v>43342</v>
      </c>
      <c r="J58" s="100"/>
      <c r="K58" s="89"/>
      <c r="L58" s="102"/>
    </row>
    <row r="59" spans="1:12" s="65" customFormat="1" ht="12.75" customHeight="1" x14ac:dyDescent="0.2">
      <c r="A59" s="77">
        <f t="shared" si="2"/>
        <v>48</v>
      </c>
      <c r="B59" s="77" t="s">
        <v>268</v>
      </c>
      <c r="C59" s="65" t="s">
        <v>167</v>
      </c>
      <c r="D59" s="77" t="s">
        <v>34</v>
      </c>
      <c r="E59" s="74">
        <v>182000</v>
      </c>
      <c r="F59" s="79">
        <v>60.97</v>
      </c>
      <c r="G59" s="76">
        <f>+ROUND(F59/VLOOKUP("Grand Total",$B$4:$F$282,5,0),4)</f>
        <v>3.3999999999999998E-3</v>
      </c>
      <c r="H59" s="76"/>
      <c r="I59" s="90" t="s">
        <v>322</v>
      </c>
      <c r="J59" s="100"/>
      <c r="K59" s="89"/>
      <c r="L59" s="102"/>
    </row>
    <row r="60" spans="1:12" s="65" customFormat="1" ht="12.75" customHeight="1" x14ac:dyDescent="0.2">
      <c r="A60" s="77">
        <f t="shared" si="2"/>
        <v>49</v>
      </c>
      <c r="B60" s="77" t="s">
        <v>268</v>
      </c>
      <c r="C60" s="120" t="s">
        <v>704</v>
      </c>
      <c r="D60" s="77" t="s">
        <v>288</v>
      </c>
      <c r="E60" s="74">
        <v>-182000</v>
      </c>
      <c r="F60" s="79">
        <v>-61.334000000000003</v>
      </c>
      <c r="G60" s="76"/>
      <c r="H60" s="127">
        <f>+ROUND(F60/VLOOKUP("Grand Total",$B$4:$F$282,5,0),4)</f>
        <v>-3.5000000000000001E-3</v>
      </c>
      <c r="I60" s="103">
        <v>43342</v>
      </c>
      <c r="J60" s="100"/>
      <c r="K60" s="89"/>
      <c r="L60" s="102"/>
    </row>
    <row r="61" spans="1:12" s="65" customFormat="1" ht="12.75" customHeight="1" x14ac:dyDescent="0.2">
      <c r="A61" s="77">
        <f t="shared" si="2"/>
        <v>50</v>
      </c>
      <c r="B61" s="77" t="s">
        <v>347</v>
      </c>
      <c r="C61" s="65" t="s">
        <v>123</v>
      </c>
      <c r="D61" s="77" t="s">
        <v>19</v>
      </c>
      <c r="E61" s="74">
        <v>36400</v>
      </c>
      <c r="F61" s="79">
        <v>52.379600000000003</v>
      </c>
      <c r="G61" s="76">
        <f>+ROUND(F61/VLOOKUP("Grand Total",$B$4:$F$282,5,0),4)</f>
        <v>2.8999999999999998E-3</v>
      </c>
      <c r="H61" s="76"/>
      <c r="I61" s="90" t="s">
        <v>322</v>
      </c>
      <c r="J61" s="100"/>
      <c r="K61" s="89"/>
      <c r="L61" s="102"/>
    </row>
    <row r="62" spans="1:12" s="65" customFormat="1" ht="12.75" customHeight="1" x14ac:dyDescent="0.2">
      <c r="A62" s="77">
        <f t="shared" si="2"/>
        <v>51</v>
      </c>
      <c r="B62" s="77" t="s">
        <v>347</v>
      </c>
      <c r="C62" s="120" t="s">
        <v>704</v>
      </c>
      <c r="D62" s="77" t="s">
        <v>288</v>
      </c>
      <c r="E62" s="74">
        <v>-36400</v>
      </c>
      <c r="F62" s="79">
        <v>-52.6526</v>
      </c>
      <c r="G62" s="76"/>
      <c r="H62" s="127">
        <f>+ROUND(F62/VLOOKUP("Grand Total",$B$4:$F$282,5,0),4)</f>
        <v>-3.0000000000000001E-3</v>
      </c>
      <c r="I62" s="103">
        <v>43342</v>
      </c>
      <c r="J62" s="100"/>
      <c r="K62" s="89"/>
      <c r="L62" s="102"/>
    </row>
    <row r="63" spans="1:12" s="65" customFormat="1" ht="12.75" customHeight="1" x14ac:dyDescent="0.2">
      <c r="A63" s="77">
        <f t="shared" si="2"/>
        <v>52</v>
      </c>
      <c r="B63" s="77" t="s">
        <v>724</v>
      </c>
      <c r="C63" s="65" t="s">
        <v>725</v>
      </c>
      <c r="D63" s="77" t="s">
        <v>21</v>
      </c>
      <c r="E63" s="74">
        <v>4500</v>
      </c>
      <c r="F63" s="79">
        <v>26.469000000000001</v>
      </c>
      <c r="G63" s="76">
        <f>+ROUND(F63/VLOOKUP("Grand Total",$B$4:$F$282,5,0),4)</f>
        <v>1.5E-3</v>
      </c>
      <c r="H63" s="76"/>
      <c r="I63" s="90" t="s">
        <v>322</v>
      </c>
      <c r="J63" s="100"/>
      <c r="K63" s="89"/>
      <c r="L63" s="102"/>
    </row>
    <row r="64" spans="1:12" s="65" customFormat="1" ht="12.75" customHeight="1" x14ac:dyDescent="0.2">
      <c r="A64" s="77">
        <f t="shared" si="2"/>
        <v>53</v>
      </c>
      <c r="B64" s="77" t="s">
        <v>724</v>
      </c>
      <c r="C64" s="120" t="s">
        <v>704</v>
      </c>
      <c r="D64" s="77" t="s">
        <v>288</v>
      </c>
      <c r="E64" s="74">
        <v>-4500</v>
      </c>
      <c r="F64" s="79">
        <v>-26.559000000000001</v>
      </c>
      <c r="G64" s="76"/>
      <c r="H64" s="127">
        <f>+ROUND(F64/VLOOKUP("Grand Total",$B$4:$F$282,5,0),4)</f>
        <v>-1.5E-3</v>
      </c>
      <c r="I64" s="103">
        <v>43342</v>
      </c>
      <c r="J64" s="100"/>
      <c r="K64" s="89"/>
      <c r="L64" s="102"/>
    </row>
    <row r="65" spans="1:13" s="46" customFormat="1" ht="12.75" customHeight="1" x14ac:dyDescent="0.2">
      <c r="A65"/>
      <c r="B65" s="18" t="s">
        <v>82</v>
      </c>
      <c r="C65" s="18"/>
      <c r="D65" s="18"/>
      <c r="E65" s="19"/>
      <c r="F65" s="125">
        <f>+F37+F39+F41+F43+F45+F47+F49+F51+F53+F55+F57+F59+F61+F63</f>
        <v>5859.3161250000003</v>
      </c>
      <c r="G65" s="20">
        <f>+G37+G39+G41+G43+G45+G47+G49+G51+G53+G55+G57+G59+G61+G63</f>
        <v>0.32990000000000003</v>
      </c>
      <c r="H65" s="123">
        <f>SUM(H38:H64)</f>
        <v>-0.33110000000000006</v>
      </c>
      <c r="I65" s="21"/>
      <c r="J65" s="56"/>
      <c r="L65" s="48"/>
    </row>
    <row r="66" spans="1:13" ht="12.75" customHeight="1" x14ac:dyDescent="0.2">
      <c r="F66" s="28"/>
      <c r="G66" s="28"/>
      <c r="H66" s="28"/>
      <c r="I66" s="15"/>
      <c r="J66" s="56"/>
    </row>
    <row r="67" spans="1:13" s="46" customFormat="1" ht="12.75" customHeight="1" x14ac:dyDescent="0.2">
      <c r="A67"/>
      <c r="B67" s="16" t="s">
        <v>88</v>
      </c>
      <c r="C67" s="16"/>
      <c r="D67"/>
      <c r="E67" s="28"/>
      <c r="F67" s="28"/>
      <c r="G67" s="28"/>
      <c r="H67" s="28"/>
      <c r="I67" s="15"/>
      <c r="J67" s="56"/>
      <c r="L67" s="48"/>
    </row>
    <row r="68" spans="1:13" s="46" customFormat="1" ht="12.75" customHeight="1" x14ac:dyDescent="0.2">
      <c r="A68"/>
      <c r="B68" s="16" t="s">
        <v>273</v>
      </c>
      <c r="C68" s="16"/>
      <c r="D68"/>
      <c r="E68" s="28"/>
      <c r="F68" s="13"/>
      <c r="G68" s="14"/>
      <c r="H68" s="14"/>
      <c r="I68" s="15"/>
      <c r="J68" s="56"/>
      <c r="K68"/>
      <c r="L68" s="36"/>
    </row>
    <row r="69" spans="1:13" s="46" customFormat="1" ht="12.75" customHeight="1" x14ac:dyDescent="0.2">
      <c r="A69" s="77">
        <f>+MAX($A$8:A68)+1</f>
        <v>54</v>
      </c>
      <c r="B69" t="s">
        <v>726</v>
      </c>
      <c r="C69" t="s">
        <v>727</v>
      </c>
      <c r="D69" t="s">
        <v>152</v>
      </c>
      <c r="E69" s="28">
        <v>120</v>
      </c>
      <c r="F69" s="13">
        <v>599.09760000000006</v>
      </c>
      <c r="G69" s="76">
        <f>+ROUND(F69/VLOOKUP("Grand Total",$B$4:$F$282,5,0),4)</f>
        <v>3.3700000000000001E-2</v>
      </c>
      <c r="H69" s="76"/>
      <c r="I69" s="15">
        <v>43318</v>
      </c>
      <c r="J69" s="56"/>
      <c r="K69"/>
      <c r="L69" s="36"/>
    </row>
    <row r="70" spans="1:13" s="46" customFormat="1" ht="12.75" customHeight="1" x14ac:dyDescent="0.2">
      <c r="A70" s="77">
        <f>+MAX($A$8:A69)+1</f>
        <v>55</v>
      </c>
      <c r="B70" t="s">
        <v>656</v>
      </c>
      <c r="C70" t="s">
        <v>657</v>
      </c>
      <c r="D70" t="s">
        <v>152</v>
      </c>
      <c r="E70" s="28">
        <v>100</v>
      </c>
      <c r="F70" s="13">
        <v>497.69549999999998</v>
      </c>
      <c r="G70" s="76">
        <f>+ROUND(F70/VLOOKUP("Grand Total",$B$4:$F$282,5,0),4)</f>
        <v>2.8000000000000001E-2</v>
      </c>
      <c r="H70" s="76"/>
      <c r="I70" s="15">
        <v>43335</v>
      </c>
      <c r="J70" s="56"/>
      <c r="K70"/>
      <c r="L70" s="36"/>
    </row>
    <row r="71" spans="1:13" s="46" customFormat="1" ht="12.75" customHeight="1" x14ac:dyDescent="0.2">
      <c r="A71" s="77">
        <f>+MAX($A$8:A70)+1</f>
        <v>56</v>
      </c>
      <c r="B71" t="s">
        <v>262</v>
      </c>
      <c r="C71" t="s">
        <v>477</v>
      </c>
      <c r="D71" t="s">
        <v>463</v>
      </c>
      <c r="E71" s="28">
        <v>20</v>
      </c>
      <c r="F71" s="13">
        <v>97.426699999999997</v>
      </c>
      <c r="G71" s="76">
        <f>+ROUND(F71/VLOOKUP("Grand Total",$B$4:$F$282,5,0),4)</f>
        <v>5.4999999999999997E-3</v>
      </c>
      <c r="H71" s="76"/>
      <c r="I71" s="15">
        <v>43430</v>
      </c>
      <c r="J71" s="56"/>
      <c r="K71"/>
      <c r="L71" s="36"/>
    </row>
    <row r="72" spans="1:13" ht="12.75" customHeight="1" x14ac:dyDescent="0.2">
      <c r="B72" s="18" t="s">
        <v>82</v>
      </c>
      <c r="C72" s="18"/>
      <c r="D72" s="18"/>
      <c r="E72" s="29"/>
      <c r="F72" s="19">
        <f>SUM(F69:F71)</f>
        <v>1194.2198000000001</v>
      </c>
      <c r="G72" s="20">
        <f>SUM(G69:G71)</f>
        <v>6.720000000000001E-2</v>
      </c>
      <c r="H72" s="20"/>
      <c r="I72" s="21"/>
      <c r="J72" s="56"/>
    </row>
    <row r="73" spans="1:13" ht="12.75" customHeight="1" x14ac:dyDescent="0.2">
      <c r="F73" s="44"/>
      <c r="G73" s="14"/>
      <c r="H73" s="14"/>
      <c r="I73" s="15"/>
      <c r="J73" s="56"/>
    </row>
    <row r="74" spans="1:13" ht="12.75" customHeight="1" x14ac:dyDescent="0.2">
      <c r="B74" s="16" t="s">
        <v>157</v>
      </c>
      <c r="F74" s="13"/>
      <c r="G74" s="14"/>
      <c r="H74" s="14"/>
      <c r="I74" s="15"/>
      <c r="J74" s="56"/>
    </row>
    <row r="75" spans="1:13" ht="12.75" customHeight="1" x14ac:dyDescent="0.2">
      <c r="A75" s="77">
        <f>+MAX($A$8:A74)+1</f>
        <v>57</v>
      </c>
      <c r="B75" t="s">
        <v>464</v>
      </c>
      <c r="C75" t="s">
        <v>675</v>
      </c>
      <c r="D75" t="s">
        <v>354</v>
      </c>
      <c r="E75" s="28">
        <v>85000</v>
      </c>
      <c r="F75" s="13">
        <v>84.569730000000007</v>
      </c>
      <c r="G75" s="76">
        <f>+ROUND(F75/VLOOKUP("Grand Total",$B$4:$F$282,5,0),4)</f>
        <v>4.7999999999999996E-3</v>
      </c>
      <c r="H75" s="76"/>
      <c r="I75" s="15">
        <v>43342</v>
      </c>
      <c r="J75" s="55"/>
    </row>
    <row r="76" spans="1:13" s="46" customFormat="1" ht="12.75" customHeight="1" x14ac:dyDescent="0.2">
      <c r="A76"/>
      <c r="B76" s="18" t="s">
        <v>82</v>
      </c>
      <c r="C76" s="18"/>
      <c r="D76" s="18"/>
      <c r="E76" s="29"/>
      <c r="F76" s="19">
        <f>SUM(F75)</f>
        <v>84.569730000000007</v>
      </c>
      <c r="G76" s="20">
        <f>SUM(G75)</f>
        <v>4.7999999999999996E-3</v>
      </c>
      <c r="H76" s="20"/>
      <c r="I76" s="21"/>
      <c r="J76" s="55"/>
      <c r="K76" s="36"/>
      <c r="L76"/>
      <c r="M76"/>
    </row>
    <row r="77" spans="1:13" s="46" customFormat="1" ht="12.75" customHeight="1" x14ac:dyDescent="0.2">
      <c r="B77" s="67"/>
      <c r="C77" s="67"/>
      <c r="D77" s="67"/>
      <c r="E77" s="68"/>
      <c r="F77" s="69"/>
      <c r="G77" s="70"/>
      <c r="H77" s="70"/>
      <c r="I77" s="71"/>
      <c r="J77" s="55"/>
      <c r="K77" s="48"/>
    </row>
    <row r="78" spans="1:13" ht="12.75" customHeight="1" x14ac:dyDescent="0.2">
      <c r="B78" s="16" t="s">
        <v>158</v>
      </c>
      <c r="F78" s="13"/>
      <c r="G78" s="14"/>
      <c r="H78" s="14"/>
      <c r="I78" s="15"/>
      <c r="J78" s="56"/>
    </row>
    <row r="79" spans="1:13" ht="12.75" customHeight="1" x14ac:dyDescent="0.2">
      <c r="A79" s="77">
        <f>+MAX($A$8:A78)+1</f>
        <v>58</v>
      </c>
      <c r="B79" t="s">
        <v>641</v>
      </c>
      <c r="C79" t="s">
        <v>642</v>
      </c>
      <c r="D79" t="s">
        <v>354</v>
      </c>
      <c r="E79" s="28">
        <v>100000</v>
      </c>
      <c r="F79" s="13">
        <v>97.08</v>
      </c>
      <c r="G79" s="76">
        <f>+ROUND(F79/VLOOKUP("Grand Total",$B$4:$F$282,5,0),4)</f>
        <v>5.4999999999999997E-3</v>
      </c>
      <c r="H79" s="76"/>
      <c r="I79" s="15">
        <v>45066</v>
      </c>
      <c r="J79" s="55"/>
    </row>
    <row r="80" spans="1:13" s="46" customFormat="1" ht="12.75" customHeight="1" x14ac:dyDescent="0.2">
      <c r="A80"/>
      <c r="B80" s="18" t="s">
        <v>82</v>
      </c>
      <c r="C80" s="18"/>
      <c r="D80" s="18"/>
      <c r="E80" s="29"/>
      <c r="F80" s="19">
        <f>SUM(F79:F79)</f>
        <v>97.08</v>
      </c>
      <c r="G80" s="20">
        <f>SUM(G79:G79)</f>
        <v>5.4999999999999997E-3</v>
      </c>
      <c r="H80" s="20"/>
      <c r="I80" s="21"/>
      <c r="J80" s="55"/>
      <c r="K80" s="36"/>
      <c r="L80"/>
      <c r="M80"/>
    </row>
    <row r="81" spans="1:13" s="46" customFormat="1" ht="12.75" customHeight="1" x14ac:dyDescent="0.2">
      <c r="B81" s="67"/>
      <c r="C81" s="67"/>
      <c r="D81" s="67"/>
      <c r="E81" s="68"/>
      <c r="F81" s="69"/>
      <c r="G81" s="70"/>
      <c r="H81" s="70"/>
      <c r="I81" s="71"/>
      <c r="J81" s="55"/>
      <c r="K81" s="48"/>
    </row>
    <row r="82" spans="1:13" ht="12.75" customHeight="1" x14ac:dyDescent="0.2">
      <c r="B82" s="16" t="s">
        <v>120</v>
      </c>
      <c r="F82" s="44"/>
      <c r="G82" s="14"/>
      <c r="H82" s="14"/>
      <c r="I82" s="15"/>
      <c r="J82" s="56"/>
      <c r="K82" s="36"/>
      <c r="L82"/>
    </row>
    <row r="83" spans="1:13" s="46" customFormat="1" ht="12.75" customHeight="1" x14ac:dyDescent="0.2">
      <c r="B83" s="31" t="s">
        <v>356</v>
      </c>
      <c r="C83" s="16"/>
      <c r="D83"/>
      <c r="E83" s="28"/>
      <c r="F83" s="13"/>
      <c r="G83" s="14"/>
      <c r="H83" s="14"/>
      <c r="I83" s="71"/>
      <c r="J83" s="55"/>
      <c r="K83" s="48"/>
    </row>
    <row r="84" spans="1:13" s="46" customFormat="1" ht="12.75" customHeight="1" x14ac:dyDescent="0.2">
      <c r="A84" s="77">
        <f>+MAX($A$8:A83)+1</f>
        <v>59</v>
      </c>
      <c r="B84" s="65" t="s">
        <v>755</v>
      </c>
      <c r="C84" s="92" t="s">
        <v>677</v>
      </c>
      <c r="D84" t="s">
        <v>315</v>
      </c>
      <c r="E84" s="28">
        <v>60000</v>
      </c>
      <c r="F84" s="13">
        <v>590.92439999999999</v>
      </c>
      <c r="G84" s="76">
        <f t="shared" ref="G84:G89" si="3">+ROUND(F84/VLOOKUP("Grand Total",$B$4:$F$282,5,0),4)</f>
        <v>3.3300000000000003E-2</v>
      </c>
      <c r="H84" s="76"/>
      <c r="I84" s="64">
        <v>44351</v>
      </c>
      <c r="J84" s="55"/>
      <c r="K84" s="48"/>
    </row>
    <row r="85" spans="1:13" s="46" customFormat="1" ht="12.75" customHeight="1" x14ac:dyDescent="0.2">
      <c r="A85" s="77">
        <f>+MAX($A$8:A84)+1</f>
        <v>60</v>
      </c>
      <c r="B85" s="65" t="s">
        <v>756</v>
      </c>
      <c r="C85" s="92" t="s">
        <v>679</v>
      </c>
      <c r="D85" t="s">
        <v>381</v>
      </c>
      <c r="E85" s="28">
        <v>50</v>
      </c>
      <c r="F85" s="13">
        <v>495.66849999999999</v>
      </c>
      <c r="G85" s="76">
        <f t="shared" si="3"/>
        <v>2.7900000000000001E-2</v>
      </c>
      <c r="H85" s="76"/>
      <c r="I85" s="64">
        <v>43616</v>
      </c>
      <c r="J85" s="55"/>
      <c r="K85" s="48"/>
    </row>
    <row r="86" spans="1:13" s="46" customFormat="1" ht="12.75" customHeight="1" x14ac:dyDescent="0.2">
      <c r="A86" s="77">
        <f>+MAX($A$8:A85)+1</f>
        <v>61</v>
      </c>
      <c r="B86" s="65" t="s">
        <v>757</v>
      </c>
      <c r="C86" s="92" t="s">
        <v>423</v>
      </c>
      <c r="D86" t="s">
        <v>381</v>
      </c>
      <c r="E86" s="28">
        <v>40</v>
      </c>
      <c r="F86" s="13">
        <v>397.49239999999998</v>
      </c>
      <c r="G86" s="76">
        <f t="shared" si="3"/>
        <v>2.24E-2</v>
      </c>
      <c r="H86" s="76"/>
      <c r="I86" s="64">
        <v>43671</v>
      </c>
      <c r="J86" s="55"/>
      <c r="K86" s="48"/>
    </row>
    <row r="87" spans="1:13" s="46" customFormat="1" ht="12.75" customHeight="1" x14ac:dyDescent="0.2">
      <c r="A87" s="77">
        <f>+MAX($A$8:A86)+1</f>
        <v>62</v>
      </c>
      <c r="B87" s="65" t="s">
        <v>758</v>
      </c>
      <c r="C87" s="92" t="s">
        <v>406</v>
      </c>
      <c r="D87" t="s">
        <v>263</v>
      </c>
      <c r="E87" s="28">
        <v>30</v>
      </c>
      <c r="F87" s="13">
        <v>298.83690000000001</v>
      </c>
      <c r="G87" s="76">
        <f t="shared" si="3"/>
        <v>1.6799999999999999E-2</v>
      </c>
      <c r="H87" s="76"/>
      <c r="I87" s="64">
        <v>43630</v>
      </c>
      <c r="J87" s="55"/>
      <c r="K87" s="48"/>
    </row>
    <row r="88" spans="1:13" s="46" customFormat="1" ht="12.75" customHeight="1" x14ac:dyDescent="0.2">
      <c r="A88" s="77">
        <f>+MAX($A$8:A87)+1</f>
        <v>63</v>
      </c>
      <c r="B88" s="65" t="s">
        <v>314</v>
      </c>
      <c r="C88" s="92" t="s">
        <v>440</v>
      </c>
      <c r="D88" t="s">
        <v>315</v>
      </c>
      <c r="E88" s="28">
        <v>20000</v>
      </c>
      <c r="F88" s="13">
        <v>199.31780000000001</v>
      </c>
      <c r="G88" s="76">
        <f t="shared" si="3"/>
        <v>1.12E-2</v>
      </c>
      <c r="H88" s="76"/>
      <c r="I88" s="64">
        <v>43717</v>
      </c>
      <c r="J88" s="55"/>
      <c r="K88" s="48"/>
    </row>
    <row r="89" spans="1:13" s="46" customFormat="1" ht="12.75" customHeight="1" x14ac:dyDescent="0.2">
      <c r="A89" s="77">
        <f>+MAX($A$8:A88)+1</f>
        <v>64</v>
      </c>
      <c r="B89" s="65" t="s">
        <v>760</v>
      </c>
      <c r="C89" s="92" t="s">
        <v>362</v>
      </c>
      <c r="D89" t="s">
        <v>315</v>
      </c>
      <c r="E89" s="28">
        <v>4</v>
      </c>
      <c r="F89" s="13">
        <v>40.002360000000003</v>
      </c>
      <c r="G89" s="76">
        <f t="shared" si="3"/>
        <v>2.3E-3</v>
      </c>
      <c r="H89" s="76"/>
      <c r="I89" s="64">
        <v>43322</v>
      </c>
      <c r="J89" s="55"/>
      <c r="K89" s="48"/>
    </row>
    <row r="90" spans="1:13" ht="12.75" customHeight="1" x14ac:dyDescent="0.2">
      <c r="A90" s="46"/>
      <c r="B90" s="18" t="s">
        <v>82</v>
      </c>
      <c r="C90" s="18"/>
      <c r="D90" s="18"/>
      <c r="E90" s="29"/>
      <c r="F90" s="19">
        <f>SUM(F84:F89)</f>
        <v>2022.2423600000002</v>
      </c>
      <c r="G90" s="20">
        <f>SUM(G84:G89)</f>
        <v>0.1139</v>
      </c>
      <c r="H90" s="20"/>
      <c r="I90" s="63"/>
      <c r="J90" s="56"/>
      <c r="K90" s="48"/>
      <c r="L90" s="46"/>
      <c r="M90" s="46"/>
    </row>
    <row r="91" spans="1:13" ht="12.75" customHeight="1" x14ac:dyDescent="0.2">
      <c r="F91" s="44"/>
      <c r="G91" s="14"/>
      <c r="H91" s="14"/>
      <c r="I91" s="15"/>
      <c r="J91" s="56"/>
      <c r="K91" s="36"/>
      <c r="L91"/>
    </row>
    <row r="92" spans="1:13" ht="12.75" customHeight="1" x14ac:dyDescent="0.2">
      <c r="B92" s="16" t="s">
        <v>89</v>
      </c>
      <c r="C92" s="16"/>
      <c r="F92" s="13"/>
      <c r="G92" s="14"/>
      <c r="H92" s="14"/>
      <c r="I92" s="73"/>
      <c r="J92"/>
      <c r="K92" s="36"/>
      <c r="L92"/>
    </row>
    <row r="93" spans="1:13" ht="12.75" customHeight="1" x14ac:dyDescent="0.2">
      <c r="A93" s="77">
        <f>+MAX($A$8:A92)+1</f>
        <v>65</v>
      </c>
      <c r="B93" t="s">
        <v>380</v>
      </c>
      <c r="C93" t="s">
        <v>308</v>
      </c>
      <c r="D93" t="s">
        <v>285</v>
      </c>
      <c r="E93" s="28">
        <v>20340.004499999999</v>
      </c>
      <c r="F93" s="13">
        <v>351.26966070000003</v>
      </c>
      <c r="G93" s="76">
        <f>+ROUND(F93/VLOOKUP("Grand Total",$B$4:$F$282,5,0),4)</f>
        <v>1.9800000000000002E-2</v>
      </c>
      <c r="H93" s="76"/>
      <c r="I93" s="73" t="s">
        <v>322</v>
      </c>
      <c r="J93"/>
      <c r="K93" s="36"/>
      <c r="L93"/>
    </row>
    <row r="94" spans="1:13" ht="12.75" customHeight="1" x14ac:dyDescent="0.2">
      <c r="B94" s="18" t="s">
        <v>82</v>
      </c>
      <c r="C94" s="18"/>
      <c r="D94" s="18"/>
      <c r="E94" s="29"/>
      <c r="F94" s="19">
        <f>SUM(F93:F93)</f>
        <v>351.26966070000003</v>
      </c>
      <c r="G94" s="20">
        <f>SUM(G93)</f>
        <v>1.9800000000000002E-2</v>
      </c>
      <c r="H94" s="20"/>
      <c r="I94" s="21"/>
      <c r="J94"/>
      <c r="K94" s="36"/>
      <c r="L94"/>
    </row>
    <row r="95" spans="1:13" s="46" customFormat="1" ht="12.75" customHeight="1" x14ac:dyDescent="0.2">
      <c r="B95" s="67"/>
      <c r="C95" s="67"/>
      <c r="D95" s="67"/>
      <c r="E95" s="68"/>
      <c r="F95" s="69"/>
      <c r="G95" s="70"/>
      <c r="H95" s="70"/>
      <c r="K95" s="48"/>
    </row>
    <row r="96" spans="1:13" ht="12.75" customHeight="1" x14ac:dyDescent="0.2">
      <c r="B96" s="16" t="s">
        <v>91</v>
      </c>
      <c r="C96" s="16"/>
      <c r="F96" s="13"/>
      <c r="G96" s="14"/>
      <c r="H96" s="14"/>
      <c r="I96" s="15"/>
      <c r="J96" s="56"/>
    </row>
    <row r="97" spans="1:12" ht="12.75" customHeight="1" x14ac:dyDescent="0.2">
      <c r="A97" s="94" t="s">
        <v>321</v>
      </c>
      <c r="B97" s="16" t="s">
        <v>658</v>
      </c>
      <c r="C97" s="16"/>
      <c r="F97" s="13">
        <v>1063.37202</v>
      </c>
      <c r="G97" s="76">
        <f>+ROUND(F97/VLOOKUP("Grand Total",$B$4:$F$282,5,0),4)</f>
        <v>5.9900000000000002E-2</v>
      </c>
      <c r="H97" s="76"/>
      <c r="I97" s="15">
        <v>43313</v>
      </c>
      <c r="J97" s="55"/>
    </row>
    <row r="98" spans="1:12" ht="12.75" customHeight="1" x14ac:dyDescent="0.2">
      <c r="B98" s="16" t="s">
        <v>92</v>
      </c>
      <c r="C98" s="16"/>
      <c r="F98" s="44">
        <f>+F100-SUMIF($B$5:B96,"Total",$F$5:F96)-VLOOKUP(B97,$B$7:F98,5,0)</f>
        <v>1088.5999455999943</v>
      </c>
      <c r="G98" s="14">
        <f>+ROUND(F98/VLOOKUP("Grand Total",$B$4:$F$263,5,0),4)-0.01%</f>
        <v>6.1199999999999997E-2</v>
      </c>
      <c r="H98" s="14"/>
      <c r="I98" s="15"/>
      <c r="J98" s="55"/>
    </row>
    <row r="99" spans="1:12" ht="12.75" customHeight="1" x14ac:dyDescent="0.2">
      <c r="B99" s="18" t="s">
        <v>82</v>
      </c>
      <c r="C99" s="18"/>
      <c r="D99" s="18"/>
      <c r="E99" s="29"/>
      <c r="F99" s="19">
        <f>SUM(F97:F98)</f>
        <v>2151.9719655999943</v>
      </c>
      <c r="G99" s="20">
        <f>SUM(G97:G98)</f>
        <v>0.1211</v>
      </c>
      <c r="H99" s="20"/>
      <c r="I99" s="21"/>
      <c r="J99" s="39"/>
    </row>
    <row r="100" spans="1:12" ht="12.75" customHeight="1" x14ac:dyDescent="0.2">
      <c r="B100" s="22" t="s">
        <v>93</v>
      </c>
      <c r="C100" s="22"/>
      <c r="D100" s="22"/>
      <c r="E100" s="30"/>
      <c r="F100" s="23">
        <v>17763.372650299996</v>
      </c>
      <c r="G100" s="24">
        <f>+SUMIF($B$5:B99,"Total",$G$5:G99)</f>
        <v>1.0000000000000002</v>
      </c>
      <c r="H100" s="24"/>
      <c r="I100" s="25"/>
      <c r="L100"/>
    </row>
    <row r="101" spans="1:12" ht="12.75" customHeight="1" x14ac:dyDescent="0.2">
      <c r="F101" s="40"/>
      <c r="L101"/>
    </row>
    <row r="102" spans="1:12" ht="12.75" customHeight="1" x14ac:dyDescent="0.2">
      <c r="B102" s="16" t="s">
        <v>499</v>
      </c>
      <c r="C102" s="16"/>
      <c r="F102" s="42"/>
      <c r="L102"/>
    </row>
    <row r="103" spans="1:12" ht="12.75" customHeight="1" x14ac:dyDescent="0.2">
      <c r="B103" s="16" t="s">
        <v>171</v>
      </c>
      <c r="C103" s="16"/>
      <c r="G103" s="14"/>
      <c r="H103" s="14"/>
      <c r="L103"/>
    </row>
    <row r="104" spans="1:12" ht="12.75" customHeight="1" x14ac:dyDescent="0.2">
      <c r="B104" s="16"/>
      <c r="C104" s="16"/>
      <c r="L104"/>
    </row>
    <row r="105" spans="1:12" ht="12.75" customHeight="1" x14ac:dyDescent="0.2">
      <c r="L105"/>
    </row>
    <row r="106" spans="1:12" ht="12.75" customHeight="1" x14ac:dyDescent="0.2">
      <c r="L106"/>
    </row>
    <row r="107" spans="1:12" ht="12.75" customHeight="1" x14ac:dyDescent="0.2">
      <c r="L107"/>
    </row>
    <row r="108" spans="1:12" ht="12.75" customHeight="1" x14ac:dyDescent="0.2">
      <c r="L108"/>
    </row>
    <row r="109" spans="1:12" ht="12.75" customHeight="1" x14ac:dyDescent="0.2">
      <c r="L109"/>
    </row>
    <row r="110" spans="1:12" ht="12.75" customHeight="1" x14ac:dyDescent="0.2">
      <c r="L110"/>
    </row>
    <row r="111" spans="1:12" ht="12.75" customHeight="1" x14ac:dyDescent="0.2">
      <c r="L111"/>
    </row>
    <row r="112" spans="1:12" ht="12.75" customHeight="1" x14ac:dyDescent="0.2">
      <c r="L112"/>
    </row>
    <row r="113" spans="5:12" ht="12.75" customHeight="1" x14ac:dyDescent="0.2">
      <c r="J113"/>
      <c r="L113"/>
    </row>
    <row r="114" spans="5:12" ht="12.75" customHeight="1" x14ac:dyDescent="0.2">
      <c r="E114"/>
      <c r="J114"/>
      <c r="L114"/>
    </row>
    <row r="115" spans="5:12" ht="12.75" customHeight="1" x14ac:dyDescent="0.2">
      <c r="E115"/>
      <c r="J115"/>
      <c r="L115"/>
    </row>
    <row r="116" spans="5:12" ht="12.75" customHeight="1" x14ac:dyDescent="0.2">
      <c r="E116"/>
      <c r="J116"/>
      <c r="L116"/>
    </row>
    <row r="117" spans="5:12" ht="12.75" customHeight="1" x14ac:dyDescent="0.2">
      <c r="E117"/>
      <c r="J117"/>
      <c r="L117"/>
    </row>
    <row r="118" spans="5:12" ht="12.75" customHeight="1" x14ac:dyDescent="0.2">
      <c r="E118"/>
      <c r="J118"/>
      <c r="L118"/>
    </row>
    <row r="119" spans="5:12" ht="12.75" customHeight="1" x14ac:dyDescent="0.2">
      <c r="E119"/>
      <c r="J119"/>
      <c r="L119"/>
    </row>
    <row r="120" spans="5:12" ht="12.75" customHeight="1" x14ac:dyDescent="0.2">
      <c r="E120"/>
      <c r="J120"/>
      <c r="L120"/>
    </row>
    <row r="121" spans="5:12" ht="12.75" customHeight="1" x14ac:dyDescent="0.2">
      <c r="E121"/>
      <c r="J121"/>
      <c r="L121"/>
    </row>
    <row r="122" spans="5:12" ht="12.75" customHeight="1" x14ac:dyDescent="0.2">
      <c r="E122"/>
      <c r="J122"/>
      <c r="L122"/>
    </row>
    <row r="123" spans="5:12" ht="12.75" customHeight="1" x14ac:dyDescent="0.2">
      <c r="E123"/>
      <c r="J123"/>
      <c r="L123"/>
    </row>
    <row r="124" spans="5:12" ht="12.75" customHeight="1" x14ac:dyDescent="0.2">
      <c r="E124"/>
      <c r="J124"/>
      <c r="L124"/>
    </row>
    <row r="125" spans="5:12" ht="12.75" customHeight="1" x14ac:dyDescent="0.2">
      <c r="E125"/>
      <c r="J125"/>
      <c r="L125"/>
    </row>
    <row r="126" spans="5:12" ht="12.75" customHeight="1" x14ac:dyDescent="0.2">
      <c r="E126"/>
      <c r="J126"/>
      <c r="L126"/>
    </row>
    <row r="127" spans="5:12" ht="12.75" customHeight="1" x14ac:dyDescent="0.2">
      <c r="E127"/>
      <c r="J127"/>
      <c r="L127"/>
    </row>
    <row r="128" spans="5:12" ht="12.75" customHeight="1" x14ac:dyDescent="0.2">
      <c r="E128"/>
      <c r="J128"/>
      <c r="L128"/>
    </row>
    <row r="129" spans="5:12" ht="12.75" customHeight="1" x14ac:dyDescent="0.2">
      <c r="E129"/>
      <c r="J129"/>
      <c r="L129"/>
    </row>
    <row r="130" spans="5:12" ht="12.75" customHeight="1" x14ac:dyDescent="0.2">
      <c r="E130"/>
      <c r="J130"/>
      <c r="L130"/>
    </row>
    <row r="131" spans="5:12" ht="12.75" customHeight="1" x14ac:dyDescent="0.2">
      <c r="E131"/>
      <c r="J131"/>
      <c r="L131"/>
    </row>
    <row r="132" spans="5:12" ht="12.75" customHeight="1" x14ac:dyDescent="0.2">
      <c r="E132"/>
      <c r="J132"/>
      <c r="L132"/>
    </row>
    <row r="133" spans="5:12" ht="12.75" customHeight="1" x14ac:dyDescent="0.2">
      <c r="E133"/>
      <c r="J133"/>
      <c r="L133"/>
    </row>
    <row r="134" spans="5:12" ht="12.75" customHeight="1" x14ac:dyDescent="0.2">
      <c r="E134"/>
      <c r="J134"/>
      <c r="L134"/>
    </row>
    <row r="135" spans="5:12" ht="12.75" customHeight="1" x14ac:dyDescent="0.2">
      <c r="E135"/>
      <c r="J135"/>
      <c r="L135"/>
    </row>
    <row r="136" spans="5:12" ht="12.75" customHeight="1" x14ac:dyDescent="0.2">
      <c r="E136"/>
      <c r="J136"/>
      <c r="L136"/>
    </row>
    <row r="137" spans="5:12" ht="12.75" customHeight="1" x14ac:dyDescent="0.2">
      <c r="E137"/>
      <c r="J137"/>
      <c r="L137"/>
    </row>
    <row r="138" spans="5:12" ht="12.75" customHeight="1" x14ac:dyDescent="0.2">
      <c r="E138"/>
      <c r="J138"/>
      <c r="L138"/>
    </row>
    <row r="139" spans="5:12" ht="12.75" customHeight="1" x14ac:dyDescent="0.2">
      <c r="E139"/>
      <c r="J139"/>
      <c r="L139"/>
    </row>
    <row r="140" spans="5:12" ht="12.75" customHeight="1" x14ac:dyDescent="0.2">
      <c r="E140"/>
      <c r="J140"/>
      <c r="L140"/>
    </row>
    <row r="141" spans="5:12" ht="12.75" customHeight="1" x14ac:dyDescent="0.2">
      <c r="E141"/>
      <c r="J141"/>
      <c r="L141"/>
    </row>
    <row r="142" spans="5:12" ht="12.75" customHeight="1" x14ac:dyDescent="0.2">
      <c r="E142"/>
      <c r="J142"/>
      <c r="L142"/>
    </row>
    <row r="143" spans="5:12" ht="12.75" customHeight="1" x14ac:dyDescent="0.2">
      <c r="E143"/>
      <c r="J143"/>
      <c r="L143"/>
    </row>
    <row r="144" spans="5:12" ht="12.75" customHeight="1" x14ac:dyDescent="0.2">
      <c r="E144"/>
      <c r="J144"/>
      <c r="L144"/>
    </row>
    <row r="145" spans="5:12" ht="12.75" customHeight="1" x14ac:dyDescent="0.2">
      <c r="E145"/>
      <c r="J145"/>
      <c r="L145"/>
    </row>
    <row r="146" spans="5:12" ht="12.75" customHeight="1" x14ac:dyDescent="0.2">
      <c r="E146"/>
      <c r="J146"/>
      <c r="L146"/>
    </row>
    <row r="147" spans="5:12" ht="12.75" customHeight="1" x14ac:dyDescent="0.2">
      <c r="E147"/>
      <c r="J147"/>
      <c r="L147"/>
    </row>
    <row r="148" spans="5:12" ht="12.75" customHeight="1" x14ac:dyDescent="0.2">
      <c r="E148"/>
      <c r="J148"/>
      <c r="L148"/>
    </row>
    <row r="149" spans="5:12" ht="12.75" customHeight="1" x14ac:dyDescent="0.2">
      <c r="E149"/>
      <c r="J149"/>
      <c r="L149"/>
    </row>
    <row r="150" spans="5:12" ht="12.75" customHeight="1" x14ac:dyDescent="0.2">
      <c r="E150"/>
      <c r="J150"/>
      <c r="L150"/>
    </row>
    <row r="151" spans="5:12" x14ac:dyDescent="0.2">
      <c r="E151"/>
      <c r="J151"/>
      <c r="L151"/>
    </row>
    <row r="152" spans="5:12" x14ac:dyDescent="0.2">
      <c r="E152"/>
    </row>
  </sheetData>
  <sortState ref="K9:L29">
    <sortCondition descending="1" ref="L9:L29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7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7109375" customWidth="1"/>
    <col min="4" max="4" width="21.5703125" bestFit="1" customWidth="1"/>
    <col min="5" max="5" width="12.5703125" style="28" customWidth="1"/>
    <col min="6" max="6" width="22.7109375" bestFit="1" customWidth="1"/>
    <col min="7" max="7" width="14" bestFit="1" customWidth="1"/>
    <col min="8" max="8" width="14" customWidth="1"/>
    <col min="9" max="9" width="13.42578125" bestFit="1" customWidth="1"/>
    <col min="10" max="10" width="15" style="33" customWidth="1"/>
    <col min="11" max="11" width="42.85546875" bestFit="1" customWidth="1"/>
    <col min="12" max="12" width="8" style="36" customWidth="1"/>
    <col min="14" max="14" width="23.7109375" bestFit="1" customWidth="1"/>
  </cols>
  <sheetData>
    <row r="1" spans="1:17" ht="18.75" x14ac:dyDescent="0.2">
      <c r="A1" s="93" t="s">
        <v>335</v>
      </c>
      <c r="B1" s="129" t="s">
        <v>300</v>
      </c>
      <c r="C1" s="130"/>
      <c r="D1" s="130"/>
      <c r="E1" s="130"/>
      <c r="F1" s="130"/>
      <c r="G1" s="130"/>
      <c r="H1" s="130"/>
      <c r="I1" s="131"/>
    </row>
    <row r="2" spans="1:17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  <c r="I2" s="6"/>
    </row>
    <row r="3" spans="1:17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7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126" t="s">
        <v>705</v>
      </c>
      <c r="I4" s="32" t="s">
        <v>6</v>
      </c>
      <c r="J4" s="34"/>
    </row>
    <row r="5" spans="1:17" ht="12.75" customHeight="1" x14ac:dyDescent="0.2">
      <c r="F5" s="13"/>
      <c r="G5" s="14"/>
      <c r="H5" s="14"/>
      <c r="I5" s="15"/>
    </row>
    <row r="6" spans="1:17" ht="12.75" customHeight="1" x14ac:dyDescent="0.2">
      <c r="F6" s="13"/>
      <c r="G6" s="14"/>
      <c r="H6" s="14"/>
      <c r="I6" s="15"/>
    </row>
    <row r="7" spans="1:17" ht="12.75" customHeight="1" x14ac:dyDescent="0.2">
      <c r="B7" s="16" t="s">
        <v>8</v>
      </c>
      <c r="C7" s="16"/>
      <c r="F7" s="13"/>
      <c r="G7" s="14"/>
      <c r="H7" s="14"/>
      <c r="I7" s="15"/>
    </row>
    <row r="8" spans="1:17" ht="12.75" customHeight="1" x14ac:dyDescent="0.2">
      <c r="B8" s="16" t="s">
        <v>356</v>
      </c>
      <c r="C8" s="16"/>
      <c r="F8" s="13"/>
      <c r="G8" s="14"/>
      <c r="H8" s="14"/>
      <c r="I8" s="60"/>
      <c r="K8" s="17" t="s">
        <v>509</v>
      </c>
      <c r="L8" s="37" t="s">
        <v>11</v>
      </c>
    </row>
    <row r="9" spans="1:17" s="65" customFormat="1" ht="12.75" customHeight="1" x14ac:dyDescent="0.2">
      <c r="A9" s="65">
        <f>+MAX($A$7:A8)+1</f>
        <v>1</v>
      </c>
      <c r="B9" s="77" t="s">
        <v>176</v>
      </c>
      <c r="C9" s="77" t="s">
        <v>12</v>
      </c>
      <c r="D9" s="77" t="s">
        <v>9</v>
      </c>
      <c r="E9" s="74">
        <v>6550</v>
      </c>
      <c r="F9" s="75">
        <v>142.75725</v>
      </c>
      <c r="G9" s="76">
        <f t="shared" ref="G9:G31" si="0">+ROUND(F9/VLOOKUP("Grand Total",$B$4:$F$301,5,0),4)</f>
        <v>1.9699999999999999E-2</v>
      </c>
      <c r="H9" s="76"/>
      <c r="I9" s="90" t="s">
        <v>322</v>
      </c>
      <c r="J9" s="100"/>
      <c r="K9" s="89" t="s">
        <v>22</v>
      </c>
      <c r="L9" s="102">
        <f t="shared" ref="L9:L37" si="1">SUMIFS($G$5:$G$370,$D$5:$D$370,K9)</f>
        <v>0.1343</v>
      </c>
      <c r="M9" s="83"/>
      <c r="N9" s="89"/>
      <c r="O9" s="89"/>
      <c r="Q9" s="89"/>
    </row>
    <row r="10" spans="1:17" s="65" customFormat="1" ht="12.75" customHeight="1" x14ac:dyDescent="0.2">
      <c r="A10" s="65">
        <f>+MAX($A$7:A9)+1</f>
        <v>2</v>
      </c>
      <c r="B10" s="77" t="s">
        <v>209</v>
      </c>
      <c r="C10" s="77" t="s">
        <v>69</v>
      </c>
      <c r="D10" s="77" t="s">
        <v>26</v>
      </c>
      <c r="E10" s="74">
        <v>10200</v>
      </c>
      <c r="F10" s="75">
        <v>132.83459999999999</v>
      </c>
      <c r="G10" s="76">
        <f t="shared" si="0"/>
        <v>1.83E-2</v>
      </c>
      <c r="H10" s="76"/>
      <c r="I10" s="90" t="s">
        <v>322</v>
      </c>
      <c r="J10" s="100"/>
      <c r="K10" s="89" t="s">
        <v>19</v>
      </c>
      <c r="L10" s="102">
        <f t="shared" si="1"/>
        <v>8.8200000000000014E-2</v>
      </c>
      <c r="M10" s="83"/>
      <c r="N10" s="89"/>
      <c r="O10" s="89"/>
      <c r="Q10" s="89"/>
    </row>
    <row r="11" spans="1:17" ht="12.75" customHeight="1" x14ac:dyDescent="0.2">
      <c r="A11" s="65">
        <f>+MAX($A$7:A10)+1</f>
        <v>3</v>
      </c>
      <c r="B11" s="77" t="s">
        <v>345</v>
      </c>
      <c r="C11" s="77" t="s">
        <v>344</v>
      </c>
      <c r="D11" s="77" t="s">
        <v>24</v>
      </c>
      <c r="E11" s="74">
        <v>27011</v>
      </c>
      <c r="F11" s="75">
        <v>113.86487050000001</v>
      </c>
      <c r="G11" s="76">
        <f t="shared" si="0"/>
        <v>1.5699999999999999E-2</v>
      </c>
      <c r="H11" s="76"/>
      <c r="I11" s="42" t="s">
        <v>322</v>
      </c>
      <c r="J11" s="41"/>
      <c r="K11" s="89" t="s">
        <v>9</v>
      </c>
      <c r="L11" s="102">
        <f t="shared" si="1"/>
        <v>7.5199999999999989E-2</v>
      </c>
      <c r="M11" s="36"/>
      <c r="N11" s="14"/>
      <c r="O11" s="14"/>
      <c r="Q11" s="14"/>
    </row>
    <row r="12" spans="1:17" s="65" customFormat="1" ht="12.75" customHeight="1" x14ac:dyDescent="0.2">
      <c r="A12" s="65">
        <f>+MAX($A$7:A11)+1</f>
        <v>4</v>
      </c>
      <c r="B12" s="77" t="s">
        <v>15</v>
      </c>
      <c r="C12" s="77" t="s">
        <v>16</v>
      </c>
      <c r="D12" s="77" t="s">
        <v>9</v>
      </c>
      <c r="E12" s="74">
        <v>38638</v>
      </c>
      <c r="F12" s="75">
        <v>113.40253</v>
      </c>
      <c r="G12" s="76">
        <f t="shared" si="0"/>
        <v>1.5599999999999999E-2</v>
      </c>
      <c r="H12" s="76"/>
      <c r="I12" s="90" t="s">
        <v>322</v>
      </c>
      <c r="J12" s="100"/>
      <c r="K12" s="89" t="s">
        <v>34</v>
      </c>
      <c r="L12" s="102">
        <f t="shared" si="1"/>
        <v>7.1099999999999997E-2</v>
      </c>
      <c r="M12" s="83"/>
      <c r="N12" s="89"/>
      <c r="O12" s="89"/>
      <c r="Q12" s="89"/>
    </row>
    <row r="13" spans="1:17" s="65" customFormat="1" ht="12.75" customHeight="1" x14ac:dyDescent="0.2">
      <c r="A13" s="65">
        <f>+MAX($A$7:A12)+1</f>
        <v>5</v>
      </c>
      <c r="B13" s="77" t="s">
        <v>185</v>
      </c>
      <c r="C13" s="77" t="s">
        <v>44</v>
      </c>
      <c r="D13" s="77" t="s">
        <v>24</v>
      </c>
      <c r="E13" s="74">
        <v>37834</v>
      </c>
      <c r="F13" s="75">
        <v>112.63181800000001</v>
      </c>
      <c r="G13" s="76">
        <f t="shared" si="0"/>
        <v>1.55E-2</v>
      </c>
      <c r="H13" s="76"/>
      <c r="I13" s="90" t="s">
        <v>322</v>
      </c>
      <c r="J13" s="100"/>
      <c r="K13" s="89" t="s">
        <v>24</v>
      </c>
      <c r="L13" s="102">
        <f t="shared" si="1"/>
        <v>6.069999999999999E-2</v>
      </c>
      <c r="M13" s="83"/>
      <c r="N13" s="89"/>
      <c r="O13" s="89"/>
      <c r="Q13" s="89"/>
    </row>
    <row r="14" spans="1:17" ht="12.75" customHeight="1" x14ac:dyDescent="0.2">
      <c r="A14" s="65">
        <f>+MAX($A$7:A13)+1</f>
        <v>6</v>
      </c>
      <c r="B14" s="77" t="s">
        <v>182</v>
      </c>
      <c r="C14" s="77" t="s">
        <v>25</v>
      </c>
      <c r="D14" s="77" t="s">
        <v>22</v>
      </c>
      <c r="E14" s="74">
        <v>5600</v>
      </c>
      <c r="F14" s="75">
        <v>111.7116</v>
      </c>
      <c r="G14" s="76">
        <f t="shared" si="0"/>
        <v>1.54E-2</v>
      </c>
      <c r="H14" s="76"/>
      <c r="I14" s="42" t="s">
        <v>322</v>
      </c>
      <c r="J14" s="41"/>
      <c r="K14" s="89" t="s">
        <v>21</v>
      </c>
      <c r="L14" s="102">
        <f t="shared" si="1"/>
        <v>4.2599999999999999E-2</v>
      </c>
      <c r="M14" s="36"/>
      <c r="N14" s="14"/>
      <c r="O14" s="14"/>
      <c r="Q14" s="14"/>
    </row>
    <row r="15" spans="1:17" ht="12.75" customHeight="1" x14ac:dyDescent="0.2">
      <c r="A15" s="65">
        <f>+MAX($A$7:A14)+1</f>
        <v>7</v>
      </c>
      <c r="B15" s="77" t="s">
        <v>212</v>
      </c>
      <c r="C15" s="77" t="s">
        <v>76</v>
      </c>
      <c r="D15" s="77" t="s">
        <v>49</v>
      </c>
      <c r="E15" s="74">
        <v>38030</v>
      </c>
      <c r="F15" s="75">
        <v>99.296329999999998</v>
      </c>
      <c r="G15" s="76">
        <f t="shared" si="0"/>
        <v>1.37E-2</v>
      </c>
      <c r="H15" s="76"/>
      <c r="I15" s="42" t="s">
        <v>322</v>
      </c>
      <c r="J15" s="41"/>
      <c r="K15" s="14" t="s">
        <v>152</v>
      </c>
      <c r="L15" s="102">
        <f t="shared" si="1"/>
        <v>4.2399999999999993E-2</v>
      </c>
      <c r="M15" s="36"/>
      <c r="N15" s="14"/>
      <c r="O15" s="14"/>
      <c r="Q15" s="14"/>
    </row>
    <row r="16" spans="1:17" ht="12.75" customHeight="1" x14ac:dyDescent="0.2">
      <c r="A16" s="65">
        <f>+MAX($A$7:A15)+1</f>
        <v>8</v>
      </c>
      <c r="B16" s="77" t="s">
        <v>539</v>
      </c>
      <c r="C16" s="77" t="s">
        <v>540</v>
      </c>
      <c r="D16" s="77" t="s">
        <v>22</v>
      </c>
      <c r="E16" s="74">
        <v>23150</v>
      </c>
      <c r="F16" s="75">
        <v>96.894324999999995</v>
      </c>
      <c r="G16" s="76">
        <f t="shared" si="0"/>
        <v>1.34E-2</v>
      </c>
      <c r="H16" s="76"/>
      <c r="I16" s="42" t="s">
        <v>322</v>
      </c>
      <c r="J16" s="41"/>
      <c r="K16" s="89" t="s">
        <v>32</v>
      </c>
      <c r="L16" s="102">
        <f t="shared" si="1"/>
        <v>3.0200000000000001E-2</v>
      </c>
      <c r="M16" s="36"/>
      <c r="N16" s="14"/>
      <c r="O16" s="14"/>
      <c r="Q16" s="14"/>
    </row>
    <row r="17" spans="1:17" ht="12.75" customHeight="1" x14ac:dyDescent="0.2">
      <c r="A17" s="65">
        <f>+MAX($A$7:A16)+1</f>
        <v>9</v>
      </c>
      <c r="B17" s="77" t="s">
        <v>468</v>
      </c>
      <c r="C17" s="77" t="s">
        <v>469</v>
      </c>
      <c r="D17" s="77" t="s">
        <v>24</v>
      </c>
      <c r="E17" s="74">
        <v>1449</v>
      </c>
      <c r="F17" s="75">
        <v>93.96982349999999</v>
      </c>
      <c r="G17" s="76">
        <f t="shared" si="0"/>
        <v>1.2999999999999999E-2</v>
      </c>
      <c r="H17" s="76"/>
      <c r="I17" s="42" t="s">
        <v>322</v>
      </c>
      <c r="J17" s="41"/>
      <c r="K17" s="89" t="s">
        <v>17</v>
      </c>
      <c r="L17" s="102">
        <f t="shared" si="1"/>
        <v>2.7799999999999998E-2</v>
      </c>
      <c r="M17" s="36"/>
      <c r="N17" s="14"/>
      <c r="O17" s="14"/>
      <c r="Q17" s="14"/>
    </row>
    <row r="18" spans="1:17" ht="12.75" customHeight="1" x14ac:dyDescent="0.2">
      <c r="A18" s="65">
        <f>+MAX($A$7:A17)+1</f>
        <v>10</v>
      </c>
      <c r="B18" s="77" t="s">
        <v>200</v>
      </c>
      <c r="C18" s="77" t="s">
        <v>18</v>
      </c>
      <c r="D18" s="77" t="s">
        <v>13</v>
      </c>
      <c r="E18" s="74">
        <v>4700</v>
      </c>
      <c r="F18" s="75">
        <v>91.189400000000006</v>
      </c>
      <c r="G18" s="76">
        <f t="shared" si="0"/>
        <v>1.26E-2</v>
      </c>
      <c r="H18" s="76"/>
      <c r="I18" s="42" t="s">
        <v>322</v>
      </c>
      <c r="J18" s="41"/>
      <c r="K18" s="89" t="s">
        <v>527</v>
      </c>
      <c r="L18" s="102">
        <f t="shared" si="1"/>
        <v>2.7699999999999999E-2</v>
      </c>
      <c r="M18" s="36"/>
      <c r="N18" s="14"/>
      <c r="O18" s="14"/>
      <c r="Q18" s="14"/>
    </row>
    <row r="19" spans="1:17" ht="12.75" customHeight="1" x14ac:dyDescent="0.2">
      <c r="A19" s="65">
        <f>+MAX($A$7:A18)+1</f>
        <v>11</v>
      </c>
      <c r="B19" s="77" t="s">
        <v>217</v>
      </c>
      <c r="C19" s="77" t="s">
        <v>96</v>
      </c>
      <c r="D19" s="77" t="s">
        <v>19</v>
      </c>
      <c r="E19" s="74">
        <v>9656</v>
      </c>
      <c r="F19" s="75">
        <v>90.375331999999986</v>
      </c>
      <c r="G19" s="76">
        <f t="shared" si="0"/>
        <v>1.2500000000000001E-2</v>
      </c>
      <c r="H19" s="76"/>
      <c r="I19" s="42" t="s">
        <v>322</v>
      </c>
      <c r="J19" s="41"/>
      <c r="K19" s="14" t="s">
        <v>463</v>
      </c>
      <c r="L19" s="102">
        <f t="shared" si="1"/>
        <v>2.69E-2</v>
      </c>
      <c r="M19" s="36"/>
      <c r="N19" s="14"/>
      <c r="O19" s="14"/>
      <c r="Q19" s="14"/>
    </row>
    <row r="20" spans="1:17" ht="12.75" customHeight="1" x14ac:dyDescent="0.2">
      <c r="A20" s="65">
        <f>+MAX($A$7:A19)+1</f>
        <v>12</v>
      </c>
      <c r="B20" s="77" t="s">
        <v>178</v>
      </c>
      <c r="C20" s="77" t="s">
        <v>29</v>
      </c>
      <c r="D20" s="77" t="s">
        <v>28</v>
      </c>
      <c r="E20" s="74">
        <v>7300</v>
      </c>
      <c r="F20" s="75">
        <v>86.578000000000003</v>
      </c>
      <c r="G20" s="76">
        <f t="shared" si="0"/>
        <v>1.1900000000000001E-2</v>
      </c>
      <c r="H20" s="76"/>
      <c r="I20" s="42" t="s">
        <v>322</v>
      </c>
      <c r="J20" s="41"/>
      <c r="K20" s="89" t="s">
        <v>13</v>
      </c>
      <c r="L20" s="102">
        <f t="shared" si="1"/>
        <v>2.3699999999999999E-2</v>
      </c>
      <c r="M20" s="36"/>
      <c r="N20" s="14"/>
      <c r="O20" s="14"/>
      <c r="Q20" s="14"/>
    </row>
    <row r="21" spans="1:17" ht="12.75" customHeight="1" x14ac:dyDescent="0.2">
      <c r="A21" s="65">
        <f>+MAX($A$7:A20)+1</f>
        <v>13</v>
      </c>
      <c r="B21" s="77" t="s">
        <v>177</v>
      </c>
      <c r="C21" s="77" t="s">
        <v>14</v>
      </c>
      <c r="D21" s="77" t="s">
        <v>13</v>
      </c>
      <c r="E21" s="74">
        <v>5900</v>
      </c>
      <c r="F21" s="75">
        <v>80.540899999999993</v>
      </c>
      <c r="G21" s="76">
        <f t="shared" si="0"/>
        <v>1.11E-2</v>
      </c>
      <c r="H21" s="76"/>
      <c r="I21" s="42" t="s">
        <v>322</v>
      </c>
      <c r="J21" s="41"/>
      <c r="K21" s="89" t="s">
        <v>285</v>
      </c>
      <c r="L21" s="102">
        <f t="shared" si="1"/>
        <v>2.3400000000000001E-2</v>
      </c>
      <c r="M21" s="36"/>
      <c r="N21" s="14"/>
      <c r="O21" s="14"/>
      <c r="Q21" s="14"/>
    </row>
    <row r="22" spans="1:17" ht="12.75" customHeight="1" x14ac:dyDescent="0.2">
      <c r="A22" s="65">
        <f>+MAX($A$7:A21)+1</f>
        <v>14</v>
      </c>
      <c r="B22" s="77" t="s">
        <v>193</v>
      </c>
      <c r="C22" s="77" t="s">
        <v>47</v>
      </c>
      <c r="D22" s="77" t="s">
        <v>19</v>
      </c>
      <c r="E22" s="74">
        <v>733</v>
      </c>
      <c r="F22" s="75">
        <v>69.785631499999994</v>
      </c>
      <c r="G22" s="76">
        <f t="shared" si="0"/>
        <v>9.5999999999999992E-3</v>
      </c>
      <c r="H22" s="76"/>
      <c r="I22" s="42" t="s">
        <v>322</v>
      </c>
      <c r="J22" s="41"/>
      <c r="K22" s="89" t="s">
        <v>263</v>
      </c>
      <c r="L22" s="102">
        <f t="shared" si="1"/>
        <v>2.3300000000000001E-2</v>
      </c>
      <c r="M22" s="36"/>
      <c r="N22" s="14"/>
      <c r="O22" s="14"/>
      <c r="Q22" s="14"/>
    </row>
    <row r="23" spans="1:17" s="65" customFormat="1" ht="12.75" customHeight="1" x14ac:dyDescent="0.2">
      <c r="A23" s="65">
        <f>+MAX($A$7:A22)+1</f>
        <v>15</v>
      </c>
      <c r="B23" s="77" t="s">
        <v>420</v>
      </c>
      <c r="C23" s="77" t="s">
        <v>421</v>
      </c>
      <c r="D23" s="77" t="s">
        <v>22</v>
      </c>
      <c r="E23" s="74">
        <v>13400</v>
      </c>
      <c r="F23" s="75">
        <v>68.855900000000005</v>
      </c>
      <c r="G23" s="76">
        <f t="shared" si="0"/>
        <v>9.4999999999999998E-3</v>
      </c>
      <c r="H23" s="76"/>
      <c r="I23" s="90" t="s">
        <v>322</v>
      </c>
      <c r="J23" s="100"/>
      <c r="K23" s="89" t="s">
        <v>104</v>
      </c>
      <c r="L23" s="102">
        <f t="shared" si="1"/>
        <v>2.06E-2</v>
      </c>
      <c r="M23" s="83"/>
      <c r="N23" s="89"/>
      <c r="O23" s="89"/>
      <c r="Q23" s="89"/>
    </row>
    <row r="24" spans="1:17" ht="12.75" customHeight="1" x14ac:dyDescent="0.2">
      <c r="A24" s="65">
        <f>+MAX($A$7:A23)+1</f>
        <v>16</v>
      </c>
      <c r="B24" s="77" t="s">
        <v>187</v>
      </c>
      <c r="C24" s="77" t="s">
        <v>46</v>
      </c>
      <c r="D24" s="77" t="s">
        <v>24</v>
      </c>
      <c r="E24" s="74">
        <v>1027</v>
      </c>
      <c r="F24" s="75">
        <v>67.188393999999988</v>
      </c>
      <c r="G24" s="76">
        <f t="shared" si="0"/>
        <v>9.2999999999999992E-3</v>
      </c>
      <c r="H24" s="76"/>
      <c r="I24" s="42" t="s">
        <v>322</v>
      </c>
      <c r="J24" s="41"/>
      <c r="K24" s="14" t="s">
        <v>381</v>
      </c>
      <c r="L24" s="102">
        <f t="shared" si="1"/>
        <v>2.0199999999999999E-2</v>
      </c>
      <c r="M24" s="36"/>
      <c r="N24" s="14"/>
      <c r="O24" s="14"/>
      <c r="Q24" s="14"/>
    </row>
    <row r="25" spans="1:17" ht="12.75" customHeight="1" x14ac:dyDescent="0.2">
      <c r="A25" s="65">
        <f>+MAX($A$7:A24)+1</f>
        <v>17</v>
      </c>
      <c r="B25" s="77" t="s">
        <v>466</v>
      </c>
      <c r="C25" s="77" t="s">
        <v>467</v>
      </c>
      <c r="D25" s="77" t="s">
        <v>34</v>
      </c>
      <c r="E25" s="74">
        <v>90000</v>
      </c>
      <c r="F25" s="75">
        <v>67.094999999999999</v>
      </c>
      <c r="G25" s="76">
        <f t="shared" si="0"/>
        <v>9.1999999999999998E-3</v>
      </c>
      <c r="H25" s="76"/>
      <c r="I25" s="42" t="s">
        <v>322</v>
      </c>
      <c r="J25" s="41"/>
      <c r="K25" s="89" t="s">
        <v>98</v>
      </c>
      <c r="L25" s="102">
        <f t="shared" si="1"/>
        <v>1.9799999999999998E-2</v>
      </c>
      <c r="M25" s="36"/>
      <c r="N25" s="14"/>
      <c r="O25" s="14"/>
      <c r="Q25" s="14"/>
    </row>
    <row r="26" spans="1:17" ht="12.75" customHeight="1" x14ac:dyDescent="0.2">
      <c r="A26" s="65">
        <f>+MAX($A$7:A25)+1</f>
        <v>18</v>
      </c>
      <c r="B26" s="77" t="s">
        <v>470</v>
      </c>
      <c r="C26" s="77" t="s">
        <v>471</v>
      </c>
      <c r="D26" s="77" t="s">
        <v>102</v>
      </c>
      <c r="E26" s="74">
        <v>86000</v>
      </c>
      <c r="F26" s="75">
        <v>66.650000000000006</v>
      </c>
      <c r="G26" s="76">
        <f t="shared" si="0"/>
        <v>9.1999999999999998E-3</v>
      </c>
      <c r="H26" s="76"/>
      <c r="I26" s="42" t="s">
        <v>322</v>
      </c>
      <c r="J26" s="41"/>
      <c r="K26" s="89" t="s">
        <v>26</v>
      </c>
      <c r="L26" s="102">
        <f t="shared" si="1"/>
        <v>1.83E-2</v>
      </c>
      <c r="M26" s="36"/>
      <c r="N26" s="14"/>
      <c r="O26" s="14"/>
      <c r="Q26" s="14"/>
    </row>
    <row r="27" spans="1:17" ht="12.75" customHeight="1" x14ac:dyDescent="0.2">
      <c r="A27" s="65">
        <f>+MAX($A$7:A26)+1</f>
        <v>19</v>
      </c>
      <c r="B27" s="77" t="s">
        <v>227</v>
      </c>
      <c r="C27" s="77" t="s">
        <v>111</v>
      </c>
      <c r="D27" s="77" t="s">
        <v>34</v>
      </c>
      <c r="E27" s="74">
        <v>40514</v>
      </c>
      <c r="F27" s="75">
        <v>62.735929000000006</v>
      </c>
      <c r="G27" s="76">
        <f t="shared" si="0"/>
        <v>8.6E-3</v>
      </c>
      <c r="H27" s="76"/>
      <c r="I27" s="42" t="s">
        <v>322</v>
      </c>
      <c r="J27" s="41"/>
      <c r="K27" s="89" t="s">
        <v>315</v>
      </c>
      <c r="L27" s="102">
        <f t="shared" si="1"/>
        <v>1.7899999999999999E-2</v>
      </c>
      <c r="M27" s="36"/>
      <c r="N27" s="14"/>
      <c r="O27" s="14"/>
      <c r="Q27" s="14"/>
    </row>
    <row r="28" spans="1:17" ht="12.75" customHeight="1" x14ac:dyDescent="0.2">
      <c r="A28" s="65">
        <f>+MAX($A$7:A27)+1</f>
        <v>20</v>
      </c>
      <c r="B28" s="77" t="s">
        <v>230</v>
      </c>
      <c r="C28" s="77" t="s">
        <v>114</v>
      </c>
      <c r="D28" s="77" t="s">
        <v>98</v>
      </c>
      <c r="E28" s="74">
        <v>10400</v>
      </c>
      <c r="F28" s="75">
        <v>54.823599999999999</v>
      </c>
      <c r="G28" s="76">
        <f t="shared" si="0"/>
        <v>7.6E-3</v>
      </c>
      <c r="H28" s="76"/>
      <c r="I28" s="42" t="s">
        <v>322</v>
      </c>
      <c r="J28" s="41"/>
      <c r="K28" s="89" t="s">
        <v>49</v>
      </c>
      <c r="L28" s="102">
        <f t="shared" si="1"/>
        <v>1.37E-2</v>
      </c>
      <c r="M28" s="36"/>
      <c r="N28" s="14"/>
      <c r="O28" s="14"/>
      <c r="Q28" s="14"/>
    </row>
    <row r="29" spans="1:17" ht="12.75" customHeight="1" x14ac:dyDescent="0.2">
      <c r="A29" s="65">
        <f>+MAX($A$7:A28)+1</f>
        <v>21</v>
      </c>
      <c r="B29" s="77" t="s">
        <v>224</v>
      </c>
      <c r="C29" s="77" t="s">
        <v>110</v>
      </c>
      <c r="D29" s="77" t="s">
        <v>34</v>
      </c>
      <c r="E29" s="74">
        <v>30000</v>
      </c>
      <c r="F29" s="75">
        <v>54.69</v>
      </c>
      <c r="G29" s="76">
        <f t="shared" si="0"/>
        <v>7.4999999999999997E-3</v>
      </c>
      <c r="H29" s="76"/>
      <c r="I29" s="42" t="s">
        <v>322</v>
      </c>
      <c r="J29" s="41"/>
      <c r="K29" s="14" t="s">
        <v>137</v>
      </c>
      <c r="L29" s="102">
        <f t="shared" si="1"/>
        <v>1.24E-2</v>
      </c>
      <c r="M29" s="36"/>
      <c r="N29" s="14"/>
      <c r="O29" s="14"/>
      <c r="Q29" s="14"/>
    </row>
    <row r="30" spans="1:17" ht="12.75" customHeight="1" x14ac:dyDescent="0.2">
      <c r="A30" s="65">
        <f>+MAX($A$7:A29)+1</f>
        <v>22</v>
      </c>
      <c r="B30" s="77" t="s">
        <v>201</v>
      </c>
      <c r="C30" s="77" t="s">
        <v>27</v>
      </c>
      <c r="D30" s="77" t="s">
        <v>9</v>
      </c>
      <c r="E30" s="74">
        <v>6645</v>
      </c>
      <c r="F30" s="75">
        <v>36.574080000000002</v>
      </c>
      <c r="G30" s="76">
        <f t="shared" si="0"/>
        <v>5.0000000000000001E-3</v>
      </c>
      <c r="H30" s="76"/>
      <c r="I30" s="42" t="s">
        <v>322</v>
      </c>
      <c r="J30" s="41"/>
      <c r="K30" s="14" t="s">
        <v>43</v>
      </c>
      <c r="L30" s="102">
        <f t="shared" si="1"/>
        <v>1.24E-2</v>
      </c>
      <c r="M30" s="36"/>
      <c r="N30" s="14"/>
      <c r="O30" s="14"/>
      <c r="Q30" s="14"/>
    </row>
    <row r="31" spans="1:17" ht="12.75" customHeight="1" x14ac:dyDescent="0.2">
      <c r="A31" s="65">
        <f>+MAX($A$7:A30)+1</f>
        <v>23</v>
      </c>
      <c r="B31" s="77" t="s">
        <v>199</v>
      </c>
      <c r="C31" s="77" t="s">
        <v>59</v>
      </c>
      <c r="D31" s="77" t="s">
        <v>21</v>
      </c>
      <c r="E31" s="74">
        <v>5766</v>
      </c>
      <c r="F31" s="75">
        <v>34.108772999999999</v>
      </c>
      <c r="G31" s="76">
        <f t="shared" si="0"/>
        <v>4.7000000000000002E-3</v>
      </c>
      <c r="H31" s="76"/>
      <c r="I31" s="42" t="s">
        <v>322</v>
      </c>
      <c r="J31" s="41"/>
      <c r="K31" s="14" t="s">
        <v>36</v>
      </c>
      <c r="L31" s="102">
        <f t="shared" si="1"/>
        <v>1.23E-2</v>
      </c>
      <c r="M31" s="36"/>
      <c r="N31" s="14"/>
      <c r="O31" s="14"/>
      <c r="Q31" s="14"/>
    </row>
    <row r="32" spans="1:17" ht="12.75" customHeight="1" x14ac:dyDescent="0.2">
      <c r="B32" s="18" t="s">
        <v>82</v>
      </c>
      <c r="C32" s="18"/>
      <c r="D32" s="18"/>
      <c r="E32" s="19"/>
      <c r="F32" s="19">
        <f>SUM(F9:F31)</f>
        <v>1948.5540865</v>
      </c>
      <c r="G32" s="20">
        <f>SUM(G9:G31)</f>
        <v>0.26860000000000001</v>
      </c>
      <c r="H32" s="20"/>
      <c r="I32" s="21"/>
      <c r="J32" s="49"/>
      <c r="K32" s="14" t="s">
        <v>28</v>
      </c>
      <c r="L32" s="102">
        <f t="shared" si="1"/>
        <v>1.1900000000000001E-2</v>
      </c>
    </row>
    <row r="33" spans="1:17" ht="12.75" customHeight="1" x14ac:dyDescent="0.2">
      <c r="F33" s="44"/>
      <c r="G33" s="14"/>
      <c r="H33" s="14"/>
      <c r="I33" s="15"/>
      <c r="K33" s="14" t="s">
        <v>30</v>
      </c>
      <c r="L33" s="102">
        <f t="shared" si="1"/>
        <v>1.1599999999999999E-2</v>
      </c>
    </row>
    <row r="34" spans="1:17" ht="12.75" customHeight="1" x14ac:dyDescent="0.2">
      <c r="A34" s="46"/>
      <c r="B34" s="16" t="s">
        <v>515</v>
      </c>
      <c r="C34" s="16"/>
      <c r="E34" s="38"/>
      <c r="F34" s="44"/>
      <c r="G34" s="45"/>
      <c r="H34" s="45"/>
      <c r="I34" s="103"/>
      <c r="K34" s="14" t="s">
        <v>39</v>
      </c>
      <c r="L34" s="102">
        <f t="shared" si="1"/>
        <v>1.11E-2</v>
      </c>
      <c r="O34" s="14"/>
    </row>
    <row r="35" spans="1:17" s="65" customFormat="1" ht="12.75" customHeight="1" x14ac:dyDescent="0.2">
      <c r="A35" s="65">
        <f>+MAX($A$7:A34)+1</f>
        <v>24</v>
      </c>
      <c r="B35" s="77" t="s">
        <v>186</v>
      </c>
      <c r="C35" s="77" t="s">
        <v>42</v>
      </c>
      <c r="D35" s="77" t="s">
        <v>22</v>
      </c>
      <c r="E35" s="74">
        <v>102000</v>
      </c>
      <c r="F35" s="75">
        <v>612.51</v>
      </c>
      <c r="G35" s="76">
        <f>+ROUND(F35/VLOOKUP("Grand Total",$B$4:$F$301,5,0),4)</f>
        <v>8.4400000000000003E-2</v>
      </c>
      <c r="H35" s="76"/>
      <c r="I35" s="90" t="s">
        <v>322</v>
      </c>
      <c r="J35" s="100"/>
      <c r="K35" s="89" t="s">
        <v>497</v>
      </c>
      <c r="L35" s="102">
        <f t="shared" si="1"/>
        <v>9.7999999999999997E-3</v>
      </c>
      <c r="M35" s="83"/>
      <c r="N35" s="89"/>
      <c r="O35" s="89"/>
      <c r="Q35" s="89"/>
    </row>
    <row r="36" spans="1:17" s="65" customFormat="1" ht="12.75" customHeight="1" x14ac:dyDescent="0.2">
      <c r="A36" s="46">
        <f>+A35+1</f>
        <v>25</v>
      </c>
      <c r="B36" s="77" t="s">
        <v>186</v>
      </c>
      <c r="C36" s="120" t="s">
        <v>704</v>
      </c>
      <c r="D36" s="77" t="s">
        <v>288</v>
      </c>
      <c r="E36" s="74">
        <v>-102000</v>
      </c>
      <c r="F36" s="79">
        <v>-615.72299999999996</v>
      </c>
      <c r="G36" s="76"/>
      <c r="H36" s="127">
        <f>+ROUND(F36/VLOOKUP("Grand Total",$B$4:$F$301,5,0),4)</f>
        <v>-8.4900000000000003E-2</v>
      </c>
      <c r="I36" s="103">
        <v>43342</v>
      </c>
      <c r="J36" s="100"/>
      <c r="K36" s="89" t="s">
        <v>102</v>
      </c>
      <c r="L36" s="102">
        <f t="shared" si="1"/>
        <v>9.1999999999999998E-3</v>
      </c>
      <c r="M36" s="83"/>
      <c r="N36" s="89"/>
      <c r="O36" s="89"/>
      <c r="Q36" s="89"/>
    </row>
    <row r="37" spans="1:17" s="65" customFormat="1" ht="12.75" customHeight="1" x14ac:dyDescent="0.2">
      <c r="A37" s="46">
        <f t="shared" ref="A37:A86" si="2">+A36+1</f>
        <v>26</v>
      </c>
      <c r="B37" s="77" t="s">
        <v>505</v>
      </c>
      <c r="C37" s="77" t="s">
        <v>506</v>
      </c>
      <c r="D37" s="77" t="s">
        <v>34</v>
      </c>
      <c r="E37" s="74">
        <v>28050</v>
      </c>
      <c r="F37" s="75">
        <v>264.94627500000001</v>
      </c>
      <c r="G37" s="76">
        <f>+ROUND(F37/VLOOKUP("Grand Total",$B$4:$F$301,5,0),4)</f>
        <v>3.6499999999999998E-2</v>
      </c>
      <c r="H37" s="76"/>
      <c r="I37" s="90" t="s">
        <v>322</v>
      </c>
      <c r="J37" s="100"/>
      <c r="K37" s="14" t="s">
        <v>354</v>
      </c>
      <c r="L37" s="102">
        <f t="shared" si="1"/>
        <v>4.1000000000000003E-3</v>
      </c>
      <c r="M37" s="83"/>
      <c r="N37" s="89"/>
      <c r="O37" s="89"/>
      <c r="Q37" s="89"/>
    </row>
    <row r="38" spans="1:17" s="65" customFormat="1" ht="12.75" customHeight="1" x14ac:dyDescent="0.2">
      <c r="A38" s="46">
        <f t="shared" si="2"/>
        <v>27</v>
      </c>
      <c r="B38" s="77" t="s">
        <v>505</v>
      </c>
      <c r="C38" s="120" t="s">
        <v>704</v>
      </c>
      <c r="D38" s="77" t="s">
        <v>288</v>
      </c>
      <c r="E38" s="74">
        <v>-28050</v>
      </c>
      <c r="F38" s="79">
        <v>-266.64330000000001</v>
      </c>
      <c r="G38" s="76"/>
      <c r="H38" s="127">
        <f>+ROUND(F38/VLOOKUP("Grand Total",$B$4:$F$301,5,0),4)</f>
        <v>-3.6799999999999999E-2</v>
      </c>
      <c r="I38" s="103">
        <v>43342</v>
      </c>
      <c r="J38" s="100"/>
      <c r="K38" s="14" t="s">
        <v>62</v>
      </c>
      <c r="L38" s="48">
        <f>+SUMIFS($G$5:$G$998,$B$5:$B$998,"CBLO / Reverse Repo")+SUMIFS($G$5:$G$998,$B$5:$B$998,"Net Receivable/Payable")</f>
        <v>9.7199999999999995E-2</v>
      </c>
      <c r="M38" s="83"/>
      <c r="N38" s="89"/>
      <c r="O38" s="89"/>
      <c r="Q38" s="89"/>
    </row>
    <row r="39" spans="1:17" s="65" customFormat="1" ht="12.75" customHeight="1" x14ac:dyDescent="0.2">
      <c r="A39" s="46">
        <f t="shared" si="2"/>
        <v>28</v>
      </c>
      <c r="B39" s="77" t="s">
        <v>198</v>
      </c>
      <c r="C39" s="77" t="s">
        <v>63</v>
      </c>
      <c r="D39" s="77" t="s">
        <v>32</v>
      </c>
      <c r="E39" s="74">
        <v>56100</v>
      </c>
      <c r="F39" s="75">
        <v>219.1266</v>
      </c>
      <c r="G39" s="76">
        <f>+ROUND(F39/VLOOKUP("Grand Total",$B$4:$F$301,5,0),4)</f>
        <v>3.0200000000000001E-2</v>
      </c>
      <c r="H39" s="76"/>
      <c r="I39" s="90" t="s">
        <v>322</v>
      </c>
      <c r="J39" s="100"/>
      <c r="K39" s="14"/>
      <c r="L39" s="48"/>
      <c r="M39" s="83"/>
      <c r="N39" s="89"/>
      <c r="O39" s="89"/>
      <c r="Q39" s="89"/>
    </row>
    <row r="40" spans="1:17" s="65" customFormat="1" ht="12.75" customHeight="1" x14ac:dyDescent="0.2">
      <c r="A40" s="46">
        <f t="shared" si="2"/>
        <v>29</v>
      </c>
      <c r="B40" s="77" t="s">
        <v>198</v>
      </c>
      <c r="C40" s="120" t="s">
        <v>704</v>
      </c>
      <c r="D40" s="77" t="s">
        <v>288</v>
      </c>
      <c r="E40" s="74">
        <v>-56100</v>
      </c>
      <c r="F40" s="79">
        <v>-218.0607</v>
      </c>
      <c r="G40" s="76"/>
      <c r="H40" s="127">
        <f>+ROUND(F40/VLOOKUP("Grand Total",$B$4:$F$301,5,0),4)</f>
        <v>-3.0099999999999998E-2</v>
      </c>
      <c r="I40" s="103">
        <v>43342</v>
      </c>
      <c r="J40" s="100"/>
      <c r="K40" s="89"/>
      <c r="L40" s="102"/>
      <c r="M40" s="83"/>
      <c r="N40" s="89"/>
      <c r="O40" s="89"/>
      <c r="Q40" s="89"/>
    </row>
    <row r="41" spans="1:17" s="65" customFormat="1" ht="12.75" customHeight="1" x14ac:dyDescent="0.2">
      <c r="A41" s="46">
        <f t="shared" si="2"/>
        <v>30</v>
      </c>
      <c r="B41" s="77" t="s">
        <v>184</v>
      </c>
      <c r="C41" s="77" t="s">
        <v>33</v>
      </c>
      <c r="D41" s="77" t="s">
        <v>17</v>
      </c>
      <c r="E41" s="74">
        <v>22000</v>
      </c>
      <c r="F41" s="75">
        <v>201.53100000000001</v>
      </c>
      <c r="G41" s="76">
        <f>+ROUND(F41/VLOOKUP("Grand Total",$B$4:$F$301,5,0),4)</f>
        <v>2.7799999999999998E-2</v>
      </c>
      <c r="H41" s="76"/>
      <c r="I41" s="90" t="s">
        <v>322</v>
      </c>
      <c r="J41" s="100"/>
      <c r="K41" s="89"/>
      <c r="L41" s="102"/>
      <c r="M41" s="83"/>
      <c r="N41" s="89"/>
      <c r="O41" s="89"/>
      <c r="Q41" s="89"/>
    </row>
    <row r="42" spans="1:17" s="65" customFormat="1" ht="12.75" customHeight="1" x14ac:dyDescent="0.2">
      <c r="A42" s="46">
        <f t="shared" si="2"/>
        <v>31</v>
      </c>
      <c r="B42" s="77" t="s">
        <v>184</v>
      </c>
      <c r="C42" s="120" t="s">
        <v>704</v>
      </c>
      <c r="D42" s="77" t="s">
        <v>288</v>
      </c>
      <c r="E42" s="74">
        <v>-22000</v>
      </c>
      <c r="F42" s="79">
        <v>-202.62</v>
      </c>
      <c r="G42" s="76"/>
      <c r="H42" s="127">
        <f>+ROUND(F42/VLOOKUP("Grand Total",$B$4:$F$301,5,0),4)</f>
        <v>-2.7900000000000001E-2</v>
      </c>
      <c r="I42" s="103">
        <v>43342</v>
      </c>
      <c r="J42" s="100"/>
      <c r="K42" s="89"/>
      <c r="L42" s="102"/>
      <c r="M42" s="83"/>
      <c r="N42" s="89"/>
      <c r="O42" s="89"/>
      <c r="Q42" s="89"/>
    </row>
    <row r="43" spans="1:17" s="65" customFormat="1" ht="12.75" customHeight="1" x14ac:dyDescent="0.2">
      <c r="A43" s="46">
        <f t="shared" si="2"/>
        <v>32</v>
      </c>
      <c r="B43" s="77" t="s">
        <v>193</v>
      </c>
      <c r="C43" s="77" t="s">
        <v>47</v>
      </c>
      <c r="D43" s="77" t="s">
        <v>19</v>
      </c>
      <c r="E43" s="74">
        <v>1875</v>
      </c>
      <c r="F43" s="75">
        <v>178.5103125</v>
      </c>
      <c r="G43" s="76">
        <f>+ROUND(F43/VLOOKUP("Grand Total",$B$4:$F$301,5,0),4)</f>
        <v>2.46E-2</v>
      </c>
      <c r="H43" s="76"/>
      <c r="I43" s="90" t="s">
        <v>322</v>
      </c>
      <c r="J43" s="100"/>
      <c r="K43" s="89"/>
      <c r="L43" s="102"/>
      <c r="M43" s="83"/>
      <c r="N43" s="89"/>
      <c r="O43" s="89"/>
      <c r="Q43" s="89"/>
    </row>
    <row r="44" spans="1:17" s="65" customFormat="1" ht="12.75" customHeight="1" x14ac:dyDescent="0.2">
      <c r="A44" s="46">
        <f t="shared" si="2"/>
        <v>33</v>
      </c>
      <c r="B44" s="77" t="s">
        <v>193</v>
      </c>
      <c r="C44" s="120" t="s">
        <v>704</v>
      </c>
      <c r="D44" s="77" t="s">
        <v>288</v>
      </c>
      <c r="E44" s="74">
        <v>-1875</v>
      </c>
      <c r="F44" s="79">
        <v>-177.6759375</v>
      </c>
      <c r="G44" s="76"/>
      <c r="H44" s="127">
        <f>+ROUND(F44/VLOOKUP("Grand Total",$B$4:$F$301,5,0),4)</f>
        <v>-2.4500000000000001E-2</v>
      </c>
      <c r="I44" s="103">
        <v>43342</v>
      </c>
      <c r="J44" s="100"/>
      <c r="K44" s="89"/>
      <c r="L44" s="102"/>
      <c r="M44" s="83"/>
      <c r="N44" s="89"/>
      <c r="O44" s="89"/>
      <c r="Q44" s="89"/>
    </row>
    <row r="45" spans="1:17" s="65" customFormat="1" ht="12.75" customHeight="1" x14ac:dyDescent="0.2">
      <c r="A45" s="46">
        <f t="shared" si="2"/>
        <v>34</v>
      </c>
      <c r="B45" s="77" t="s">
        <v>301</v>
      </c>
      <c r="C45" s="77" t="s">
        <v>302</v>
      </c>
      <c r="D45" s="77" t="s">
        <v>19</v>
      </c>
      <c r="E45" s="74">
        <v>132000</v>
      </c>
      <c r="F45" s="75">
        <v>148.89599999999999</v>
      </c>
      <c r="G45" s="76">
        <f>+ROUND(F45/VLOOKUP("Grand Total",$B$4:$F$301,5,0),4)</f>
        <v>2.0500000000000001E-2</v>
      </c>
      <c r="H45" s="76"/>
      <c r="I45" s="90" t="s">
        <v>322</v>
      </c>
      <c r="J45" s="100"/>
      <c r="K45" s="89"/>
      <c r="L45" s="102"/>
      <c r="M45" s="83"/>
      <c r="N45" s="89"/>
      <c r="O45" s="89"/>
      <c r="Q45" s="89"/>
    </row>
    <row r="46" spans="1:17" s="65" customFormat="1" ht="12.75" customHeight="1" x14ac:dyDescent="0.2">
      <c r="A46" s="46">
        <f t="shared" si="2"/>
        <v>35</v>
      </c>
      <c r="B46" s="77" t="s">
        <v>301</v>
      </c>
      <c r="C46" s="120" t="s">
        <v>704</v>
      </c>
      <c r="D46" s="77" t="s">
        <v>288</v>
      </c>
      <c r="E46" s="74">
        <v>-132000</v>
      </c>
      <c r="F46" s="79">
        <v>-149.16</v>
      </c>
      <c r="G46" s="76"/>
      <c r="H46" s="127">
        <f>+ROUND(F46/VLOOKUP("Grand Total",$B$4:$F$301,5,0),4)</f>
        <v>-2.06E-2</v>
      </c>
      <c r="I46" s="103">
        <v>43342</v>
      </c>
      <c r="J46" s="100"/>
      <c r="K46" s="89"/>
      <c r="L46" s="102"/>
      <c r="M46" s="83"/>
      <c r="N46" s="89"/>
      <c r="O46" s="89"/>
      <c r="Q46" s="89"/>
    </row>
    <row r="47" spans="1:17" s="65" customFormat="1" ht="12.75" customHeight="1" x14ac:dyDescent="0.2">
      <c r="A47" s="46">
        <f t="shared" si="2"/>
        <v>36</v>
      </c>
      <c r="B47" s="77" t="s">
        <v>347</v>
      </c>
      <c r="C47" s="77" t="s">
        <v>123</v>
      </c>
      <c r="D47" s="77" t="s">
        <v>19</v>
      </c>
      <c r="E47" s="74">
        <v>81200</v>
      </c>
      <c r="F47" s="75">
        <v>116.8468</v>
      </c>
      <c r="G47" s="76">
        <f>+ROUND(F47/VLOOKUP("Grand Total",$B$4:$F$301,5,0),4)</f>
        <v>1.61E-2</v>
      </c>
      <c r="H47" s="76"/>
      <c r="I47" s="90" t="s">
        <v>322</v>
      </c>
      <c r="J47" s="100"/>
      <c r="K47" s="89"/>
      <c r="L47" s="102"/>
      <c r="M47" s="83"/>
      <c r="N47" s="89"/>
      <c r="O47" s="89"/>
      <c r="Q47" s="89"/>
    </row>
    <row r="48" spans="1:17" s="65" customFormat="1" ht="12.75" customHeight="1" x14ac:dyDescent="0.2">
      <c r="A48" s="46">
        <f t="shared" si="2"/>
        <v>37</v>
      </c>
      <c r="B48" s="77" t="s">
        <v>347</v>
      </c>
      <c r="C48" s="120" t="s">
        <v>704</v>
      </c>
      <c r="D48" s="77" t="s">
        <v>288</v>
      </c>
      <c r="E48" s="74">
        <v>-81200</v>
      </c>
      <c r="F48" s="79">
        <v>-117.4558</v>
      </c>
      <c r="G48" s="76"/>
      <c r="H48" s="127">
        <f>+ROUND(F48/VLOOKUP("Grand Total",$B$4:$F$301,5,0),4)</f>
        <v>-1.6199999999999999E-2</v>
      </c>
      <c r="I48" s="103">
        <v>43342</v>
      </c>
      <c r="J48" s="100"/>
      <c r="K48" s="89"/>
      <c r="L48" s="102"/>
      <c r="M48" s="83"/>
      <c r="N48" s="89"/>
      <c r="O48" s="89"/>
      <c r="Q48" s="89"/>
    </row>
    <row r="49" spans="1:17" s="65" customFormat="1" ht="12.75" customHeight="1" x14ac:dyDescent="0.2">
      <c r="A49" s="46">
        <f t="shared" si="2"/>
        <v>38</v>
      </c>
      <c r="B49" s="77" t="s">
        <v>219</v>
      </c>
      <c r="C49" s="77" t="s">
        <v>100</v>
      </c>
      <c r="D49" s="77" t="s">
        <v>21</v>
      </c>
      <c r="E49" s="74">
        <v>13300</v>
      </c>
      <c r="F49" s="75">
        <v>109.6452</v>
      </c>
      <c r="G49" s="76">
        <f>+ROUND(F49/VLOOKUP("Grand Total",$B$4:$F$301,5,0),4)</f>
        <v>1.5100000000000001E-2</v>
      </c>
      <c r="H49" s="76"/>
      <c r="I49" s="90" t="s">
        <v>322</v>
      </c>
      <c r="J49" s="100"/>
      <c r="K49" s="89"/>
      <c r="L49" s="102"/>
      <c r="M49" s="83"/>
      <c r="N49" s="89"/>
      <c r="O49" s="89"/>
      <c r="Q49" s="89"/>
    </row>
    <row r="50" spans="1:17" s="65" customFormat="1" ht="12.75" customHeight="1" x14ac:dyDescent="0.2">
      <c r="A50" s="46">
        <f t="shared" si="2"/>
        <v>39</v>
      </c>
      <c r="B50" s="77" t="s">
        <v>219</v>
      </c>
      <c r="C50" s="120" t="s">
        <v>704</v>
      </c>
      <c r="D50" s="77" t="s">
        <v>288</v>
      </c>
      <c r="E50" s="74">
        <v>-13300</v>
      </c>
      <c r="F50" s="79">
        <v>-109.8048</v>
      </c>
      <c r="G50" s="76"/>
      <c r="H50" s="127">
        <f>+ROUND(F50/VLOOKUP("Grand Total",$B$4:$F$301,5,0),4)</f>
        <v>-1.5100000000000001E-2</v>
      </c>
      <c r="I50" s="103">
        <v>43342</v>
      </c>
      <c r="J50" s="100"/>
      <c r="K50" s="89"/>
      <c r="L50" s="102"/>
      <c r="M50" s="83"/>
      <c r="N50" s="89"/>
      <c r="O50" s="89"/>
      <c r="Q50" s="89"/>
    </row>
    <row r="51" spans="1:17" s="65" customFormat="1" ht="12.75" customHeight="1" x14ac:dyDescent="0.2">
      <c r="A51" s="46">
        <f t="shared" si="2"/>
        <v>40</v>
      </c>
      <c r="B51" s="77" t="s">
        <v>253</v>
      </c>
      <c r="C51" s="77" t="s">
        <v>146</v>
      </c>
      <c r="D51" s="77" t="s">
        <v>137</v>
      </c>
      <c r="E51" s="74">
        <v>9900</v>
      </c>
      <c r="F51" s="75">
        <v>89.981099999999998</v>
      </c>
      <c r="G51" s="76">
        <f>+ROUND(F51/VLOOKUP("Grand Total",$B$4:$F$301,5,0),4)</f>
        <v>1.24E-2</v>
      </c>
      <c r="H51" s="76"/>
      <c r="I51" s="90" t="s">
        <v>322</v>
      </c>
      <c r="J51" s="100"/>
      <c r="K51" s="89"/>
      <c r="L51" s="102"/>
      <c r="M51" s="83"/>
      <c r="N51" s="89"/>
      <c r="O51" s="89"/>
      <c r="Q51" s="89"/>
    </row>
    <row r="52" spans="1:17" s="65" customFormat="1" ht="12.75" customHeight="1" x14ac:dyDescent="0.2">
      <c r="A52" s="46">
        <f t="shared" si="2"/>
        <v>41</v>
      </c>
      <c r="B52" s="77" t="s">
        <v>253</v>
      </c>
      <c r="C52" s="120" t="s">
        <v>704</v>
      </c>
      <c r="D52" s="77" t="s">
        <v>288</v>
      </c>
      <c r="E52" s="74">
        <v>-9900</v>
      </c>
      <c r="F52" s="79">
        <v>-90.495900000000006</v>
      </c>
      <c r="G52" s="76"/>
      <c r="H52" s="127">
        <f>+ROUND(F52/VLOOKUP("Grand Total",$B$4:$F$301,5,0),4)</f>
        <v>-1.2500000000000001E-2</v>
      </c>
      <c r="I52" s="103">
        <v>43342</v>
      </c>
      <c r="J52" s="100"/>
      <c r="K52" s="89"/>
      <c r="L52" s="102"/>
      <c r="M52" s="83"/>
      <c r="N52" s="89"/>
      <c r="O52" s="89"/>
      <c r="Q52" s="89"/>
    </row>
    <row r="53" spans="1:17" s="65" customFormat="1" ht="12.75" customHeight="1" x14ac:dyDescent="0.2">
      <c r="A53" s="46">
        <f t="shared" si="2"/>
        <v>42</v>
      </c>
      <c r="B53" s="77" t="s">
        <v>236</v>
      </c>
      <c r="C53" s="77" t="s">
        <v>119</v>
      </c>
      <c r="D53" s="77" t="s">
        <v>43</v>
      </c>
      <c r="E53" s="74">
        <v>42000</v>
      </c>
      <c r="F53" s="75">
        <v>89.628</v>
      </c>
      <c r="G53" s="76">
        <f>+ROUND(F53/VLOOKUP("Grand Total",$B$4:$F$301,5,0),4)</f>
        <v>1.24E-2</v>
      </c>
      <c r="H53" s="76"/>
      <c r="I53" s="90" t="s">
        <v>322</v>
      </c>
      <c r="J53" s="100"/>
      <c r="K53" s="89"/>
      <c r="L53" s="102"/>
      <c r="M53" s="83"/>
      <c r="N53" s="89"/>
      <c r="O53" s="89"/>
      <c r="Q53" s="89"/>
    </row>
    <row r="54" spans="1:17" s="65" customFormat="1" ht="12.75" customHeight="1" x14ac:dyDescent="0.2">
      <c r="A54" s="46">
        <f t="shared" si="2"/>
        <v>43</v>
      </c>
      <c r="B54" s="77" t="s">
        <v>236</v>
      </c>
      <c r="C54" s="120" t="s">
        <v>704</v>
      </c>
      <c r="D54" s="77" t="s">
        <v>288</v>
      </c>
      <c r="E54" s="74">
        <v>-42000</v>
      </c>
      <c r="F54" s="79">
        <v>-89.921999999999997</v>
      </c>
      <c r="G54" s="76"/>
      <c r="H54" s="127">
        <f>+ROUND(F54/VLOOKUP("Grand Total",$B$4:$F$301,5,0),4)</f>
        <v>-1.24E-2</v>
      </c>
      <c r="I54" s="103">
        <v>43342</v>
      </c>
      <c r="J54" s="100"/>
      <c r="K54" s="89"/>
      <c r="L54" s="102"/>
      <c r="M54" s="83"/>
      <c r="N54" s="89"/>
      <c r="O54" s="89"/>
      <c r="Q54" s="89"/>
    </row>
    <row r="55" spans="1:17" s="65" customFormat="1" ht="12.75" customHeight="1" x14ac:dyDescent="0.2">
      <c r="A55" s="46">
        <f t="shared" si="2"/>
        <v>44</v>
      </c>
      <c r="B55" s="77" t="s">
        <v>266</v>
      </c>
      <c r="C55" s="77" t="s">
        <v>163</v>
      </c>
      <c r="D55" s="77" t="s">
        <v>36</v>
      </c>
      <c r="E55" s="74">
        <v>32000</v>
      </c>
      <c r="F55" s="75">
        <v>89.52</v>
      </c>
      <c r="G55" s="76">
        <f>+ROUND(F55/VLOOKUP("Grand Total",$B$4:$F$301,5,0),4)</f>
        <v>1.23E-2</v>
      </c>
      <c r="H55" s="76"/>
      <c r="I55" s="90" t="s">
        <v>322</v>
      </c>
      <c r="J55" s="100"/>
      <c r="K55" s="89"/>
      <c r="L55" s="102"/>
      <c r="M55" s="83"/>
      <c r="N55" s="89"/>
      <c r="O55" s="89"/>
      <c r="Q55" s="89"/>
    </row>
    <row r="56" spans="1:17" s="65" customFormat="1" ht="12.75" customHeight="1" x14ac:dyDescent="0.2">
      <c r="A56" s="46">
        <f t="shared" si="2"/>
        <v>45</v>
      </c>
      <c r="B56" s="77" t="s">
        <v>266</v>
      </c>
      <c r="C56" s="120" t="s">
        <v>704</v>
      </c>
      <c r="D56" s="77" t="s">
        <v>288</v>
      </c>
      <c r="E56" s="74">
        <v>-32000</v>
      </c>
      <c r="F56" s="79">
        <v>-90.063999999999993</v>
      </c>
      <c r="G56" s="76"/>
      <c r="H56" s="127">
        <f>+ROUND(F56/VLOOKUP("Grand Total",$B$4:$F$301,5,0),4)</f>
        <v>-1.24E-2</v>
      </c>
      <c r="I56" s="103">
        <v>43342</v>
      </c>
      <c r="J56" s="100"/>
      <c r="K56" s="89"/>
      <c r="L56" s="102"/>
      <c r="M56" s="83"/>
      <c r="N56" s="89"/>
      <c r="O56" s="89"/>
      <c r="Q56" s="89"/>
    </row>
    <row r="57" spans="1:17" s="65" customFormat="1" ht="12.75" customHeight="1" x14ac:dyDescent="0.2">
      <c r="A57" s="46">
        <f t="shared" si="2"/>
        <v>46</v>
      </c>
      <c r="B57" s="77" t="s">
        <v>15</v>
      </c>
      <c r="C57" s="77" t="s">
        <v>16</v>
      </c>
      <c r="D57" s="77" t="s">
        <v>9</v>
      </c>
      <c r="E57" s="74">
        <v>30000</v>
      </c>
      <c r="F57" s="75">
        <v>88.05</v>
      </c>
      <c r="G57" s="76">
        <f>+ROUND(F57/VLOOKUP("Grand Total",$B$4:$F$301,5,0),4)</f>
        <v>1.21E-2</v>
      </c>
      <c r="H57" s="76"/>
      <c r="I57" s="90" t="s">
        <v>322</v>
      </c>
      <c r="J57" s="100"/>
      <c r="K57" s="89"/>
      <c r="L57" s="102"/>
      <c r="M57" s="83"/>
      <c r="N57" s="89"/>
      <c r="O57" s="89"/>
      <c r="Q57" s="89"/>
    </row>
    <row r="58" spans="1:17" s="65" customFormat="1" ht="12.75" customHeight="1" x14ac:dyDescent="0.2">
      <c r="A58" s="46">
        <f t="shared" si="2"/>
        <v>47</v>
      </c>
      <c r="B58" s="77" t="s">
        <v>15</v>
      </c>
      <c r="C58" s="120" t="s">
        <v>704</v>
      </c>
      <c r="D58" s="77" t="s">
        <v>288</v>
      </c>
      <c r="E58" s="74">
        <v>-30000</v>
      </c>
      <c r="F58" s="79">
        <v>-88.44</v>
      </c>
      <c r="G58" s="76"/>
      <c r="H58" s="127">
        <f>+ROUND(F58/VLOOKUP("Grand Total",$B$4:$F$301,5,0),4)</f>
        <v>-1.2200000000000001E-2</v>
      </c>
      <c r="I58" s="103">
        <v>43342</v>
      </c>
      <c r="J58" s="100"/>
      <c r="K58" s="89"/>
      <c r="L58" s="102"/>
      <c r="M58" s="83"/>
      <c r="N58" s="89"/>
      <c r="O58" s="89"/>
      <c r="Q58" s="89"/>
    </row>
    <row r="59" spans="1:17" s="65" customFormat="1" ht="12.75" customHeight="1" x14ac:dyDescent="0.2">
      <c r="A59" s="46">
        <f t="shared" si="2"/>
        <v>48</v>
      </c>
      <c r="B59" s="77" t="s">
        <v>38</v>
      </c>
      <c r="C59" s="77" t="s">
        <v>40</v>
      </c>
      <c r="D59" s="77" t="s">
        <v>9</v>
      </c>
      <c r="E59" s="74">
        <v>56000</v>
      </c>
      <c r="F59" s="75">
        <v>85.876000000000005</v>
      </c>
      <c r="G59" s="76">
        <f>+ROUND(F59/VLOOKUP("Grand Total",$B$4:$F$301,5,0),4)</f>
        <v>1.18E-2</v>
      </c>
      <c r="H59" s="76"/>
      <c r="I59" s="90" t="s">
        <v>322</v>
      </c>
      <c r="J59" s="100"/>
      <c r="K59" s="89"/>
      <c r="L59" s="102"/>
      <c r="M59" s="83"/>
      <c r="N59" s="89"/>
      <c r="O59" s="89"/>
      <c r="Q59" s="89"/>
    </row>
    <row r="60" spans="1:17" s="65" customFormat="1" ht="12.75" customHeight="1" x14ac:dyDescent="0.2">
      <c r="A60" s="46">
        <f t="shared" si="2"/>
        <v>49</v>
      </c>
      <c r="B60" s="77" t="s">
        <v>38</v>
      </c>
      <c r="C60" s="120" t="s">
        <v>704</v>
      </c>
      <c r="D60" s="77" t="s">
        <v>288</v>
      </c>
      <c r="E60" s="74">
        <v>-56000</v>
      </c>
      <c r="F60" s="79">
        <v>-86.323999999999998</v>
      </c>
      <c r="G60" s="76"/>
      <c r="H60" s="127">
        <f>+ROUND(F60/VLOOKUP("Grand Total",$B$4:$F$301,5,0),4)</f>
        <v>-1.1900000000000001E-2</v>
      </c>
      <c r="I60" s="103">
        <v>43342</v>
      </c>
      <c r="J60" s="100"/>
      <c r="K60" s="89"/>
      <c r="L60" s="102"/>
      <c r="M60" s="83"/>
      <c r="N60" s="89"/>
      <c r="O60" s="89"/>
      <c r="Q60" s="89"/>
    </row>
    <row r="61" spans="1:17" s="65" customFormat="1" ht="12.75" customHeight="1" x14ac:dyDescent="0.2">
      <c r="A61" s="46">
        <f t="shared" si="2"/>
        <v>50</v>
      </c>
      <c r="B61" s="77" t="s">
        <v>306</v>
      </c>
      <c r="C61" s="77" t="s">
        <v>307</v>
      </c>
      <c r="D61" s="77" t="s">
        <v>22</v>
      </c>
      <c r="E61" s="74">
        <v>6500</v>
      </c>
      <c r="F61" s="75">
        <v>84.308250000000001</v>
      </c>
      <c r="G61" s="76">
        <f>+ROUND(F61/VLOOKUP("Grand Total",$B$4:$F$301,5,0),4)</f>
        <v>1.1599999999999999E-2</v>
      </c>
      <c r="H61" s="76"/>
      <c r="I61" s="90" t="s">
        <v>322</v>
      </c>
      <c r="J61" s="100"/>
      <c r="K61" s="89"/>
      <c r="L61" s="102"/>
      <c r="M61" s="83"/>
      <c r="N61" s="89"/>
      <c r="O61" s="89"/>
      <c r="Q61" s="89"/>
    </row>
    <row r="62" spans="1:17" s="65" customFormat="1" ht="12.75" customHeight="1" x14ac:dyDescent="0.2">
      <c r="A62" s="46">
        <f t="shared" si="2"/>
        <v>51</v>
      </c>
      <c r="B62" s="77" t="s">
        <v>306</v>
      </c>
      <c r="C62" s="120" t="s">
        <v>704</v>
      </c>
      <c r="D62" s="77" t="s">
        <v>288</v>
      </c>
      <c r="E62" s="74">
        <v>-6500</v>
      </c>
      <c r="F62" s="79">
        <v>-84.103499999999997</v>
      </c>
      <c r="G62" s="76"/>
      <c r="H62" s="127">
        <f>+ROUND(F62/VLOOKUP("Grand Total",$B$4:$F$301,5,0),4)</f>
        <v>-1.1599999999999999E-2</v>
      </c>
      <c r="I62" s="103">
        <v>43342</v>
      </c>
      <c r="J62" s="100"/>
      <c r="K62" s="89"/>
      <c r="L62" s="102"/>
      <c r="M62" s="83"/>
      <c r="N62" s="89"/>
      <c r="O62" s="89"/>
      <c r="Q62" s="89"/>
    </row>
    <row r="63" spans="1:17" s="65" customFormat="1" ht="12.75" customHeight="1" x14ac:dyDescent="0.2">
      <c r="A63" s="46">
        <f t="shared" si="2"/>
        <v>52</v>
      </c>
      <c r="B63" s="77" t="s">
        <v>190</v>
      </c>
      <c r="C63" s="77" t="s">
        <v>50</v>
      </c>
      <c r="D63" s="77" t="s">
        <v>39</v>
      </c>
      <c r="E63" s="74">
        <v>99000</v>
      </c>
      <c r="F63" s="75">
        <v>80.784000000000006</v>
      </c>
      <c r="G63" s="76">
        <f>+ROUND(F63/VLOOKUP("Grand Total",$B$4:$F$301,5,0),4)</f>
        <v>1.11E-2</v>
      </c>
      <c r="H63" s="76"/>
      <c r="I63" s="90" t="s">
        <v>322</v>
      </c>
      <c r="J63" s="100"/>
      <c r="K63" s="89"/>
      <c r="L63" s="102"/>
      <c r="M63" s="83"/>
      <c r="N63" s="89"/>
      <c r="O63" s="89"/>
      <c r="Q63" s="89"/>
    </row>
    <row r="64" spans="1:17" s="65" customFormat="1" ht="12.75" customHeight="1" x14ac:dyDescent="0.2">
      <c r="A64" s="46">
        <f t="shared" si="2"/>
        <v>53</v>
      </c>
      <c r="B64" s="77" t="s">
        <v>190</v>
      </c>
      <c r="C64" s="120" t="s">
        <v>704</v>
      </c>
      <c r="D64" s="77" t="s">
        <v>288</v>
      </c>
      <c r="E64" s="74">
        <v>-99000</v>
      </c>
      <c r="F64" s="79">
        <v>-81.229500000000002</v>
      </c>
      <c r="G64" s="76"/>
      <c r="H64" s="127">
        <f>+ROUND(F64/VLOOKUP("Grand Total",$B$4:$F$301,5,0),4)</f>
        <v>-1.12E-2</v>
      </c>
      <c r="I64" s="103">
        <v>43342</v>
      </c>
      <c r="J64" s="100"/>
      <c r="K64" s="89"/>
      <c r="L64" s="102"/>
      <c r="M64" s="83"/>
      <c r="N64" s="89"/>
      <c r="O64" s="89"/>
      <c r="Q64" s="89"/>
    </row>
    <row r="65" spans="1:17" s="65" customFormat="1" ht="12.75" customHeight="1" x14ac:dyDescent="0.2">
      <c r="A65" s="46">
        <f t="shared" si="2"/>
        <v>54</v>
      </c>
      <c r="B65" s="77" t="s">
        <v>626</v>
      </c>
      <c r="C65" s="77" t="s">
        <v>627</v>
      </c>
      <c r="D65" s="77" t="s">
        <v>9</v>
      </c>
      <c r="E65" s="74">
        <v>93500</v>
      </c>
      <c r="F65" s="75">
        <v>79.5685</v>
      </c>
      <c r="G65" s="76">
        <f>+ROUND(F65/VLOOKUP("Grand Total",$B$4:$F$301,5,0),4)</f>
        <v>1.0999999999999999E-2</v>
      </c>
      <c r="H65" s="76"/>
      <c r="I65" s="90" t="s">
        <v>322</v>
      </c>
      <c r="J65" s="100"/>
      <c r="K65" s="89"/>
      <c r="L65" s="102"/>
      <c r="M65" s="83"/>
      <c r="N65" s="89"/>
      <c r="O65" s="89"/>
      <c r="Q65" s="89"/>
    </row>
    <row r="66" spans="1:17" s="65" customFormat="1" ht="12.75" customHeight="1" x14ac:dyDescent="0.2">
      <c r="A66" s="46">
        <f t="shared" si="2"/>
        <v>55</v>
      </c>
      <c r="B66" s="77" t="s">
        <v>626</v>
      </c>
      <c r="C66" s="120" t="s">
        <v>704</v>
      </c>
      <c r="D66" s="77" t="s">
        <v>288</v>
      </c>
      <c r="E66" s="74">
        <v>-93500</v>
      </c>
      <c r="F66" s="79">
        <v>-80.036000000000001</v>
      </c>
      <c r="G66" s="76"/>
      <c r="H66" s="127">
        <f>+ROUND(F66/VLOOKUP("Grand Total",$B$4:$F$301,5,0),4)</f>
        <v>-1.0999999999999999E-2</v>
      </c>
      <c r="I66" s="103">
        <v>43342</v>
      </c>
      <c r="J66" s="100"/>
      <c r="K66" s="89"/>
      <c r="L66" s="102"/>
      <c r="M66" s="83"/>
      <c r="N66" s="89"/>
      <c r="O66" s="89"/>
      <c r="Q66" s="89"/>
    </row>
    <row r="67" spans="1:17" s="65" customFormat="1" ht="12.75" customHeight="1" x14ac:dyDescent="0.2">
      <c r="A67" s="46">
        <f t="shared" si="2"/>
        <v>56</v>
      </c>
      <c r="B67" s="77" t="s">
        <v>221</v>
      </c>
      <c r="C67" s="77" t="s">
        <v>105</v>
      </c>
      <c r="D67" s="77" t="s">
        <v>21</v>
      </c>
      <c r="E67" s="74">
        <v>3500</v>
      </c>
      <c r="F67" s="75">
        <v>74.472999999999999</v>
      </c>
      <c r="G67" s="76">
        <f>+ROUND(F67/VLOOKUP("Grand Total",$B$4:$F$301,5,0),4)</f>
        <v>1.03E-2</v>
      </c>
      <c r="H67" s="76"/>
      <c r="I67" s="90" t="s">
        <v>322</v>
      </c>
      <c r="J67" s="100"/>
      <c r="K67" s="89"/>
      <c r="L67" s="102"/>
      <c r="M67" s="83"/>
      <c r="N67" s="89"/>
      <c r="O67" s="89"/>
      <c r="Q67" s="89"/>
    </row>
    <row r="68" spans="1:17" s="65" customFormat="1" ht="12.75" customHeight="1" x14ac:dyDescent="0.2">
      <c r="A68" s="46">
        <f t="shared" si="2"/>
        <v>57</v>
      </c>
      <c r="B68" s="77" t="s">
        <v>221</v>
      </c>
      <c r="C68" s="120" t="s">
        <v>704</v>
      </c>
      <c r="D68" s="77" t="s">
        <v>288</v>
      </c>
      <c r="E68" s="74">
        <v>-3500</v>
      </c>
      <c r="F68" s="79">
        <v>-74.753</v>
      </c>
      <c r="G68" s="76"/>
      <c r="H68" s="127">
        <f>+ROUND(F68/VLOOKUP("Grand Total",$B$4:$F$301,5,0),4)</f>
        <v>-1.03E-2</v>
      </c>
      <c r="I68" s="103">
        <v>43342</v>
      </c>
      <c r="J68" s="100"/>
      <c r="K68" s="89"/>
      <c r="L68" s="102"/>
      <c r="M68" s="83"/>
      <c r="N68" s="89"/>
      <c r="O68" s="89"/>
      <c r="Q68" s="89"/>
    </row>
    <row r="69" spans="1:17" s="65" customFormat="1" ht="12.75" customHeight="1" x14ac:dyDescent="0.2">
      <c r="A69" s="46">
        <f t="shared" si="2"/>
        <v>58</v>
      </c>
      <c r="B69" s="77" t="s">
        <v>265</v>
      </c>
      <c r="C69" s="77" t="s">
        <v>164</v>
      </c>
      <c r="D69" s="77" t="s">
        <v>34</v>
      </c>
      <c r="E69" s="74">
        <v>16900</v>
      </c>
      <c r="F69" s="75">
        <v>67.422550000000001</v>
      </c>
      <c r="G69" s="76">
        <f>+ROUND(F69/VLOOKUP("Grand Total",$B$4:$F$301,5,0),4)</f>
        <v>9.2999999999999992E-3</v>
      </c>
      <c r="H69" s="76"/>
      <c r="I69" s="90" t="s">
        <v>322</v>
      </c>
      <c r="J69" s="100"/>
      <c r="K69" s="89"/>
      <c r="L69" s="102"/>
      <c r="M69" s="83"/>
      <c r="N69" s="89"/>
      <c r="O69" s="89"/>
      <c r="Q69" s="89"/>
    </row>
    <row r="70" spans="1:17" s="65" customFormat="1" ht="12.75" customHeight="1" x14ac:dyDescent="0.2">
      <c r="A70" s="46">
        <f t="shared" si="2"/>
        <v>59</v>
      </c>
      <c r="B70" s="77" t="s">
        <v>265</v>
      </c>
      <c r="C70" s="120" t="s">
        <v>704</v>
      </c>
      <c r="D70" s="77" t="s">
        <v>288</v>
      </c>
      <c r="E70" s="74">
        <v>-16900</v>
      </c>
      <c r="F70" s="79">
        <v>-67.794349999999994</v>
      </c>
      <c r="G70" s="76"/>
      <c r="H70" s="127">
        <f>+ROUND(F70/VLOOKUP("Grand Total",$B$4:$F$301,5,0),4)</f>
        <v>-9.2999999999999992E-3</v>
      </c>
      <c r="I70" s="103">
        <v>43342</v>
      </c>
      <c r="J70" s="100"/>
      <c r="K70" s="89"/>
      <c r="L70" s="102"/>
      <c r="M70" s="83"/>
      <c r="N70" s="89"/>
      <c r="O70" s="89"/>
      <c r="Q70" s="89"/>
    </row>
    <row r="71" spans="1:17" s="65" customFormat="1" ht="12.75" customHeight="1" x14ac:dyDescent="0.2">
      <c r="A71" s="46">
        <f t="shared" si="2"/>
        <v>60</v>
      </c>
      <c r="B71" s="77" t="s">
        <v>187</v>
      </c>
      <c r="C71" s="77" t="s">
        <v>46</v>
      </c>
      <c r="D71" s="77" t="s">
        <v>24</v>
      </c>
      <c r="E71" s="74">
        <v>800</v>
      </c>
      <c r="F71" s="75">
        <v>52.337600000000002</v>
      </c>
      <c r="G71" s="76">
        <f>+ROUND(F71/VLOOKUP("Grand Total",$B$4:$F$301,5,0),4)</f>
        <v>7.1999999999999998E-3</v>
      </c>
      <c r="H71" s="76"/>
      <c r="I71" s="90" t="s">
        <v>322</v>
      </c>
      <c r="J71" s="100"/>
      <c r="K71" s="89"/>
      <c r="L71" s="102"/>
      <c r="M71" s="83"/>
      <c r="N71" s="89"/>
      <c r="O71" s="89"/>
      <c r="Q71" s="89"/>
    </row>
    <row r="72" spans="1:17" s="65" customFormat="1" ht="12.75" customHeight="1" x14ac:dyDescent="0.2">
      <c r="A72" s="46">
        <f t="shared" si="2"/>
        <v>61</v>
      </c>
      <c r="B72" s="77" t="s">
        <v>187</v>
      </c>
      <c r="C72" s="120" t="s">
        <v>704</v>
      </c>
      <c r="D72" s="77" t="s">
        <v>288</v>
      </c>
      <c r="E72" s="74">
        <v>-800</v>
      </c>
      <c r="F72" s="79">
        <v>-52.54</v>
      </c>
      <c r="G72" s="76"/>
      <c r="H72" s="127">
        <f>+ROUND(F72/VLOOKUP("Grand Total",$B$4:$F$301,5,0),4)</f>
        <v>-7.1999999999999998E-3</v>
      </c>
      <c r="I72" s="103">
        <v>43342</v>
      </c>
      <c r="J72" s="100"/>
      <c r="K72" s="89"/>
      <c r="L72" s="102"/>
      <c r="M72" s="83"/>
      <c r="N72" s="89"/>
      <c r="O72" s="89"/>
      <c r="Q72" s="89"/>
    </row>
    <row r="73" spans="1:17" s="65" customFormat="1" ht="12.75" customHeight="1" x14ac:dyDescent="0.2">
      <c r="A73" s="46">
        <f t="shared" si="2"/>
        <v>62</v>
      </c>
      <c r="B73" s="77" t="s">
        <v>491</v>
      </c>
      <c r="C73" s="77" t="s">
        <v>492</v>
      </c>
      <c r="D73" s="77" t="s">
        <v>30</v>
      </c>
      <c r="E73" s="74">
        <v>25000</v>
      </c>
      <c r="F73" s="75">
        <v>49.075000000000003</v>
      </c>
      <c r="G73" s="76">
        <f>+ROUND(F73/VLOOKUP("Grand Total",$B$4:$F$301,5,0),4)</f>
        <v>6.7999999999999996E-3</v>
      </c>
      <c r="H73" s="76"/>
      <c r="I73" s="90" t="s">
        <v>322</v>
      </c>
      <c r="J73" s="100"/>
      <c r="K73" s="89"/>
      <c r="L73" s="102"/>
      <c r="M73" s="83"/>
      <c r="N73" s="89"/>
      <c r="O73" s="89"/>
      <c r="Q73" s="89"/>
    </row>
    <row r="74" spans="1:17" s="65" customFormat="1" ht="12.75" customHeight="1" x14ac:dyDescent="0.2">
      <c r="A74" s="46">
        <f t="shared" si="2"/>
        <v>63</v>
      </c>
      <c r="B74" s="77" t="s">
        <v>491</v>
      </c>
      <c r="C74" s="120" t="s">
        <v>704</v>
      </c>
      <c r="D74" s="77" t="s">
        <v>288</v>
      </c>
      <c r="E74" s="74">
        <v>-25000</v>
      </c>
      <c r="F74" s="79">
        <v>-48.987499999999997</v>
      </c>
      <c r="G74" s="76"/>
      <c r="H74" s="127">
        <f>+ROUND(F74/VLOOKUP("Grand Total",$B$4:$F$301,5,0),4)</f>
        <v>-6.7999999999999996E-3</v>
      </c>
      <c r="I74" s="103">
        <v>43342</v>
      </c>
      <c r="J74" s="100"/>
      <c r="K74" s="89"/>
      <c r="L74" s="102"/>
      <c r="M74" s="83"/>
      <c r="N74" s="89"/>
      <c r="O74" s="89"/>
      <c r="Q74" s="89"/>
    </row>
    <row r="75" spans="1:17" s="65" customFormat="1" ht="12.75" customHeight="1" x14ac:dyDescent="0.2">
      <c r="A75" s="46">
        <f t="shared" si="2"/>
        <v>64</v>
      </c>
      <c r="B75" s="77" t="s">
        <v>199</v>
      </c>
      <c r="C75" s="77" t="s">
        <v>59</v>
      </c>
      <c r="D75" s="77" t="s">
        <v>21</v>
      </c>
      <c r="E75" s="74">
        <v>8000</v>
      </c>
      <c r="F75" s="75">
        <v>47.323999999999998</v>
      </c>
      <c r="G75" s="76">
        <f>+ROUND(F75/VLOOKUP("Grand Total",$B$4:$F$301,5,0),4)</f>
        <v>6.4999999999999997E-3</v>
      </c>
      <c r="H75" s="76"/>
      <c r="I75" s="90" t="s">
        <v>322</v>
      </c>
      <c r="J75" s="100"/>
      <c r="K75" s="89"/>
      <c r="L75" s="102"/>
      <c r="M75" s="83"/>
      <c r="N75" s="89"/>
      <c r="O75" s="89"/>
      <c r="Q75" s="89"/>
    </row>
    <row r="76" spans="1:17" s="65" customFormat="1" ht="12.75" customHeight="1" x14ac:dyDescent="0.2">
      <c r="A76" s="46">
        <f t="shared" si="2"/>
        <v>65</v>
      </c>
      <c r="B76" s="77" t="s">
        <v>199</v>
      </c>
      <c r="C76" s="120" t="s">
        <v>704</v>
      </c>
      <c r="D76" s="77" t="s">
        <v>288</v>
      </c>
      <c r="E76" s="74">
        <v>-8000</v>
      </c>
      <c r="F76" s="79">
        <v>-47.508000000000003</v>
      </c>
      <c r="G76" s="76"/>
      <c r="H76" s="127">
        <f>+ROUND(F76/VLOOKUP("Grand Total",$B$4:$F$301,5,0),4)</f>
        <v>-6.4999999999999997E-3</v>
      </c>
      <c r="I76" s="103">
        <v>43342</v>
      </c>
      <c r="J76" s="100"/>
      <c r="K76" s="89"/>
      <c r="L76" s="102"/>
      <c r="M76" s="83"/>
      <c r="N76" s="89"/>
      <c r="O76" s="89"/>
      <c r="Q76" s="89"/>
    </row>
    <row r="77" spans="1:17" s="65" customFormat="1" ht="12.75" customHeight="1" x14ac:dyDescent="0.2">
      <c r="A77" s="46">
        <f t="shared" si="2"/>
        <v>66</v>
      </c>
      <c r="B77" s="77" t="s">
        <v>267</v>
      </c>
      <c r="C77" s="77" t="s">
        <v>165</v>
      </c>
      <c r="D77" s="77" t="s">
        <v>98</v>
      </c>
      <c r="E77" s="74">
        <v>6000</v>
      </c>
      <c r="F77" s="75">
        <v>46.338000000000001</v>
      </c>
      <c r="G77" s="76">
        <f>+ROUND(F77/VLOOKUP("Grand Total",$B$4:$F$301,5,0),4)</f>
        <v>6.4000000000000003E-3</v>
      </c>
      <c r="H77" s="76"/>
      <c r="I77" s="90" t="s">
        <v>322</v>
      </c>
      <c r="J77" s="100"/>
      <c r="K77" s="89"/>
      <c r="L77" s="102"/>
      <c r="M77" s="83"/>
      <c r="N77" s="89"/>
      <c r="O77" s="89"/>
      <c r="Q77" s="89"/>
    </row>
    <row r="78" spans="1:17" s="65" customFormat="1" ht="12.75" customHeight="1" x14ac:dyDescent="0.2">
      <c r="A78" s="46">
        <f t="shared" si="2"/>
        <v>67</v>
      </c>
      <c r="B78" s="77" t="s">
        <v>267</v>
      </c>
      <c r="C78" s="120" t="s">
        <v>704</v>
      </c>
      <c r="D78" s="77" t="s">
        <v>288</v>
      </c>
      <c r="E78" s="74">
        <v>-6000</v>
      </c>
      <c r="F78" s="79">
        <v>-46.554000000000002</v>
      </c>
      <c r="G78" s="76"/>
      <c r="H78" s="127">
        <f>+ROUND(F78/VLOOKUP("Grand Total",$B$4:$F$301,5,0),4)</f>
        <v>-6.4000000000000003E-3</v>
      </c>
      <c r="I78" s="103">
        <v>43342</v>
      </c>
      <c r="J78" s="100"/>
      <c r="K78" s="89"/>
      <c r="L78" s="102"/>
      <c r="M78" s="83"/>
      <c r="N78" s="89"/>
      <c r="O78" s="89"/>
      <c r="Q78" s="89"/>
    </row>
    <row r="79" spans="1:17" s="65" customFormat="1" ht="12.75" customHeight="1" x14ac:dyDescent="0.2">
      <c r="A79" s="46">
        <f t="shared" si="2"/>
        <v>68</v>
      </c>
      <c r="B79" s="77" t="s">
        <v>365</v>
      </c>
      <c r="C79" s="77" t="s">
        <v>66</v>
      </c>
      <c r="D79" s="77" t="s">
        <v>21</v>
      </c>
      <c r="E79" s="74">
        <v>7700</v>
      </c>
      <c r="F79" s="75">
        <v>43.774500000000003</v>
      </c>
      <c r="G79" s="76">
        <f>+ROUND(F79/VLOOKUP("Grand Total",$B$4:$F$301,5,0),4)</f>
        <v>6.0000000000000001E-3</v>
      </c>
      <c r="H79" s="76"/>
      <c r="I79" s="90" t="s">
        <v>322</v>
      </c>
      <c r="J79" s="100"/>
      <c r="K79" s="89"/>
      <c r="L79" s="102"/>
      <c r="M79" s="83"/>
      <c r="N79" s="89"/>
      <c r="O79" s="89"/>
      <c r="Q79" s="89"/>
    </row>
    <row r="80" spans="1:17" s="65" customFormat="1" ht="12.75" customHeight="1" x14ac:dyDescent="0.2">
      <c r="A80" s="46">
        <f t="shared" si="2"/>
        <v>69</v>
      </c>
      <c r="B80" s="77" t="s">
        <v>365</v>
      </c>
      <c r="C80" s="120" t="s">
        <v>704</v>
      </c>
      <c r="D80" s="77" t="s">
        <v>288</v>
      </c>
      <c r="E80" s="74">
        <v>-7700</v>
      </c>
      <c r="F80" s="79">
        <v>-43.851500000000001</v>
      </c>
      <c r="G80" s="76"/>
      <c r="H80" s="127">
        <f>+ROUND(F80/VLOOKUP("Grand Total",$B$4:$F$301,5,0),4)</f>
        <v>-6.0000000000000001E-3</v>
      </c>
      <c r="I80" s="103">
        <v>43342</v>
      </c>
      <c r="J80" s="100"/>
      <c r="K80" s="89"/>
      <c r="L80" s="102"/>
      <c r="M80" s="83"/>
      <c r="N80" s="89"/>
      <c r="O80" s="89"/>
      <c r="Q80" s="89"/>
    </row>
    <row r="81" spans="1:17" s="65" customFormat="1" ht="12.75" customHeight="1" x14ac:dyDescent="0.2">
      <c r="A81" s="46">
        <f t="shared" si="2"/>
        <v>70</v>
      </c>
      <c r="B81" s="77" t="s">
        <v>507</v>
      </c>
      <c r="C81" s="77" t="s">
        <v>508</v>
      </c>
      <c r="D81" s="77" t="s">
        <v>98</v>
      </c>
      <c r="E81" s="74">
        <v>64000</v>
      </c>
      <c r="F81" s="75">
        <v>42.143999999999998</v>
      </c>
      <c r="G81" s="76">
        <f>+ROUND(F81/VLOOKUP("Grand Total",$B$4:$F$301,5,0),4)</f>
        <v>5.7999999999999996E-3</v>
      </c>
      <c r="H81" s="76"/>
      <c r="I81" s="90" t="s">
        <v>322</v>
      </c>
      <c r="J81" s="100"/>
      <c r="K81" s="89"/>
      <c r="L81" s="102"/>
      <c r="M81" s="83"/>
      <c r="N81" s="89"/>
      <c r="O81" s="89"/>
      <c r="Q81" s="89"/>
    </row>
    <row r="82" spans="1:17" s="65" customFormat="1" ht="12.75" customHeight="1" x14ac:dyDescent="0.2">
      <c r="A82" s="46">
        <f t="shared" si="2"/>
        <v>71</v>
      </c>
      <c r="B82" s="77" t="s">
        <v>507</v>
      </c>
      <c r="C82" s="120" t="s">
        <v>704</v>
      </c>
      <c r="D82" s="77" t="s">
        <v>288</v>
      </c>
      <c r="E82" s="74">
        <v>-64000</v>
      </c>
      <c r="F82" s="79">
        <v>-42.335999999999999</v>
      </c>
      <c r="G82" s="76"/>
      <c r="H82" s="127">
        <f>+ROUND(F82/VLOOKUP("Grand Total",$B$4:$F$301,5,0),4)</f>
        <v>-5.7999999999999996E-3</v>
      </c>
      <c r="I82" s="103">
        <v>43342</v>
      </c>
      <c r="J82" s="100"/>
      <c r="K82" s="89"/>
      <c r="L82" s="102"/>
      <c r="M82" s="83"/>
      <c r="N82" s="89"/>
      <c r="O82" s="89"/>
      <c r="Q82" s="89"/>
    </row>
    <row r="83" spans="1:17" s="65" customFormat="1" ht="12.75" customHeight="1" x14ac:dyDescent="0.2">
      <c r="A83" s="46">
        <f t="shared" si="2"/>
        <v>72</v>
      </c>
      <c r="B83" s="77" t="s">
        <v>180</v>
      </c>
      <c r="C83" s="77" t="s">
        <v>20</v>
      </c>
      <c r="D83" s="77" t="s">
        <v>19</v>
      </c>
      <c r="E83" s="74">
        <v>13500</v>
      </c>
      <c r="F83" s="75">
        <v>35.653500000000001</v>
      </c>
      <c r="G83" s="76">
        <f>+ROUND(F83/VLOOKUP("Grand Total",$B$4:$F$301,5,0),4)</f>
        <v>4.8999999999999998E-3</v>
      </c>
      <c r="H83" s="76"/>
      <c r="I83" s="90" t="s">
        <v>322</v>
      </c>
      <c r="J83" s="100"/>
      <c r="K83" s="89"/>
      <c r="L83" s="102"/>
      <c r="M83" s="83"/>
      <c r="N83" s="89"/>
      <c r="O83" s="89"/>
      <c r="Q83" s="89"/>
    </row>
    <row r="84" spans="1:17" s="65" customFormat="1" ht="12.75" customHeight="1" x14ac:dyDescent="0.2">
      <c r="A84" s="46">
        <f t="shared" si="2"/>
        <v>73</v>
      </c>
      <c r="B84" s="77" t="s">
        <v>180</v>
      </c>
      <c r="C84" s="120" t="s">
        <v>704</v>
      </c>
      <c r="D84" s="77" t="s">
        <v>288</v>
      </c>
      <c r="E84" s="74">
        <v>-13500</v>
      </c>
      <c r="F84" s="79">
        <v>-35.768250000000002</v>
      </c>
      <c r="G84" s="76"/>
      <c r="H84" s="127">
        <f>+ROUND(F84/VLOOKUP("Grand Total",$B$4:$F$301,5,0),4)</f>
        <v>-4.8999999999999998E-3</v>
      </c>
      <c r="I84" s="103">
        <v>43342</v>
      </c>
      <c r="J84" s="100"/>
      <c r="K84" s="89"/>
      <c r="L84" s="102"/>
      <c r="M84" s="83"/>
      <c r="N84" s="89"/>
      <c r="O84" s="89"/>
      <c r="Q84" s="89"/>
    </row>
    <row r="85" spans="1:17" s="65" customFormat="1" ht="12.75" customHeight="1" x14ac:dyDescent="0.2">
      <c r="A85" s="46">
        <f t="shared" si="2"/>
        <v>74</v>
      </c>
      <c r="B85" s="77" t="s">
        <v>202</v>
      </c>
      <c r="C85" s="77" t="s">
        <v>71</v>
      </c>
      <c r="D85" s="77" t="s">
        <v>30</v>
      </c>
      <c r="E85" s="74">
        <v>17500</v>
      </c>
      <c r="F85" s="75">
        <v>35.157499999999999</v>
      </c>
      <c r="G85" s="76">
        <f>+ROUND(F85/VLOOKUP("Grand Total",$B$4:$F$301,5,0),4)</f>
        <v>4.7999999999999996E-3</v>
      </c>
      <c r="H85" s="76"/>
      <c r="I85" s="90" t="s">
        <v>322</v>
      </c>
      <c r="J85" s="100"/>
      <c r="K85" s="89"/>
      <c r="L85" s="102"/>
      <c r="M85" s="83"/>
      <c r="N85" s="89"/>
      <c r="O85" s="89"/>
      <c r="Q85" s="89"/>
    </row>
    <row r="86" spans="1:17" s="65" customFormat="1" ht="12.75" customHeight="1" x14ac:dyDescent="0.2">
      <c r="A86" s="46">
        <f t="shared" si="2"/>
        <v>75</v>
      </c>
      <c r="B86" s="77" t="s">
        <v>202</v>
      </c>
      <c r="C86" s="120" t="s">
        <v>704</v>
      </c>
      <c r="D86" s="77" t="s">
        <v>288</v>
      </c>
      <c r="E86" s="74">
        <v>-17500</v>
      </c>
      <c r="F86" s="79">
        <v>-34.825000000000003</v>
      </c>
      <c r="G86" s="76"/>
      <c r="H86" s="127">
        <f>+ROUND(F86/VLOOKUP("Grand Total",$B$4:$F$301,5,0),4)</f>
        <v>-4.7999999999999996E-3</v>
      </c>
      <c r="I86" s="103">
        <v>43342</v>
      </c>
      <c r="J86" s="100"/>
      <c r="K86" s="89"/>
      <c r="L86" s="102"/>
      <c r="M86" s="83"/>
      <c r="N86" s="89"/>
      <c r="O86" s="89"/>
      <c r="Q86" s="89"/>
    </row>
    <row r="87" spans="1:17" s="46" customFormat="1" x14ac:dyDescent="0.2">
      <c r="A87"/>
      <c r="B87" s="18" t="s">
        <v>82</v>
      </c>
      <c r="C87" s="18"/>
      <c r="D87" s="18"/>
      <c r="E87" s="19"/>
      <c r="F87" s="125">
        <f>+F35+F37+F39+F41+F43+F45+F47+F49+F51+F53+F55+F57+F59+F61+F63+F65+F67+F69+F71+F73+F75+F77+F79+F81+F83+F85</f>
        <v>3033.4276874999996</v>
      </c>
      <c r="G87" s="122">
        <f>+G35+G37+G39+G41+G43+G45+G47+G49+G51+G53+G55+G57+G59+G61+G63+G65+G67+G69+G71+G73+G75+G77+G79+G81+G83+G85</f>
        <v>0.41789999999999994</v>
      </c>
      <c r="H87" s="123">
        <f>SUM(H36:H86)</f>
        <v>-0.41930000000000001</v>
      </c>
      <c r="I87" s="21"/>
      <c r="J87" s="55"/>
      <c r="K87"/>
      <c r="L87" s="36"/>
      <c r="M87"/>
    </row>
    <row r="88" spans="1:17" s="46" customFormat="1" x14ac:dyDescent="0.2">
      <c r="A88"/>
      <c r="B88"/>
      <c r="C88"/>
      <c r="D88"/>
      <c r="E88" s="28"/>
      <c r="F88" s="28"/>
      <c r="G88" s="28"/>
      <c r="H88" s="28"/>
      <c r="I88" s="15"/>
      <c r="J88" s="56"/>
      <c r="L88" s="48"/>
    </row>
    <row r="89" spans="1:17" s="46" customFormat="1" x14ac:dyDescent="0.2">
      <c r="A89"/>
      <c r="B89" s="16" t="s">
        <v>88</v>
      </c>
      <c r="C89"/>
      <c r="D89"/>
      <c r="E89" s="28"/>
      <c r="F89" s="28"/>
      <c r="G89" s="28"/>
      <c r="H89" s="28"/>
      <c r="I89" s="15"/>
      <c r="J89" s="56"/>
      <c r="L89" s="48"/>
    </row>
    <row r="90" spans="1:17" ht="12.75" customHeight="1" x14ac:dyDescent="0.2">
      <c r="B90" s="16" t="s">
        <v>273</v>
      </c>
      <c r="F90" s="13"/>
      <c r="G90" s="14"/>
      <c r="H90" s="14"/>
      <c r="I90" s="33"/>
      <c r="J90"/>
      <c r="K90" s="36"/>
      <c r="L90"/>
    </row>
    <row r="91" spans="1:17" ht="12.75" customHeight="1" x14ac:dyDescent="0.2">
      <c r="A91" s="65">
        <f>+MAX($A$7:A90)+1</f>
        <v>76</v>
      </c>
      <c r="B91" t="s">
        <v>514</v>
      </c>
      <c r="C91" t="s">
        <v>689</v>
      </c>
      <c r="D91" t="s">
        <v>152</v>
      </c>
      <c r="E91" s="28">
        <v>40</v>
      </c>
      <c r="F91" s="13">
        <v>197.3434</v>
      </c>
      <c r="G91" s="14">
        <f>+ROUND(F91/VLOOKUP("Grand Total",$B$4:$F$330,5,0),4)</f>
        <v>2.7199999999999998E-2</v>
      </c>
      <c r="H91" s="14"/>
      <c r="I91" s="15">
        <v>43368</v>
      </c>
      <c r="J91"/>
      <c r="K91" s="36"/>
      <c r="L91"/>
    </row>
    <row r="92" spans="1:17" ht="12.75" customHeight="1" x14ac:dyDescent="0.2">
      <c r="A92" s="65">
        <f>+MAX($A$7:A91)+1</f>
        <v>77</v>
      </c>
      <c r="B92" t="s">
        <v>262</v>
      </c>
      <c r="C92" t="s">
        <v>478</v>
      </c>
      <c r="D92" t="s">
        <v>463</v>
      </c>
      <c r="E92" s="28">
        <v>40</v>
      </c>
      <c r="F92" s="13">
        <v>195.02500000000001</v>
      </c>
      <c r="G92" s="14">
        <f>+ROUND(F92/VLOOKUP("Grand Total",$B$4:$F$330,5,0),4)</f>
        <v>2.69E-2</v>
      </c>
      <c r="H92" s="14"/>
      <c r="I92" s="15">
        <v>43426</v>
      </c>
      <c r="J92"/>
      <c r="K92" s="36"/>
      <c r="L92"/>
    </row>
    <row r="93" spans="1:17" ht="12.75" customHeight="1" x14ac:dyDescent="0.2">
      <c r="A93" s="65">
        <f>+MAX($A$7:A92)+1</f>
        <v>78</v>
      </c>
      <c r="B93" t="s">
        <v>726</v>
      </c>
      <c r="C93" t="s">
        <v>727</v>
      </c>
      <c r="D93" t="s">
        <v>152</v>
      </c>
      <c r="E93" s="28">
        <v>20</v>
      </c>
      <c r="F93" s="13">
        <v>99.849599999999995</v>
      </c>
      <c r="G93" s="14">
        <f>+ROUND(F93/VLOOKUP("Grand Total",$B$4:$F$330,5,0),4)</f>
        <v>1.38E-2</v>
      </c>
      <c r="H93" s="14"/>
      <c r="I93" s="15">
        <v>43318</v>
      </c>
      <c r="J93"/>
      <c r="K93" s="36"/>
      <c r="L93"/>
    </row>
    <row r="94" spans="1:17" ht="12.75" customHeight="1" x14ac:dyDescent="0.2">
      <c r="A94" s="65">
        <f>+MAX($A$7:A93)+1</f>
        <v>79</v>
      </c>
      <c r="B94" t="s">
        <v>514</v>
      </c>
      <c r="C94" t="s">
        <v>698</v>
      </c>
      <c r="D94" t="s">
        <v>152</v>
      </c>
      <c r="E94" s="28">
        <v>2</v>
      </c>
      <c r="F94" s="13">
        <v>9.8896200000000007</v>
      </c>
      <c r="G94" s="14">
        <f>+ROUND(F94/VLOOKUP("Grand Total",$B$4:$F$330,5,0),4)</f>
        <v>1.4E-3</v>
      </c>
      <c r="H94" s="14"/>
      <c r="I94" s="15">
        <v>43362</v>
      </c>
      <c r="J94"/>
      <c r="K94" s="36"/>
      <c r="L94"/>
    </row>
    <row r="95" spans="1:17" ht="12.75" customHeight="1" x14ac:dyDescent="0.2">
      <c r="B95" s="18" t="s">
        <v>82</v>
      </c>
      <c r="C95" s="18"/>
      <c r="D95" s="18"/>
      <c r="E95" s="29"/>
      <c r="F95" s="19">
        <f>SUM(F91:F94)</f>
        <v>502.10762</v>
      </c>
      <c r="G95" s="20">
        <f>SUM(G91:G94)</f>
        <v>6.9299999999999987E-2</v>
      </c>
      <c r="H95" s="20"/>
      <c r="I95" s="21"/>
      <c r="J95"/>
      <c r="K95" s="36"/>
      <c r="L95"/>
    </row>
    <row r="96" spans="1:17" x14ac:dyDescent="0.2">
      <c r="F96" s="44"/>
      <c r="G96" s="14"/>
      <c r="H96" s="14"/>
      <c r="I96" s="15"/>
      <c r="J96" s="56"/>
      <c r="K96" s="48"/>
      <c r="L96" s="46"/>
      <c r="M96" s="46"/>
    </row>
    <row r="97" spans="1:13" ht="12.75" customHeight="1" x14ac:dyDescent="0.2">
      <c r="B97" s="16" t="s">
        <v>157</v>
      </c>
      <c r="F97" s="13"/>
      <c r="G97" s="14"/>
      <c r="H97" s="14"/>
      <c r="I97" s="33"/>
      <c r="J97"/>
      <c r="K97" s="36"/>
      <c r="L97"/>
    </row>
    <row r="98" spans="1:13" ht="12.75" customHeight="1" x14ac:dyDescent="0.2">
      <c r="A98" s="65">
        <f>+MAX($A$7:A97)+1</f>
        <v>80</v>
      </c>
      <c r="B98" t="s">
        <v>464</v>
      </c>
      <c r="C98" t="s">
        <v>675</v>
      </c>
      <c r="D98" t="s">
        <v>354</v>
      </c>
      <c r="E98" s="28">
        <v>30000</v>
      </c>
      <c r="F98" s="13">
        <v>29.848140000000001</v>
      </c>
      <c r="G98" s="14">
        <f>+ROUND(F98/VLOOKUP("Grand Total",$B$4:$F$330,5,0),4)</f>
        <v>4.1000000000000003E-3</v>
      </c>
      <c r="H98" s="14"/>
      <c r="I98" s="15">
        <v>43342</v>
      </c>
      <c r="J98"/>
      <c r="K98" s="36"/>
      <c r="L98"/>
    </row>
    <row r="99" spans="1:13" ht="12.75" customHeight="1" x14ac:dyDescent="0.2">
      <c r="B99" s="18" t="s">
        <v>82</v>
      </c>
      <c r="C99" s="18"/>
      <c r="D99" s="18"/>
      <c r="E99" s="29"/>
      <c r="F99" s="19">
        <f>SUM(F98:F98)</f>
        <v>29.848140000000001</v>
      </c>
      <c r="G99" s="20">
        <f>SUM(G98:G98)</f>
        <v>4.1000000000000003E-3</v>
      </c>
      <c r="H99" s="20"/>
      <c r="I99" s="21"/>
      <c r="J99"/>
      <c r="K99" s="36"/>
      <c r="L99"/>
    </row>
    <row r="100" spans="1:13" x14ac:dyDescent="0.2">
      <c r="F100" s="44"/>
      <c r="G100" s="14"/>
      <c r="H100" s="14"/>
      <c r="I100" s="15"/>
      <c r="J100" s="56"/>
      <c r="K100" s="48"/>
      <c r="L100" s="46"/>
      <c r="M100" s="46"/>
    </row>
    <row r="101" spans="1:13" x14ac:dyDescent="0.2">
      <c r="B101" s="16" t="s">
        <v>120</v>
      </c>
      <c r="F101" s="44"/>
      <c r="G101" s="14"/>
      <c r="H101" s="14"/>
      <c r="I101" s="15"/>
      <c r="J101" s="56"/>
      <c r="K101" s="48"/>
      <c r="L101" s="46"/>
      <c r="M101" s="46"/>
    </row>
    <row r="102" spans="1:13" ht="12.75" customHeight="1" x14ac:dyDescent="0.2">
      <c r="B102" s="31" t="s">
        <v>356</v>
      </c>
      <c r="F102" s="13"/>
      <c r="G102" s="14"/>
      <c r="H102" s="14"/>
      <c r="I102" s="33"/>
      <c r="J102"/>
      <c r="K102" s="36"/>
      <c r="L102"/>
    </row>
    <row r="103" spans="1:13" ht="12.75" customHeight="1" x14ac:dyDescent="0.2">
      <c r="A103">
        <f>+MAX($A$7:A102)+1</f>
        <v>81</v>
      </c>
      <c r="B103" s="65" t="s">
        <v>764</v>
      </c>
      <c r="C103" t="s">
        <v>526</v>
      </c>
      <c r="D103" t="s">
        <v>527</v>
      </c>
      <c r="E103" s="28">
        <v>200</v>
      </c>
      <c r="F103" s="13">
        <v>201.17660000000001</v>
      </c>
      <c r="G103" s="14">
        <f t="shared" ref="G103:G109" si="3">+ROUND(F103/VLOOKUP("Grand Total",$B$4:$F$330,5,0),4)</f>
        <v>2.7699999999999999E-2</v>
      </c>
      <c r="H103" s="14"/>
      <c r="I103" s="15">
        <v>43766</v>
      </c>
      <c r="J103"/>
      <c r="K103" s="36"/>
      <c r="L103"/>
    </row>
    <row r="104" spans="1:13" ht="12.75" customHeight="1" x14ac:dyDescent="0.2">
      <c r="A104">
        <f>+MAX($A$7:A103)+1</f>
        <v>82</v>
      </c>
      <c r="B104" s="65" t="s">
        <v>758</v>
      </c>
      <c r="C104" t="s">
        <v>406</v>
      </c>
      <c r="D104" t="s">
        <v>263</v>
      </c>
      <c r="E104" s="28">
        <v>17</v>
      </c>
      <c r="F104" s="13">
        <v>169.34091000000001</v>
      </c>
      <c r="G104" s="14">
        <f t="shared" si="3"/>
        <v>2.3300000000000001E-2</v>
      </c>
      <c r="H104" s="14"/>
      <c r="I104" s="15">
        <v>43630</v>
      </c>
      <c r="J104"/>
      <c r="K104" s="36"/>
      <c r="L104"/>
    </row>
    <row r="105" spans="1:13" ht="12.75" customHeight="1" x14ac:dyDescent="0.2">
      <c r="A105">
        <f>+MAX($A$7:A104)+1</f>
        <v>83</v>
      </c>
      <c r="B105" s="65" t="s">
        <v>782</v>
      </c>
      <c r="C105" t="s">
        <v>548</v>
      </c>
      <c r="D105" t="s">
        <v>381</v>
      </c>
      <c r="E105" s="28">
        <v>15000</v>
      </c>
      <c r="F105" s="13">
        <v>146.37585000000001</v>
      </c>
      <c r="G105" s="14">
        <f t="shared" si="3"/>
        <v>2.0199999999999999E-2</v>
      </c>
      <c r="H105" s="14"/>
      <c r="I105" s="15">
        <v>44366</v>
      </c>
      <c r="J105"/>
      <c r="K105" s="36"/>
      <c r="L105"/>
    </row>
    <row r="106" spans="1:13" ht="12.75" customHeight="1" x14ac:dyDescent="0.2">
      <c r="A106">
        <f>+MAX($A$7:A105)+1</f>
        <v>84</v>
      </c>
      <c r="B106" s="65" t="s">
        <v>760</v>
      </c>
      <c r="C106" t="s">
        <v>362</v>
      </c>
      <c r="D106" t="s">
        <v>315</v>
      </c>
      <c r="E106" s="28">
        <v>13</v>
      </c>
      <c r="F106" s="13">
        <v>130.00766999999999</v>
      </c>
      <c r="G106" s="14">
        <f t="shared" si="3"/>
        <v>1.7899999999999999E-2</v>
      </c>
      <c r="H106" s="14"/>
      <c r="I106" s="15">
        <v>43322</v>
      </c>
      <c r="J106"/>
      <c r="K106" s="36"/>
      <c r="L106"/>
    </row>
    <row r="107" spans="1:13" ht="12.75" customHeight="1" x14ac:dyDescent="0.2">
      <c r="A107">
        <f>+MAX($A$7:A106)+1</f>
        <v>85</v>
      </c>
      <c r="B107" s="65" t="s">
        <v>424</v>
      </c>
      <c r="C107" t="s">
        <v>425</v>
      </c>
      <c r="D107" t="s">
        <v>104</v>
      </c>
      <c r="E107" s="28">
        <v>10</v>
      </c>
      <c r="F107" s="13">
        <v>98.273700000000005</v>
      </c>
      <c r="G107" s="14">
        <f t="shared" si="3"/>
        <v>1.35E-2</v>
      </c>
      <c r="H107" s="14"/>
      <c r="I107" s="15">
        <v>44091</v>
      </c>
      <c r="J107"/>
      <c r="K107" s="36"/>
      <c r="L107"/>
    </row>
    <row r="108" spans="1:13" ht="12.75" customHeight="1" x14ac:dyDescent="0.2">
      <c r="A108">
        <f>+MAX($A$7:A107)+1</f>
        <v>86</v>
      </c>
      <c r="B108" s="65" t="s">
        <v>769</v>
      </c>
      <c r="C108" t="s">
        <v>503</v>
      </c>
      <c r="D108" t="s">
        <v>497</v>
      </c>
      <c r="E108" s="28">
        <v>10</v>
      </c>
      <c r="F108" s="13">
        <v>70.8108</v>
      </c>
      <c r="G108" s="14">
        <f t="shared" si="3"/>
        <v>9.7999999999999997E-3</v>
      </c>
      <c r="H108" s="14"/>
      <c r="I108" s="15">
        <v>43826</v>
      </c>
      <c r="J108"/>
      <c r="K108" s="36"/>
      <c r="L108"/>
    </row>
    <row r="109" spans="1:13" ht="12.75" customHeight="1" x14ac:dyDescent="0.2">
      <c r="A109">
        <f>+MAX($A$7:A108)+1</f>
        <v>87</v>
      </c>
      <c r="B109" s="65" t="s">
        <v>783</v>
      </c>
      <c r="C109" t="s">
        <v>480</v>
      </c>
      <c r="D109" t="s">
        <v>104</v>
      </c>
      <c r="E109" s="28">
        <v>4</v>
      </c>
      <c r="F109" s="13">
        <v>51.160449999999997</v>
      </c>
      <c r="G109" s="14">
        <f t="shared" si="3"/>
        <v>7.1000000000000004E-3</v>
      </c>
      <c r="H109" s="14"/>
      <c r="I109" s="15">
        <v>44401</v>
      </c>
      <c r="J109"/>
      <c r="K109" s="36"/>
      <c r="L109"/>
    </row>
    <row r="110" spans="1:13" ht="12.75" customHeight="1" x14ac:dyDescent="0.2">
      <c r="B110" s="18" t="s">
        <v>82</v>
      </c>
      <c r="C110" s="18"/>
      <c r="D110" s="18"/>
      <c r="E110" s="29"/>
      <c r="F110" s="19">
        <f>SUM(F103:F109)</f>
        <v>867.14597999999989</v>
      </c>
      <c r="G110" s="20">
        <f>SUM(G103:G109)</f>
        <v>0.1195</v>
      </c>
      <c r="H110" s="20"/>
      <c r="I110" s="21"/>
      <c r="J110"/>
      <c r="K110" s="36"/>
      <c r="L110"/>
    </row>
    <row r="111" spans="1:13" x14ac:dyDescent="0.2">
      <c r="F111" s="44"/>
      <c r="G111" s="14"/>
      <c r="H111" s="14"/>
      <c r="I111" s="15"/>
      <c r="J111" s="56"/>
      <c r="K111" s="48"/>
      <c r="L111" s="46"/>
      <c r="M111" s="46"/>
    </row>
    <row r="112" spans="1:13" ht="12.75" customHeight="1" x14ac:dyDescent="0.2">
      <c r="B112" s="16" t="s">
        <v>89</v>
      </c>
      <c r="F112" s="13"/>
      <c r="G112" s="14"/>
      <c r="H112" s="14"/>
      <c r="I112" s="33"/>
      <c r="J112"/>
      <c r="K112" s="36"/>
      <c r="L112"/>
    </row>
    <row r="113" spans="1:13" ht="12.75" customHeight="1" x14ac:dyDescent="0.2">
      <c r="A113">
        <f>+MAX($A$7:A112)+1</f>
        <v>88</v>
      </c>
      <c r="B113" t="s">
        <v>380</v>
      </c>
      <c r="C113" t="s">
        <v>308</v>
      </c>
      <c r="D113" t="s">
        <v>285</v>
      </c>
      <c r="E113" s="28">
        <v>9842.8194000000003</v>
      </c>
      <c r="F113" s="13">
        <v>169.98441819999999</v>
      </c>
      <c r="G113" s="14">
        <f>+ROUND(F113/VLOOKUP("Grand Total",$B$4:$F$330,5,0),4)</f>
        <v>2.3400000000000001E-2</v>
      </c>
      <c r="H113" s="14"/>
      <c r="I113" s="33" t="s">
        <v>322</v>
      </c>
      <c r="J113"/>
      <c r="K113" s="36"/>
      <c r="L113"/>
    </row>
    <row r="114" spans="1:13" ht="12.75" customHeight="1" x14ac:dyDescent="0.2">
      <c r="B114" s="18" t="s">
        <v>82</v>
      </c>
      <c r="C114" s="18"/>
      <c r="D114" s="18"/>
      <c r="E114" s="29"/>
      <c r="F114" s="19">
        <f>SUM(F113)</f>
        <v>169.98441819999999</v>
      </c>
      <c r="G114" s="20">
        <f>SUM(G113)</f>
        <v>2.3400000000000001E-2</v>
      </c>
      <c r="H114" s="20"/>
      <c r="I114" s="21"/>
      <c r="J114"/>
      <c r="K114" s="36"/>
      <c r="L114"/>
    </row>
    <row r="115" spans="1:13" x14ac:dyDescent="0.2">
      <c r="F115" s="44"/>
      <c r="G115" s="14"/>
      <c r="H115" s="14"/>
      <c r="I115" s="15"/>
      <c r="J115" s="56"/>
      <c r="K115" s="48"/>
      <c r="L115" s="46"/>
      <c r="M115" s="46"/>
    </row>
    <row r="116" spans="1:13" x14ac:dyDescent="0.2">
      <c r="B116" s="16" t="s">
        <v>91</v>
      </c>
      <c r="C116" s="16"/>
      <c r="F116" s="13"/>
      <c r="G116" s="14"/>
      <c r="H116" s="14"/>
      <c r="I116" s="15"/>
      <c r="J116" s="56"/>
    </row>
    <row r="117" spans="1:13" x14ac:dyDescent="0.2">
      <c r="A117" s="94" t="s">
        <v>321</v>
      </c>
      <c r="B117" s="16" t="s">
        <v>658</v>
      </c>
      <c r="C117" s="16"/>
      <c r="F117" s="13">
        <v>79.670540000000003</v>
      </c>
      <c r="G117" s="14">
        <f>+ROUND(F117/VLOOKUP("Grand Total",$B$4:$F$306,5,0),4)</f>
        <v>1.0999999999999999E-2</v>
      </c>
      <c r="H117" s="14"/>
      <c r="I117" s="15">
        <v>43313</v>
      </c>
      <c r="J117" s="56"/>
      <c r="K117" s="36"/>
      <c r="L117"/>
    </row>
    <row r="118" spans="1:13" x14ac:dyDescent="0.2">
      <c r="B118" s="16" t="s">
        <v>92</v>
      </c>
      <c r="C118" s="16"/>
      <c r="F118" s="44">
        <f>+F120-SUMIF($B$5:B116,"Total",$F$5:F116)-VLOOKUP(B117,$B$7:F118,5,0)</f>
        <v>622.86935069999993</v>
      </c>
      <c r="G118" s="45">
        <f>+ROUND(F118/VLOOKUP("Grand Total",$B$4:$F$306,5,0),4)+0.03%</f>
        <v>8.6199999999999999E-2</v>
      </c>
      <c r="H118" s="45"/>
      <c r="I118" s="15"/>
      <c r="J118" s="56"/>
    </row>
    <row r="119" spans="1:13" x14ac:dyDescent="0.2">
      <c r="B119" s="18" t="s">
        <v>82</v>
      </c>
      <c r="C119" s="18"/>
      <c r="D119" s="18"/>
      <c r="E119" s="29"/>
      <c r="F119" s="19">
        <f>SUM(F117:F118)</f>
        <v>702.53989069999989</v>
      </c>
      <c r="G119" s="20">
        <f>SUM(G117:G118)</f>
        <v>9.7199999999999995E-2</v>
      </c>
      <c r="H119" s="20"/>
      <c r="I119" s="21"/>
      <c r="J119" s="55"/>
    </row>
    <row r="120" spans="1:13" x14ac:dyDescent="0.2">
      <c r="B120" s="22" t="s">
        <v>93</v>
      </c>
      <c r="C120" s="22"/>
      <c r="D120" s="22"/>
      <c r="E120" s="30"/>
      <c r="F120" s="23">
        <v>7253.6078228999995</v>
      </c>
      <c r="G120" s="24">
        <f>+SUMIF($B$5:B119,"Total",$G$5:G119)</f>
        <v>0.99999999999999989</v>
      </c>
      <c r="H120" s="24"/>
      <c r="I120" s="25"/>
      <c r="J120" s="39"/>
    </row>
    <row r="121" spans="1:13" x14ac:dyDescent="0.2">
      <c r="F121" s="40"/>
      <c r="L121"/>
    </row>
    <row r="122" spans="1:13" x14ac:dyDescent="0.2">
      <c r="B122" s="16" t="s">
        <v>499</v>
      </c>
      <c r="C122" s="16"/>
      <c r="L122"/>
    </row>
    <row r="123" spans="1:13" x14ac:dyDescent="0.2">
      <c r="B123" s="16" t="s">
        <v>171</v>
      </c>
      <c r="C123" s="16"/>
      <c r="L123"/>
    </row>
    <row r="124" spans="1:13" x14ac:dyDescent="0.2">
      <c r="B124" s="53"/>
      <c r="L124"/>
    </row>
    <row r="125" spans="1:13" x14ac:dyDescent="0.2">
      <c r="L125"/>
    </row>
    <row r="126" spans="1:13" x14ac:dyDescent="0.2">
      <c r="L126"/>
    </row>
    <row r="127" spans="1:13" x14ac:dyDescent="0.2">
      <c r="L127"/>
    </row>
    <row r="128" spans="1:13" x14ac:dyDescent="0.2">
      <c r="L128"/>
    </row>
    <row r="129" spans="5:12" x14ac:dyDescent="0.2">
      <c r="L129"/>
    </row>
    <row r="130" spans="5:12" x14ac:dyDescent="0.2">
      <c r="L130"/>
    </row>
    <row r="131" spans="5:12" x14ac:dyDescent="0.2">
      <c r="L131"/>
    </row>
    <row r="132" spans="5:12" x14ac:dyDescent="0.2">
      <c r="L132"/>
    </row>
    <row r="133" spans="5:12" x14ac:dyDescent="0.2">
      <c r="E133"/>
      <c r="J133"/>
      <c r="L133"/>
    </row>
    <row r="134" spans="5:12" x14ac:dyDescent="0.2">
      <c r="E134"/>
      <c r="J134"/>
      <c r="L134"/>
    </row>
    <row r="135" spans="5:12" x14ac:dyDescent="0.2">
      <c r="E135"/>
      <c r="J135"/>
      <c r="L135"/>
    </row>
    <row r="136" spans="5:12" x14ac:dyDescent="0.2">
      <c r="E136"/>
      <c r="J136"/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  <row r="144" spans="5:12" x14ac:dyDescent="0.2">
      <c r="E144"/>
      <c r="J144"/>
      <c r="L144"/>
    </row>
    <row r="145" spans="5:12" x14ac:dyDescent="0.2">
      <c r="E145"/>
      <c r="J145"/>
      <c r="L145"/>
    </row>
    <row r="146" spans="5:12" x14ac:dyDescent="0.2">
      <c r="E146"/>
      <c r="J146"/>
      <c r="L146"/>
    </row>
    <row r="147" spans="5:12" x14ac:dyDescent="0.2">
      <c r="E147"/>
      <c r="J147"/>
      <c r="L147"/>
    </row>
    <row r="148" spans="5:12" x14ac:dyDescent="0.2">
      <c r="E148"/>
      <c r="J148"/>
      <c r="L148"/>
    </row>
    <row r="149" spans="5:12" x14ac:dyDescent="0.2">
      <c r="E149"/>
      <c r="J149"/>
      <c r="L149"/>
    </row>
    <row r="150" spans="5:12" x14ac:dyDescent="0.2">
      <c r="E150"/>
      <c r="J150"/>
      <c r="L150"/>
    </row>
    <row r="151" spans="5:12" x14ac:dyDescent="0.2">
      <c r="E151"/>
      <c r="J151"/>
      <c r="L151"/>
    </row>
    <row r="152" spans="5:12" x14ac:dyDescent="0.2">
      <c r="E152"/>
      <c r="J152"/>
      <c r="L152"/>
    </row>
    <row r="153" spans="5:12" x14ac:dyDescent="0.2">
      <c r="E153"/>
      <c r="J153"/>
      <c r="L153"/>
    </row>
    <row r="154" spans="5:12" x14ac:dyDescent="0.2">
      <c r="E154"/>
      <c r="J154"/>
      <c r="L154"/>
    </row>
    <row r="155" spans="5:12" x14ac:dyDescent="0.2">
      <c r="E155"/>
      <c r="J155"/>
      <c r="L155"/>
    </row>
    <row r="156" spans="5:12" x14ac:dyDescent="0.2">
      <c r="E156"/>
      <c r="J156"/>
      <c r="L156"/>
    </row>
    <row r="157" spans="5:12" x14ac:dyDescent="0.2">
      <c r="E157"/>
      <c r="J157"/>
      <c r="L157"/>
    </row>
    <row r="158" spans="5:12" x14ac:dyDescent="0.2">
      <c r="E158"/>
      <c r="J158"/>
      <c r="L158"/>
    </row>
    <row r="159" spans="5:12" x14ac:dyDescent="0.2">
      <c r="E159"/>
      <c r="J159"/>
      <c r="L159"/>
    </row>
    <row r="160" spans="5:12" x14ac:dyDescent="0.2">
      <c r="E160"/>
      <c r="J160"/>
      <c r="L160"/>
    </row>
    <row r="161" spans="5:12" x14ac:dyDescent="0.2">
      <c r="E161"/>
      <c r="J161"/>
      <c r="L161"/>
    </row>
    <row r="162" spans="5:12" x14ac:dyDescent="0.2">
      <c r="E162"/>
      <c r="J162"/>
      <c r="L162"/>
    </row>
    <row r="163" spans="5:12" x14ac:dyDescent="0.2">
      <c r="E163"/>
      <c r="J163"/>
      <c r="L163"/>
    </row>
    <row r="164" spans="5:12" x14ac:dyDescent="0.2">
      <c r="E164"/>
      <c r="J164"/>
      <c r="L164"/>
    </row>
    <row r="165" spans="5:12" x14ac:dyDescent="0.2">
      <c r="E165"/>
      <c r="J165"/>
      <c r="L165"/>
    </row>
    <row r="166" spans="5:12" x14ac:dyDescent="0.2">
      <c r="E166"/>
      <c r="J166"/>
      <c r="L166"/>
    </row>
    <row r="167" spans="5:12" x14ac:dyDescent="0.2">
      <c r="E167"/>
      <c r="J167"/>
      <c r="L167"/>
    </row>
    <row r="168" spans="5:12" x14ac:dyDescent="0.2">
      <c r="E168"/>
      <c r="J168"/>
      <c r="L168"/>
    </row>
    <row r="169" spans="5:12" x14ac:dyDescent="0.2">
      <c r="E169"/>
      <c r="J169"/>
      <c r="L169"/>
    </row>
    <row r="170" spans="5:12" x14ac:dyDescent="0.2">
      <c r="E170"/>
      <c r="J170"/>
      <c r="L170"/>
    </row>
    <row r="171" spans="5:12" x14ac:dyDescent="0.2">
      <c r="E171"/>
      <c r="J171"/>
      <c r="L171"/>
    </row>
  </sheetData>
  <sortState ref="K9:L38">
    <sortCondition descending="1" ref="L9:L38"/>
  </sortState>
  <mergeCells count="1">
    <mergeCell ref="B1:I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6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2.42578125" customWidth="1"/>
    <col min="3" max="3" width="13.5703125" bestFit="1" customWidth="1"/>
    <col min="4" max="4" width="3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32.5703125" bestFit="1" customWidth="1"/>
    <col min="11" max="11" width="8" style="36" customWidth="1"/>
  </cols>
  <sheetData>
    <row r="1" spans="1:16" ht="18.75" x14ac:dyDescent="0.2">
      <c r="A1" s="93" t="s">
        <v>323</v>
      </c>
      <c r="B1" s="129" t="s">
        <v>574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356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+MAX($A$8:A8)+1</f>
        <v>1</v>
      </c>
      <c r="B9" t="s">
        <v>38</v>
      </c>
      <c r="C9" t="s">
        <v>40</v>
      </c>
      <c r="D9" s="65" t="s">
        <v>9</v>
      </c>
      <c r="E9" s="28">
        <v>14566</v>
      </c>
      <c r="F9" s="13">
        <v>22.336961000000002</v>
      </c>
      <c r="G9" s="14">
        <f t="shared" ref="G9:G40" si="0">+ROUND(F9/VLOOKUP("Grand Total",$B$4:$F$332,5,0),4)</f>
        <v>1.23E-2</v>
      </c>
      <c r="H9" s="15"/>
      <c r="J9" s="14" t="s">
        <v>22</v>
      </c>
      <c r="K9" s="48">
        <f t="shared" ref="K9:K35" si="1">SUMIFS($G$5:$G$369,$D$5:$D$369,J9)</f>
        <v>0.14369999999999999</v>
      </c>
    </row>
    <row r="10" spans="1:16" ht="12.75" customHeight="1" x14ac:dyDescent="0.2">
      <c r="A10">
        <f>+MAX($A$8:A9)+1</f>
        <v>2</v>
      </c>
      <c r="B10" t="s">
        <v>235</v>
      </c>
      <c r="C10" t="s">
        <v>118</v>
      </c>
      <c r="D10" t="s">
        <v>17</v>
      </c>
      <c r="E10" s="28">
        <v>1367</v>
      </c>
      <c r="F10" s="13">
        <v>20.911682500000001</v>
      </c>
      <c r="G10" s="14">
        <f t="shared" si="0"/>
        <v>1.15E-2</v>
      </c>
      <c r="H10" s="15"/>
      <c r="J10" s="14" t="s">
        <v>24</v>
      </c>
      <c r="K10" s="48">
        <f t="shared" si="1"/>
        <v>0.1143</v>
      </c>
    </row>
    <row r="11" spans="1:16" ht="12.75" customHeight="1" x14ac:dyDescent="0.2">
      <c r="A11">
        <f>+MAX($A$8:A10)+1</f>
        <v>3</v>
      </c>
      <c r="B11" t="s">
        <v>178</v>
      </c>
      <c r="C11" t="s">
        <v>29</v>
      </c>
      <c r="D11" t="s">
        <v>28</v>
      </c>
      <c r="E11" s="28">
        <v>1748</v>
      </c>
      <c r="F11" s="13">
        <v>20.731280000000002</v>
      </c>
      <c r="G11" s="14">
        <f t="shared" si="0"/>
        <v>1.14E-2</v>
      </c>
      <c r="H11" s="15"/>
      <c r="J11" s="14" t="s">
        <v>9</v>
      </c>
      <c r="K11" s="48">
        <f t="shared" si="1"/>
        <v>9.3400000000000011E-2</v>
      </c>
      <c r="M11" s="36"/>
      <c r="N11" s="14"/>
      <c r="P11" s="14"/>
    </row>
    <row r="12" spans="1:16" ht="12.75" customHeight="1" x14ac:dyDescent="0.2">
      <c r="A12">
        <f>+MAX($A$8:A11)+1</f>
        <v>4</v>
      </c>
      <c r="B12" t="s">
        <v>586</v>
      </c>
      <c r="C12" t="s">
        <v>587</v>
      </c>
      <c r="D12" t="s">
        <v>137</v>
      </c>
      <c r="E12" s="28">
        <v>3261</v>
      </c>
      <c r="F12" s="13">
        <v>20.687784000000001</v>
      </c>
      <c r="G12" s="14">
        <f t="shared" si="0"/>
        <v>1.14E-2</v>
      </c>
      <c r="H12" s="15"/>
      <c r="J12" s="14" t="s">
        <v>19</v>
      </c>
      <c r="K12" s="48">
        <f t="shared" si="1"/>
        <v>6.4100000000000004E-2</v>
      </c>
      <c r="M12" s="36"/>
      <c r="N12" s="14"/>
      <c r="P12" s="14"/>
    </row>
    <row r="13" spans="1:16" ht="12.75" customHeight="1" x14ac:dyDescent="0.2">
      <c r="A13">
        <f>+MAX($A$8:A12)+1</f>
        <v>5</v>
      </c>
      <c r="B13" t="s">
        <v>247</v>
      </c>
      <c r="C13" t="s">
        <v>316</v>
      </c>
      <c r="D13" t="s">
        <v>22</v>
      </c>
      <c r="E13" s="28">
        <v>758</v>
      </c>
      <c r="F13" s="13">
        <v>20.450081999999998</v>
      </c>
      <c r="G13" s="14">
        <f t="shared" si="0"/>
        <v>1.1299999999999999E-2</v>
      </c>
      <c r="H13" s="15"/>
      <c r="J13" s="14" t="s">
        <v>13</v>
      </c>
      <c r="K13" s="48">
        <f t="shared" si="1"/>
        <v>6.0799999999999993E-2</v>
      </c>
      <c r="M13" s="36"/>
      <c r="N13" s="14"/>
      <c r="P13" s="14"/>
    </row>
    <row r="14" spans="1:16" ht="12.75" customHeight="1" x14ac:dyDescent="0.2">
      <c r="A14">
        <f>+MAX($A$8:A13)+1</f>
        <v>6</v>
      </c>
      <c r="B14" t="s">
        <v>188</v>
      </c>
      <c r="C14" t="s">
        <v>51</v>
      </c>
      <c r="D14" t="s">
        <v>17</v>
      </c>
      <c r="E14" s="28">
        <v>486</v>
      </c>
      <c r="F14" s="13">
        <v>20.381868000000001</v>
      </c>
      <c r="G14" s="14">
        <f t="shared" si="0"/>
        <v>1.12E-2</v>
      </c>
      <c r="H14" s="15"/>
      <c r="J14" s="14" t="s">
        <v>21</v>
      </c>
      <c r="K14" s="48">
        <f t="shared" si="1"/>
        <v>5.5999999999999994E-2</v>
      </c>
      <c r="M14" s="36"/>
      <c r="N14" s="14"/>
      <c r="P14" s="14"/>
    </row>
    <row r="15" spans="1:16" ht="12.75" customHeight="1" x14ac:dyDescent="0.2">
      <c r="A15">
        <f>+MAX($A$8:A14)+1</f>
        <v>7</v>
      </c>
      <c r="B15" t="s">
        <v>222</v>
      </c>
      <c r="C15" t="s">
        <v>106</v>
      </c>
      <c r="D15" t="s">
        <v>24</v>
      </c>
      <c r="E15" s="28">
        <v>1396</v>
      </c>
      <c r="F15" s="13">
        <v>20.261544000000001</v>
      </c>
      <c r="G15" s="14">
        <f t="shared" si="0"/>
        <v>1.11E-2</v>
      </c>
      <c r="H15" s="15"/>
      <c r="J15" s="14" t="s">
        <v>17</v>
      </c>
      <c r="K15" s="48">
        <f t="shared" si="1"/>
        <v>5.4299999999999994E-2</v>
      </c>
      <c r="M15" s="36"/>
      <c r="N15" s="14"/>
      <c r="P15" s="14"/>
    </row>
    <row r="16" spans="1:16" ht="12.75" customHeight="1" x14ac:dyDescent="0.2">
      <c r="A16">
        <f>+MAX($A$8:A15)+1</f>
        <v>8</v>
      </c>
      <c r="B16" t="s">
        <v>428</v>
      </c>
      <c r="C16" t="s">
        <v>429</v>
      </c>
      <c r="D16" t="s">
        <v>22</v>
      </c>
      <c r="E16" s="28">
        <v>287</v>
      </c>
      <c r="F16" s="13">
        <v>20.024851000000002</v>
      </c>
      <c r="G16" s="14">
        <f t="shared" si="0"/>
        <v>1.0999999999999999E-2</v>
      </c>
      <c r="H16" s="15"/>
      <c r="J16" s="14" t="s">
        <v>101</v>
      </c>
      <c r="K16" s="48">
        <f t="shared" si="1"/>
        <v>3.9399999999999998E-2</v>
      </c>
      <c r="M16" s="36"/>
      <c r="N16" s="14"/>
      <c r="P16" s="14"/>
    </row>
    <row r="17" spans="1:16" ht="12.75" customHeight="1" x14ac:dyDescent="0.2">
      <c r="A17">
        <f>+MAX($A$8:A16)+1</f>
        <v>9</v>
      </c>
      <c r="B17" t="s">
        <v>592</v>
      </c>
      <c r="C17" t="s">
        <v>593</v>
      </c>
      <c r="D17" t="s">
        <v>24</v>
      </c>
      <c r="E17" s="28">
        <v>1518</v>
      </c>
      <c r="F17" s="13">
        <v>19.990541999999998</v>
      </c>
      <c r="G17" s="14">
        <f t="shared" si="0"/>
        <v>1.0999999999999999E-2</v>
      </c>
      <c r="H17" s="15"/>
      <c r="J17" s="14" t="s">
        <v>28</v>
      </c>
      <c r="K17" s="48">
        <f t="shared" si="1"/>
        <v>3.85E-2</v>
      </c>
      <c r="M17" s="36"/>
      <c r="N17" s="14"/>
      <c r="P17" s="14"/>
    </row>
    <row r="18" spans="1:16" ht="12.75" customHeight="1" x14ac:dyDescent="0.2">
      <c r="A18">
        <f>+MAX($A$8:A17)+1</f>
        <v>10</v>
      </c>
      <c r="B18" t="s">
        <v>234</v>
      </c>
      <c r="C18" t="s">
        <v>116</v>
      </c>
      <c r="D18" t="s">
        <v>17</v>
      </c>
      <c r="E18" s="28">
        <v>8635</v>
      </c>
      <c r="F18" s="13">
        <v>19.920945</v>
      </c>
      <c r="G18" s="14">
        <f t="shared" si="0"/>
        <v>1.0999999999999999E-2</v>
      </c>
      <c r="H18" s="15"/>
      <c r="J18" s="14" t="s">
        <v>36</v>
      </c>
      <c r="K18" s="48">
        <f t="shared" si="1"/>
        <v>3.0600000000000002E-2</v>
      </c>
      <c r="M18" s="36"/>
      <c r="N18" s="14"/>
      <c r="P18" s="14"/>
    </row>
    <row r="19" spans="1:16" ht="12.75" customHeight="1" x14ac:dyDescent="0.2">
      <c r="A19">
        <f>+MAX($A$8:A18)+1</f>
        <v>11</v>
      </c>
      <c r="B19" t="s">
        <v>185</v>
      </c>
      <c r="C19" t="s">
        <v>44</v>
      </c>
      <c r="D19" t="s">
        <v>24</v>
      </c>
      <c r="E19" s="28">
        <v>6675</v>
      </c>
      <c r="F19" s="13">
        <v>19.871475</v>
      </c>
      <c r="G19" s="14">
        <f t="shared" si="0"/>
        <v>1.09E-2</v>
      </c>
      <c r="H19" s="15"/>
      <c r="J19" s="14" t="s">
        <v>35</v>
      </c>
      <c r="K19" s="48">
        <f t="shared" si="1"/>
        <v>2.87E-2</v>
      </c>
      <c r="M19" s="36"/>
      <c r="N19" s="14"/>
      <c r="P19" s="14"/>
    </row>
    <row r="20" spans="1:16" ht="12.75" customHeight="1" x14ac:dyDescent="0.2">
      <c r="A20">
        <f>+MAX($A$8:A19)+1</f>
        <v>12</v>
      </c>
      <c r="B20" t="s">
        <v>583</v>
      </c>
      <c r="C20" t="s">
        <v>584</v>
      </c>
      <c r="D20" t="s">
        <v>585</v>
      </c>
      <c r="E20" s="28">
        <v>1184</v>
      </c>
      <c r="F20" s="13">
        <v>19.594016</v>
      </c>
      <c r="G20" s="14">
        <f t="shared" si="0"/>
        <v>1.0800000000000001E-2</v>
      </c>
      <c r="H20" s="15"/>
      <c r="J20" s="14" t="s">
        <v>43</v>
      </c>
      <c r="K20" s="48">
        <f t="shared" si="1"/>
        <v>2.8299999999999999E-2</v>
      </c>
      <c r="M20" s="36"/>
      <c r="N20" s="14"/>
      <c r="P20" s="14"/>
    </row>
    <row r="21" spans="1:16" ht="12.75" customHeight="1" x14ac:dyDescent="0.2">
      <c r="A21">
        <f>+MAX($A$8:A20)+1</f>
        <v>13</v>
      </c>
      <c r="B21" t="s">
        <v>610</v>
      </c>
      <c r="C21" t="s">
        <v>611</v>
      </c>
      <c r="D21" t="s">
        <v>24</v>
      </c>
      <c r="E21" s="28">
        <v>3307</v>
      </c>
      <c r="F21" s="13">
        <v>19.550984</v>
      </c>
      <c r="G21" s="14">
        <f t="shared" si="0"/>
        <v>1.0800000000000001E-2</v>
      </c>
      <c r="H21" s="15"/>
      <c r="J21" s="14" t="s">
        <v>102</v>
      </c>
      <c r="K21" s="48">
        <f t="shared" si="1"/>
        <v>2.8299999999999999E-2</v>
      </c>
      <c r="M21" s="36"/>
      <c r="N21" s="14"/>
      <c r="P21" s="14"/>
    </row>
    <row r="22" spans="1:16" ht="12.75" customHeight="1" x14ac:dyDescent="0.2">
      <c r="A22">
        <f>+MAX($A$8:A21)+1</f>
        <v>14</v>
      </c>
      <c r="B22" t="s">
        <v>232</v>
      </c>
      <c r="C22" t="s">
        <v>115</v>
      </c>
      <c r="D22" t="s">
        <v>45</v>
      </c>
      <c r="E22" s="28">
        <v>5205</v>
      </c>
      <c r="F22" s="13">
        <v>19.526557499999999</v>
      </c>
      <c r="G22" s="14">
        <f t="shared" si="0"/>
        <v>1.0699999999999999E-2</v>
      </c>
      <c r="H22" s="15"/>
      <c r="J22" s="14" t="s">
        <v>34</v>
      </c>
      <c r="K22" s="48">
        <f t="shared" si="1"/>
        <v>2.7900000000000001E-2</v>
      </c>
      <c r="M22" s="36"/>
      <c r="N22" s="14"/>
      <c r="P22" s="14"/>
    </row>
    <row r="23" spans="1:16" ht="12.75" customHeight="1" x14ac:dyDescent="0.2">
      <c r="A23">
        <f>+MAX($A$8:A22)+1</f>
        <v>15</v>
      </c>
      <c r="B23" t="s">
        <v>228</v>
      </c>
      <c r="C23" t="s">
        <v>444</v>
      </c>
      <c r="D23" t="s">
        <v>9</v>
      </c>
      <c r="E23" s="28">
        <v>5281</v>
      </c>
      <c r="F23" s="13">
        <v>19.4314395</v>
      </c>
      <c r="G23" s="14">
        <f t="shared" si="0"/>
        <v>1.0699999999999999E-2</v>
      </c>
      <c r="H23" s="15"/>
      <c r="J23" s="14" t="s">
        <v>45</v>
      </c>
      <c r="K23" s="48">
        <f t="shared" si="1"/>
        <v>2.1299999999999999E-2</v>
      </c>
      <c r="M23" s="36"/>
      <c r="N23" s="14"/>
      <c r="P23" s="14"/>
    </row>
    <row r="24" spans="1:16" ht="12.75" customHeight="1" x14ac:dyDescent="0.2">
      <c r="A24">
        <f>+MAX($A$8:A23)+1</f>
        <v>16</v>
      </c>
      <c r="B24" t="s">
        <v>187</v>
      </c>
      <c r="C24" t="s">
        <v>46</v>
      </c>
      <c r="D24" t="s">
        <v>24</v>
      </c>
      <c r="E24" s="28">
        <v>297</v>
      </c>
      <c r="F24" s="13">
        <v>19.430333999999998</v>
      </c>
      <c r="G24" s="14">
        <f t="shared" si="0"/>
        <v>1.0699999999999999E-2</v>
      </c>
      <c r="H24" s="15"/>
      <c r="J24" s="14" t="s">
        <v>137</v>
      </c>
      <c r="K24" s="48">
        <f t="shared" si="1"/>
        <v>2.1299999999999999E-2</v>
      </c>
      <c r="M24" s="36"/>
      <c r="N24" s="14"/>
      <c r="P24" s="14"/>
    </row>
    <row r="25" spans="1:16" ht="12.75" customHeight="1" x14ac:dyDescent="0.2">
      <c r="A25">
        <f>+MAX($A$8:A24)+1</f>
        <v>17</v>
      </c>
      <c r="B25" t="s">
        <v>500</v>
      </c>
      <c r="C25" t="s">
        <v>121</v>
      </c>
      <c r="D25" t="s">
        <v>17</v>
      </c>
      <c r="E25" s="28">
        <v>114</v>
      </c>
      <c r="F25" s="13">
        <v>19.400634</v>
      </c>
      <c r="G25" s="14">
        <f t="shared" si="0"/>
        <v>1.0699999999999999E-2</v>
      </c>
      <c r="H25" s="15"/>
      <c r="J25" s="14" t="s">
        <v>95</v>
      </c>
      <c r="K25" s="48">
        <f t="shared" si="1"/>
        <v>1.9799999999999998E-2</v>
      </c>
      <c r="M25" s="36"/>
      <c r="N25" s="14"/>
      <c r="P25" s="14"/>
    </row>
    <row r="26" spans="1:16" ht="12.75" customHeight="1" x14ac:dyDescent="0.2">
      <c r="A26">
        <f>+MAX($A$8:A25)+1</f>
        <v>18</v>
      </c>
      <c r="B26" t="s">
        <v>345</v>
      </c>
      <c r="C26" t="s">
        <v>344</v>
      </c>
      <c r="D26" t="s">
        <v>24</v>
      </c>
      <c r="E26" s="28">
        <v>4595</v>
      </c>
      <c r="F26" s="13">
        <v>19.370222500000001</v>
      </c>
      <c r="G26" s="14">
        <f t="shared" si="0"/>
        <v>1.0699999999999999E-2</v>
      </c>
      <c r="H26" s="15"/>
      <c r="J26" s="14" t="s">
        <v>32</v>
      </c>
      <c r="K26" s="48">
        <f t="shared" si="1"/>
        <v>1.9000000000000003E-2</v>
      </c>
      <c r="M26" s="36"/>
      <c r="N26" s="14"/>
      <c r="P26" s="14"/>
    </row>
    <row r="27" spans="1:16" ht="12.75" customHeight="1" x14ac:dyDescent="0.2">
      <c r="A27">
        <f>+MAX($A$8:A26)+1</f>
        <v>19</v>
      </c>
      <c r="B27" t="s">
        <v>177</v>
      </c>
      <c r="C27" t="s">
        <v>14</v>
      </c>
      <c r="D27" t="s">
        <v>13</v>
      </c>
      <c r="E27" s="28">
        <v>1418</v>
      </c>
      <c r="F27" s="13">
        <v>19.357118</v>
      </c>
      <c r="G27" s="14">
        <f t="shared" si="0"/>
        <v>1.0699999999999999E-2</v>
      </c>
      <c r="H27" s="15"/>
      <c r="J27" t="s">
        <v>49</v>
      </c>
      <c r="K27" s="48">
        <f t="shared" si="1"/>
        <v>1.8599999999999998E-2</v>
      </c>
      <c r="M27" s="36"/>
      <c r="N27" s="14"/>
      <c r="P27" s="14"/>
    </row>
    <row r="28" spans="1:16" ht="12.75" customHeight="1" x14ac:dyDescent="0.2">
      <c r="A28">
        <f>+MAX($A$8:A27)+1</f>
        <v>20</v>
      </c>
      <c r="B28" t="s">
        <v>231</v>
      </c>
      <c r="C28" t="s">
        <v>112</v>
      </c>
      <c r="D28" t="s">
        <v>35</v>
      </c>
      <c r="E28" s="28">
        <v>4838</v>
      </c>
      <c r="F28" s="13">
        <v>19.339905000000002</v>
      </c>
      <c r="G28" s="14">
        <f t="shared" si="0"/>
        <v>1.06E-2</v>
      </c>
      <c r="H28" s="15"/>
      <c r="J28" s="14" t="s">
        <v>98</v>
      </c>
      <c r="K28" s="48">
        <f t="shared" si="1"/>
        <v>1.7899999999999999E-2</v>
      </c>
      <c r="M28" s="36"/>
      <c r="N28" s="14"/>
      <c r="P28" s="14"/>
    </row>
    <row r="29" spans="1:16" ht="12.75" customHeight="1" x14ac:dyDescent="0.2">
      <c r="A29">
        <f>+MAX($A$8:A28)+1</f>
        <v>21</v>
      </c>
      <c r="B29" t="s">
        <v>257</v>
      </c>
      <c r="C29" t="s">
        <v>162</v>
      </c>
      <c r="D29" t="s">
        <v>45</v>
      </c>
      <c r="E29" s="28">
        <v>8431</v>
      </c>
      <c r="F29" s="13">
        <v>19.319636499999998</v>
      </c>
      <c r="G29" s="14">
        <f t="shared" si="0"/>
        <v>1.06E-2</v>
      </c>
      <c r="H29" s="15"/>
      <c r="J29" s="14" t="s">
        <v>585</v>
      </c>
      <c r="K29" s="48">
        <f t="shared" si="1"/>
        <v>1.0800000000000001E-2</v>
      </c>
      <c r="N29" s="14"/>
      <c r="P29" s="14"/>
    </row>
    <row r="30" spans="1:16" ht="12.75" customHeight="1" x14ac:dyDescent="0.2">
      <c r="A30">
        <f>+MAX($A$8:A29)+1</f>
        <v>22</v>
      </c>
      <c r="B30" t="s">
        <v>606</v>
      </c>
      <c r="C30" t="s">
        <v>607</v>
      </c>
      <c r="D30" t="s">
        <v>24</v>
      </c>
      <c r="E30" s="28">
        <v>5306</v>
      </c>
      <c r="F30" s="13">
        <v>19.319146</v>
      </c>
      <c r="G30" s="14">
        <f t="shared" si="0"/>
        <v>1.06E-2</v>
      </c>
      <c r="H30" s="15"/>
      <c r="J30" s="14" t="s">
        <v>127</v>
      </c>
      <c r="K30" s="48">
        <f t="shared" si="1"/>
        <v>1.04E-2</v>
      </c>
      <c r="N30" s="14"/>
      <c r="P30" s="14"/>
    </row>
    <row r="31" spans="1:16" ht="12.75" customHeight="1" x14ac:dyDescent="0.2">
      <c r="A31">
        <f>+MAX($A$8:A30)+1</f>
        <v>23</v>
      </c>
      <c r="B31" t="s">
        <v>588</v>
      </c>
      <c r="C31" t="s">
        <v>589</v>
      </c>
      <c r="D31" t="s">
        <v>22</v>
      </c>
      <c r="E31" s="28">
        <v>10945</v>
      </c>
      <c r="F31" s="13">
        <v>19.263200000000001</v>
      </c>
      <c r="G31" s="14">
        <f t="shared" si="0"/>
        <v>1.06E-2</v>
      </c>
      <c r="H31" s="15"/>
      <c r="J31" t="s">
        <v>303</v>
      </c>
      <c r="K31" s="48">
        <f t="shared" si="1"/>
        <v>9.7999999999999997E-3</v>
      </c>
      <c r="L31" s="54"/>
      <c r="M31" s="36"/>
      <c r="N31" s="14"/>
      <c r="P31" s="14"/>
    </row>
    <row r="32" spans="1:16" ht="12.75" customHeight="1" x14ac:dyDescent="0.2">
      <c r="A32">
        <f>+MAX($A$8:A31)+1</f>
        <v>24</v>
      </c>
      <c r="B32" t="s">
        <v>216</v>
      </c>
      <c r="C32" t="s">
        <v>97</v>
      </c>
      <c r="D32" t="s">
        <v>24</v>
      </c>
      <c r="E32" s="28">
        <v>1101</v>
      </c>
      <c r="F32" s="13">
        <v>19.065466499999999</v>
      </c>
      <c r="G32" s="14">
        <f t="shared" si="0"/>
        <v>1.0500000000000001E-2</v>
      </c>
      <c r="H32" s="15"/>
      <c r="J32" s="14" t="s">
        <v>39</v>
      </c>
      <c r="K32" s="48">
        <f t="shared" si="1"/>
        <v>9.7999999999999997E-3</v>
      </c>
      <c r="L32" s="54">
        <f>+SUM($K$9:K32)</f>
        <v>0.96699999999999997</v>
      </c>
    </row>
    <row r="33" spans="1:13" ht="12.75" customHeight="1" x14ac:dyDescent="0.2">
      <c r="A33">
        <f>+MAX($A$8:A32)+1</f>
        <v>25</v>
      </c>
      <c r="B33" t="s">
        <v>15</v>
      </c>
      <c r="C33" t="s">
        <v>16</v>
      </c>
      <c r="D33" t="s">
        <v>9</v>
      </c>
      <c r="E33" s="28">
        <v>6481</v>
      </c>
      <c r="F33" s="13">
        <v>19.021735</v>
      </c>
      <c r="G33" s="14">
        <f t="shared" si="0"/>
        <v>1.0500000000000001E-2</v>
      </c>
      <c r="H33" s="15"/>
      <c r="J33" t="s">
        <v>126</v>
      </c>
      <c r="K33" s="48">
        <f t="shared" si="1"/>
        <v>9.7999999999999997E-3</v>
      </c>
    </row>
    <row r="34" spans="1:13" ht="12.75" customHeight="1" x14ac:dyDescent="0.2">
      <c r="A34">
        <f>+MAX($A$8:A33)+1</f>
        <v>26</v>
      </c>
      <c r="B34" t="s">
        <v>539</v>
      </c>
      <c r="C34" t="s">
        <v>540</v>
      </c>
      <c r="D34" t="s">
        <v>22</v>
      </c>
      <c r="E34" s="28">
        <v>4542</v>
      </c>
      <c r="F34" s="13">
        <v>19.010541</v>
      </c>
      <c r="G34" s="14">
        <f t="shared" si="0"/>
        <v>1.0500000000000001E-2</v>
      </c>
      <c r="H34" s="15"/>
      <c r="J34" t="s">
        <v>26</v>
      </c>
      <c r="K34" s="48">
        <f t="shared" si="1"/>
        <v>9.7000000000000003E-3</v>
      </c>
      <c r="M34" s="14"/>
    </row>
    <row r="35" spans="1:13" ht="12.75" customHeight="1" x14ac:dyDescent="0.2">
      <c r="A35">
        <f>+MAX($A$8:A34)+1</f>
        <v>27</v>
      </c>
      <c r="B35" t="s">
        <v>438</v>
      </c>
      <c r="C35" t="s">
        <v>665</v>
      </c>
      <c r="D35" t="s">
        <v>35</v>
      </c>
      <c r="E35" s="28">
        <v>2838</v>
      </c>
      <c r="F35" s="13">
        <v>18.994733999999998</v>
      </c>
      <c r="G35" s="14">
        <f t="shared" si="0"/>
        <v>1.0500000000000001E-2</v>
      </c>
      <c r="H35" s="15"/>
      <c r="J35" t="s">
        <v>30</v>
      </c>
      <c r="K35" s="48">
        <f t="shared" si="1"/>
        <v>9.4999999999999998E-3</v>
      </c>
    </row>
    <row r="36" spans="1:13" ht="12.75" customHeight="1" x14ac:dyDescent="0.2">
      <c r="A36">
        <f>+MAX($A$8:A35)+1</f>
        <v>28</v>
      </c>
      <c r="B36" t="s">
        <v>200</v>
      </c>
      <c r="C36" t="s">
        <v>18</v>
      </c>
      <c r="D36" t="s">
        <v>13</v>
      </c>
      <c r="E36" s="28">
        <v>978</v>
      </c>
      <c r="F36" s="13">
        <v>18.975156000000002</v>
      </c>
      <c r="G36" s="14">
        <f t="shared" si="0"/>
        <v>1.04E-2</v>
      </c>
      <c r="H36" s="15"/>
      <c r="J36" s="14" t="s">
        <v>62</v>
      </c>
      <c r="K36" s="48">
        <f>+SUMIFS($G$5:$G$998,$B$5:$B$998,"CBLO / Reverse Repo")+SUMIFS($G$5:$G$998,$B$5:$B$998,"Net Receivable/Payable")</f>
        <v>4.0000000000000001E-3</v>
      </c>
    </row>
    <row r="37" spans="1:13" ht="12.75" customHeight="1" x14ac:dyDescent="0.2">
      <c r="A37">
        <f>+MAX($A$8:A36)+1</f>
        <v>29</v>
      </c>
      <c r="B37" t="s">
        <v>193</v>
      </c>
      <c r="C37" t="s">
        <v>47</v>
      </c>
      <c r="D37" t="s">
        <v>19</v>
      </c>
      <c r="E37" s="28">
        <v>199</v>
      </c>
      <c r="F37" s="13">
        <v>18.945894499999998</v>
      </c>
      <c r="G37" s="14">
        <f t="shared" si="0"/>
        <v>1.04E-2</v>
      </c>
      <c r="H37" s="15"/>
    </row>
    <row r="38" spans="1:13" ht="12.75" customHeight="1" x14ac:dyDescent="0.2">
      <c r="A38">
        <f>+MAX($A$8:A37)+1</f>
        <v>30</v>
      </c>
      <c r="B38" t="s">
        <v>223</v>
      </c>
      <c r="C38" t="s">
        <v>107</v>
      </c>
      <c r="D38" t="s">
        <v>13</v>
      </c>
      <c r="E38" s="28">
        <v>6853</v>
      </c>
      <c r="F38" s="13">
        <v>18.941692</v>
      </c>
      <c r="G38" s="14">
        <f t="shared" si="0"/>
        <v>1.04E-2</v>
      </c>
      <c r="H38" s="15"/>
    </row>
    <row r="39" spans="1:13" ht="12.75" customHeight="1" x14ac:dyDescent="0.2">
      <c r="A39">
        <f>+MAX($A$8:A38)+1</f>
        <v>31</v>
      </c>
      <c r="B39" t="s">
        <v>608</v>
      </c>
      <c r="C39" t="s">
        <v>609</v>
      </c>
      <c r="D39" t="s">
        <v>22</v>
      </c>
      <c r="E39" s="28">
        <v>12923</v>
      </c>
      <c r="F39" s="13">
        <v>18.932195</v>
      </c>
      <c r="G39" s="14">
        <f t="shared" si="0"/>
        <v>1.04E-2</v>
      </c>
      <c r="H39" s="15"/>
    </row>
    <row r="40" spans="1:13" ht="12.75" customHeight="1" x14ac:dyDescent="0.2">
      <c r="A40">
        <f>+MAX($A$8:A39)+1</f>
        <v>32</v>
      </c>
      <c r="B40" t="s">
        <v>581</v>
      </c>
      <c r="C40" t="s">
        <v>582</v>
      </c>
      <c r="D40" t="s">
        <v>127</v>
      </c>
      <c r="E40" s="28">
        <v>1684</v>
      </c>
      <c r="F40" s="13">
        <v>18.918898000000002</v>
      </c>
      <c r="G40" s="14">
        <f t="shared" si="0"/>
        <v>1.04E-2</v>
      </c>
      <c r="H40" s="15"/>
    </row>
    <row r="41" spans="1:13" ht="12.75" customHeight="1" x14ac:dyDescent="0.2">
      <c r="A41">
        <f>+MAX($A$8:A40)+1</f>
        <v>33</v>
      </c>
      <c r="B41" t="s">
        <v>181</v>
      </c>
      <c r="C41" t="s">
        <v>23</v>
      </c>
      <c r="D41" t="s">
        <v>13</v>
      </c>
      <c r="E41" s="28">
        <v>1956</v>
      </c>
      <c r="F41" s="13">
        <v>18.877356000000002</v>
      </c>
      <c r="G41" s="14">
        <f t="shared" ref="G41:G72" si="2">+ROUND(F41/VLOOKUP("Grand Total",$B$4:$F$332,5,0),4)</f>
        <v>1.04E-2</v>
      </c>
      <c r="H41" s="15"/>
    </row>
    <row r="42" spans="1:13" ht="12.75" customHeight="1" x14ac:dyDescent="0.2">
      <c r="A42">
        <f>+MAX($A$8:A41)+1</f>
        <v>34</v>
      </c>
      <c r="B42" t="s">
        <v>624</v>
      </c>
      <c r="C42" t="s">
        <v>625</v>
      </c>
      <c r="D42" t="s">
        <v>22</v>
      </c>
      <c r="E42" s="28">
        <v>3558</v>
      </c>
      <c r="F42" s="13">
        <v>18.823598999999998</v>
      </c>
      <c r="G42" s="14">
        <f t="shared" si="2"/>
        <v>1.04E-2</v>
      </c>
      <c r="H42" s="15"/>
    </row>
    <row r="43" spans="1:13" ht="12.75" customHeight="1" x14ac:dyDescent="0.2">
      <c r="A43">
        <f>+MAX($A$8:A42)+1</f>
        <v>35</v>
      </c>
      <c r="B43" t="s">
        <v>622</v>
      </c>
      <c r="C43" t="s">
        <v>623</v>
      </c>
      <c r="D43" t="s">
        <v>22</v>
      </c>
      <c r="E43" s="28">
        <v>21556</v>
      </c>
      <c r="F43" s="13">
        <v>18.818387999999999</v>
      </c>
      <c r="G43" s="14">
        <f t="shared" si="2"/>
        <v>1.04E-2</v>
      </c>
      <c r="H43" s="15"/>
    </row>
    <row r="44" spans="1:13" ht="12.75" customHeight="1" x14ac:dyDescent="0.2">
      <c r="A44">
        <f>+MAX($A$8:A43)+1</f>
        <v>36</v>
      </c>
      <c r="B44" t="s">
        <v>238</v>
      </c>
      <c r="C44" t="s">
        <v>377</v>
      </c>
      <c r="D44" t="s">
        <v>101</v>
      </c>
      <c r="E44" s="28">
        <v>16133</v>
      </c>
      <c r="F44" s="13">
        <v>18.7707455</v>
      </c>
      <c r="G44" s="14">
        <f t="shared" si="2"/>
        <v>1.03E-2</v>
      </c>
      <c r="H44" s="15"/>
    </row>
    <row r="45" spans="1:13" ht="12.75" customHeight="1" x14ac:dyDescent="0.2">
      <c r="A45">
        <f>+MAX($A$8:A44)+1</f>
        <v>37</v>
      </c>
      <c r="B45" t="s">
        <v>210</v>
      </c>
      <c r="C45" t="s">
        <v>75</v>
      </c>
      <c r="D45" t="s">
        <v>36</v>
      </c>
      <c r="E45" s="28">
        <v>5826</v>
      </c>
      <c r="F45" s="13">
        <v>18.765546000000001</v>
      </c>
      <c r="G45" s="14">
        <f t="shared" si="2"/>
        <v>1.03E-2</v>
      </c>
      <c r="H45" s="15"/>
    </row>
    <row r="46" spans="1:13" ht="12.75" customHeight="1" x14ac:dyDescent="0.2">
      <c r="A46">
        <f>+MAX($A$8:A45)+1</f>
        <v>38</v>
      </c>
      <c r="B46" t="s">
        <v>520</v>
      </c>
      <c r="C46" t="s">
        <v>621</v>
      </c>
      <c r="D46" t="s">
        <v>22</v>
      </c>
      <c r="E46" s="28">
        <v>15965</v>
      </c>
      <c r="F46" s="13">
        <v>18.671067499999999</v>
      </c>
      <c r="G46" s="14">
        <f t="shared" si="2"/>
        <v>1.03E-2</v>
      </c>
      <c r="H46" s="15"/>
    </row>
    <row r="47" spans="1:13" ht="12.75" customHeight="1" x14ac:dyDescent="0.2">
      <c r="A47">
        <f>+MAX($A$8:A46)+1</f>
        <v>39</v>
      </c>
      <c r="B47" t="s">
        <v>306</v>
      </c>
      <c r="C47" t="s">
        <v>307</v>
      </c>
      <c r="D47" t="s">
        <v>22</v>
      </c>
      <c r="E47" s="28">
        <v>1432</v>
      </c>
      <c r="F47" s="13">
        <v>18.573755999999999</v>
      </c>
      <c r="G47" s="14">
        <f t="shared" si="2"/>
        <v>1.0200000000000001E-2</v>
      </c>
      <c r="H47" s="15"/>
    </row>
    <row r="48" spans="1:13" ht="12.75" customHeight="1" x14ac:dyDescent="0.2">
      <c r="A48">
        <f>+MAX($A$8:A47)+1</f>
        <v>40</v>
      </c>
      <c r="B48" t="s">
        <v>590</v>
      </c>
      <c r="C48" t="s">
        <v>591</v>
      </c>
      <c r="D48" t="s">
        <v>36</v>
      </c>
      <c r="E48" s="28">
        <v>99</v>
      </c>
      <c r="F48" s="13">
        <v>18.533493</v>
      </c>
      <c r="G48" s="14">
        <f t="shared" si="2"/>
        <v>1.0200000000000001E-2</v>
      </c>
      <c r="H48" s="15"/>
    </row>
    <row r="49" spans="1:8" ht="12.75" customHeight="1" x14ac:dyDescent="0.2">
      <c r="A49">
        <f>+MAX($A$8:A48)+1</f>
        <v>41</v>
      </c>
      <c r="B49" t="s">
        <v>201</v>
      </c>
      <c r="C49" t="s">
        <v>27</v>
      </c>
      <c r="D49" t="s">
        <v>9</v>
      </c>
      <c r="E49" s="28">
        <v>3367</v>
      </c>
      <c r="F49" s="13">
        <v>18.531967999999999</v>
      </c>
      <c r="G49" s="14">
        <f t="shared" si="2"/>
        <v>1.0200000000000001E-2</v>
      </c>
      <c r="H49" s="15"/>
    </row>
    <row r="50" spans="1:8" ht="12.75" customHeight="1" x14ac:dyDescent="0.2">
      <c r="A50">
        <f>+MAX($A$8:A49)+1</f>
        <v>42</v>
      </c>
      <c r="B50" t="s">
        <v>182</v>
      </c>
      <c r="C50" t="s">
        <v>25</v>
      </c>
      <c r="D50" t="s">
        <v>22</v>
      </c>
      <c r="E50" s="28">
        <v>928</v>
      </c>
      <c r="F50" s="13">
        <v>18.512208000000001</v>
      </c>
      <c r="G50" s="14">
        <f t="shared" si="2"/>
        <v>1.0200000000000001E-2</v>
      </c>
      <c r="H50" s="15"/>
    </row>
    <row r="51" spans="1:8" ht="12.75" customHeight="1" x14ac:dyDescent="0.2">
      <c r="A51">
        <f>+MAX($A$8:A50)+1</f>
        <v>43</v>
      </c>
      <c r="B51" t="s">
        <v>176</v>
      </c>
      <c r="C51" t="s">
        <v>12</v>
      </c>
      <c r="D51" t="s">
        <v>9</v>
      </c>
      <c r="E51" s="28">
        <v>849</v>
      </c>
      <c r="F51" s="13">
        <v>18.503955000000001</v>
      </c>
      <c r="G51" s="14">
        <f t="shared" si="2"/>
        <v>1.0200000000000001E-2</v>
      </c>
      <c r="H51" s="15"/>
    </row>
    <row r="52" spans="1:8" ht="12.75" customHeight="1" x14ac:dyDescent="0.2">
      <c r="A52">
        <f>+MAX($A$8:A51)+1</f>
        <v>44</v>
      </c>
      <c r="B52" t="s">
        <v>198</v>
      </c>
      <c r="C52" t="s">
        <v>63</v>
      </c>
      <c r="D52" t="s">
        <v>32</v>
      </c>
      <c r="E52" s="28">
        <v>4725</v>
      </c>
      <c r="F52" s="13">
        <v>18.455850000000002</v>
      </c>
      <c r="G52" s="14">
        <f t="shared" si="2"/>
        <v>1.0200000000000001E-2</v>
      </c>
      <c r="H52" s="15"/>
    </row>
    <row r="53" spans="1:8" ht="12.75" customHeight="1" x14ac:dyDescent="0.2">
      <c r="A53">
        <f>+MAX($A$8:A52)+1</f>
        <v>45</v>
      </c>
      <c r="B53" t="s">
        <v>192</v>
      </c>
      <c r="C53" t="s">
        <v>67</v>
      </c>
      <c r="D53" t="s">
        <v>21</v>
      </c>
      <c r="E53" s="28">
        <v>2874</v>
      </c>
      <c r="F53" s="13">
        <v>18.432399</v>
      </c>
      <c r="G53" s="14">
        <f t="shared" si="2"/>
        <v>1.01E-2</v>
      </c>
      <c r="H53" s="15"/>
    </row>
    <row r="54" spans="1:8" ht="12.75" customHeight="1" x14ac:dyDescent="0.2">
      <c r="A54">
        <f>+MAX($A$8:A53)+1</f>
        <v>46</v>
      </c>
      <c r="B54" t="s">
        <v>604</v>
      </c>
      <c r="C54" t="s">
        <v>605</v>
      </c>
      <c r="D54" t="s">
        <v>24</v>
      </c>
      <c r="E54" s="28">
        <v>178</v>
      </c>
      <c r="F54" s="13">
        <v>18.403420000000001</v>
      </c>
      <c r="G54" s="14">
        <f t="shared" si="2"/>
        <v>1.01E-2</v>
      </c>
      <c r="H54" s="15"/>
    </row>
    <row r="55" spans="1:8" ht="12.75" customHeight="1" x14ac:dyDescent="0.2">
      <c r="A55">
        <f>+MAX($A$8:A54)+1</f>
        <v>47</v>
      </c>
      <c r="B55" t="s">
        <v>626</v>
      </c>
      <c r="C55" t="s">
        <v>627</v>
      </c>
      <c r="D55" t="s">
        <v>9</v>
      </c>
      <c r="E55" s="28">
        <v>21609</v>
      </c>
      <c r="F55" s="13">
        <v>18.389258999999999</v>
      </c>
      <c r="G55" s="14">
        <f t="shared" si="2"/>
        <v>1.01E-2</v>
      </c>
      <c r="H55" s="15"/>
    </row>
    <row r="56" spans="1:8" ht="12.75" customHeight="1" x14ac:dyDescent="0.2">
      <c r="A56">
        <f>+MAX($A$8:A55)+1</f>
        <v>48</v>
      </c>
      <c r="B56" t="s">
        <v>220</v>
      </c>
      <c r="C56" t="s">
        <v>103</v>
      </c>
      <c r="D56" t="s">
        <v>95</v>
      </c>
      <c r="E56" s="28">
        <v>11092</v>
      </c>
      <c r="F56" s="13">
        <v>18.379443999999999</v>
      </c>
      <c r="G56" s="14">
        <f t="shared" si="2"/>
        <v>1.01E-2</v>
      </c>
      <c r="H56" s="15"/>
    </row>
    <row r="57" spans="1:8" ht="12.75" customHeight="1" x14ac:dyDescent="0.2">
      <c r="A57">
        <f>+MAX($A$8:A56)+1</f>
        <v>49</v>
      </c>
      <c r="B57" t="s">
        <v>248</v>
      </c>
      <c r="C57" t="s">
        <v>139</v>
      </c>
      <c r="D57" t="s">
        <v>36</v>
      </c>
      <c r="E57" s="28">
        <v>23</v>
      </c>
      <c r="F57" s="13">
        <v>18.282780500000001</v>
      </c>
      <c r="G57" s="14">
        <f t="shared" si="2"/>
        <v>1.01E-2</v>
      </c>
      <c r="H57" s="15"/>
    </row>
    <row r="58" spans="1:8" ht="12.75" customHeight="1" x14ac:dyDescent="0.2">
      <c r="A58">
        <f>+MAX($A$8:A57)+1</f>
        <v>50</v>
      </c>
      <c r="B58" t="s">
        <v>535</v>
      </c>
      <c r="C58" t="s">
        <v>614</v>
      </c>
      <c r="D58" t="s">
        <v>22</v>
      </c>
      <c r="E58" s="28">
        <v>681</v>
      </c>
      <c r="F58" s="13">
        <v>18.249438000000001</v>
      </c>
      <c r="G58" s="14">
        <f t="shared" si="2"/>
        <v>0.01</v>
      </c>
      <c r="H58" s="15"/>
    </row>
    <row r="59" spans="1:8" ht="12.75" customHeight="1" x14ac:dyDescent="0.2">
      <c r="A59">
        <f>+MAX($A$8:A58)+1</f>
        <v>51</v>
      </c>
      <c r="B59" t="s">
        <v>217</v>
      </c>
      <c r="C59" t="s">
        <v>96</v>
      </c>
      <c r="D59" t="s">
        <v>19</v>
      </c>
      <c r="E59" s="28">
        <v>1949</v>
      </c>
      <c r="F59" s="13">
        <v>18.2416655</v>
      </c>
      <c r="G59" s="14">
        <f t="shared" si="2"/>
        <v>0.01</v>
      </c>
      <c r="H59" s="15"/>
    </row>
    <row r="60" spans="1:8" ht="12.75" customHeight="1" x14ac:dyDescent="0.2">
      <c r="A60">
        <f>+MAX($A$8:A59)+1</f>
        <v>52</v>
      </c>
      <c r="B60" t="s">
        <v>218</v>
      </c>
      <c r="C60" t="s">
        <v>99</v>
      </c>
      <c r="D60" t="s">
        <v>9</v>
      </c>
      <c r="E60" s="28">
        <v>906</v>
      </c>
      <c r="F60" s="13">
        <v>18.076059000000001</v>
      </c>
      <c r="G60" s="14">
        <f t="shared" si="2"/>
        <v>9.9000000000000008E-3</v>
      </c>
      <c r="H60" s="15"/>
    </row>
    <row r="61" spans="1:8" ht="12.75" customHeight="1" x14ac:dyDescent="0.2">
      <c r="A61">
        <f>+MAX($A$8:A60)+1</f>
        <v>53</v>
      </c>
      <c r="B61" t="s">
        <v>541</v>
      </c>
      <c r="C61" t="s">
        <v>542</v>
      </c>
      <c r="D61" t="s">
        <v>137</v>
      </c>
      <c r="E61" s="28">
        <v>1969</v>
      </c>
      <c r="F61" s="13">
        <v>17.964171499999999</v>
      </c>
      <c r="G61" s="14">
        <f t="shared" si="2"/>
        <v>9.9000000000000008E-3</v>
      </c>
      <c r="H61" s="15"/>
    </row>
    <row r="62" spans="1:8" ht="12.75" customHeight="1" x14ac:dyDescent="0.2">
      <c r="A62">
        <f>+MAX($A$8:A61)+1</f>
        <v>54</v>
      </c>
      <c r="B62" t="s">
        <v>414</v>
      </c>
      <c r="C62" t="s">
        <v>415</v>
      </c>
      <c r="D62" t="s">
        <v>17</v>
      </c>
      <c r="E62" s="28">
        <v>1752</v>
      </c>
      <c r="F62" s="13">
        <v>17.961503999999998</v>
      </c>
      <c r="G62" s="14">
        <f t="shared" si="2"/>
        <v>9.9000000000000008E-3</v>
      </c>
      <c r="H62" s="15"/>
    </row>
    <row r="63" spans="1:8" ht="12.75" customHeight="1" x14ac:dyDescent="0.2">
      <c r="A63">
        <f>+MAX($A$8:A62)+1</f>
        <v>55</v>
      </c>
      <c r="B63" t="s">
        <v>179</v>
      </c>
      <c r="C63" t="s">
        <v>10</v>
      </c>
      <c r="D63" t="s">
        <v>9</v>
      </c>
      <c r="E63" s="28">
        <v>5886</v>
      </c>
      <c r="F63" s="13">
        <v>17.908155000000001</v>
      </c>
      <c r="G63" s="14">
        <f t="shared" si="2"/>
        <v>9.9000000000000008E-3</v>
      </c>
      <c r="H63" s="15"/>
    </row>
    <row r="64" spans="1:8" ht="12.75" customHeight="1" x14ac:dyDescent="0.2">
      <c r="A64">
        <f>+MAX($A$8:A63)+1</f>
        <v>56</v>
      </c>
      <c r="B64" t="s">
        <v>615</v>
      </c>
      <c r="C64" t="s">
        <v>616</v>
      </c>
      <c r="D64" t="s">
        <v>39</v>
      </c>
      <c r="E64" s="28">
        <v>2645</v>
      </c>
      <c r="F64" s="13">
        <v>17.814074999999999</v>
      </c>
      <c r="G64" s="14">
        <f t="shared" si="2"/>
        <v>9.7999999999999997E-3</v>
      </c>
      <c r="H64" s="15"/>
    </row>
    <row r="65" spans="1:8" ht="12.75" customHeight="1" x14ac:dyDescent="0.2">
      <c r="A65">
        <f>+MAX($A$8:A64)+1</f>
        <v>57</v>
      </c>
      <c r="B65" t="s">
        <v>256</v>
      </c>
      <c r="C65" t="s">
        <v>149</v>
      </c>
      <c r="D65" t="s">
        <v>126</v>
      </c>
      <c r="E65" s="28">
        <v>2764</v>
      </c>
      <c r="F65" s="13">
        <v>17.801542000000001</v>
      </c>
      <c r="G65" s="14">
        <f t="shared" si="2"/>
        <v>9.7999999999999997E-3</v>
      </c>
      <c r="H65" s="15"/>
    </row>
    <row r="66" spans="1:8" ht="12.75" customHeight="1" x14ac:dyDescent="0.2">
      <c r="A66">
        <f>+MAX($A$8:A65)+1</f>
        <v>58</v>
      </c>
      <c r="B66" t="s">
        <v>617</v>
      </c>
      <c r="C66" t="s">
        <v>618</v>
      </c>
      <c r="D66" t="s">
        <v>101</v>
      </c>
      <c r="E66" s="28">
        <v>1460</v>
      </c>
      <c r="F66" s="13">
        <v>17.78791</v>
      </c>
      <c r="G66" s="14">
        <f t="shared" si="2"/>
        <v>9.7999999999999997E-3</v>
      </c>
      <c r="H66" s="15"/>
    </row>
    <row r="67" spans="1:8" ht="12.75" customHeight="1" x14ac:dyDescent="0.2">
      <c r="A67">
        <f>+MAX($A$8:A66)+1</f>
        <v>59</v>
      </c>
      <c r="B67" t="s">
        <v>289</v>
      </c>
      <c r="C67" t="s">
        <v>290</v>
      </c>
      <c r="D67" t="s">
        <v>303</v>
      </c>
      <c r="E67" s="28">
        <v>6188</v>
      </c>
      <c r="F67" s="13">
        <v>17.737901999999998</v>
      </c>
      <c r="G67" s="14">
        <f t="shared" si="2"/>
        <v>9.7999999999999997E-3</v>
      </c>
      <c r="H67" s="15"/>
    </row>
    <row r="68" spans="1:8" ht="12.75" customHeight="1" x14ac:dyDescent="0.2">
      <c r="A68">
        <f>+MAX($A$8:A67)+1</f>
        <v>60</v>
      </c>
      <c r="B68" t="s">
        <v>233</v>
      </c>
      <c r="C68" t="s">
        <v>117</v>
      </c>
      <c r="D68" t="s">
        <v>102</v>
      </c>
      <c r="E68" s="28">
        <v>3150</v>
      </c>
      <c r="F68" s="13">
        <v>17.736075</v>
      </c>
      <c r="G68" s="14">
        <f t="shared" si="2"/>
        <v>9.7999999999999997E-3</v>
      </c>
      <c r="H68" s="15"/>
    </row>
    <row r="69" spans="1:8" ht="12.75" customHeight="1" x14ac:dyDescent="0.2">
      <c r="A69">
        <f>+MAX($A$8:A68)+1</f>
        <v>61</v>
      </c>
      <c r="B69" t="s">
        <v>594</v>
      </c>
      <c r="C69" t="s">
        <v>595</v>
      </c>
      <c r="D69" t="s">
        <v>22</v>
      </c>
      <c r="E69" s="28">
        <v>2583</v>
      </c>
      <c r="F69" s="13">
        <v>17.719380000000001</v>
      </c>
      <c r="G69" s="14">
        <f t="shared" si="2"/>
        <v>9.7999999999999997E-3</v>
      </c>
      <c r="H69" s="15"/>
    </row>
    <row r="70" spans="1:8" ht="12.75" customHeight="1" x14ac:dyDescent="0.2">
      <c r="A70">
        <f>+MAX($A$8:A69)+1</f>
        <v>62</v>
      </c>
      <c r="B70" t="s">
        <v>619</v>
      </c>
      <c r="C70" t="s">
        <v>620</v>
      </c>
      <c r="D70" t="s">
        <v>101</v>
      </c>
      <c r="E70" s="28">
        <v>1781</v>
      </c>
      <c r="F70" s="13">
        <v>17.610528000000002</v>
      </c>
      <c r="G70" s="14">
        <f t="shared" si="2"/>
        <v>9.7000000000000003E-3</v>
      </c>
      <c r="H70" s="15"/>
    </row>
    <row r="71" spans="1:8" ht="12.75" customHeight="1" x14ac:dyDescent="0.2">
      <c r="A71">
        <f>+MAX($A$8:A70)+1</f>
        <v>63</v>
      </c>
      <c r="B71" t="s">
        <v>430</v>
      </c>
      <c r="C71" t="s">
        <v>431</v>
      </c>
      <c r="D71" t="s">
        <v>95</v>
      </c>
      <c r="E71" s="28">
        <v>8419</v>
      </c>
      <c r="F71" s="13">
        <v>17.599919499999999</v>
      </c>
      <c r="G71" s="14">
        <f t="shared" si="2"/>
        <v>9.7000000000000003E-3</v>
      </c>
      <c r="H71" s="15"/>
    </row>
    <row r="72" spans="1:8" ht="12.75" customHeight="1" x14ac:dyDescent="0.2">
      <c r="A72">
        <f>+MAX($A$8:A71)+1</f>
        <v>64</v>
      </c>
      <c r="B72" t="s">
        <v>209</v>
      </c>
      <c r="C72" t="s">
        <v>69</v>
      </c>
      <c r="D72" t="s">
        <v>26</v>
      </c>
      <c r="E72" s="28">
        <v>1348</v>
      </c>
      <c r="F72" s="13">
        <v>17.555004</v>
      </c>
      <c r="G72" s="14">
        <f t="shared" si="2"/>
        <v>9.7000000000000003E-3</v>
      </c>
      <c r="H72" s="15"/>
    </row>
    <row r="73" spans="1:8" ht="12.75" customHeight="1" x14ac:dyDescent="0.2">
      <c r="A73">
        <f>+MAX($A$8:A72)+1</f>
        <v>65</v>
      </c>
      <c r="B73" t="s">
        <v>598</v>
      </c>
      <c r="C73" t="s">
        <v>599</v>
      </c>
      <c r="D73" t="s">
        <v>22</v>
      </c>
      <c r="E73" s="28">
        <v>4912</v>
      </c>
      <c r="F73" s="13">
        <v>17.513736000000002</v>
      </c>
      <c r="G73" s="14">
        <f t="shared" ref="G73:G104" si="3">+ROUND(F73/VLOOKUP("Grand Total",$B$4:$F$332,5,0),4)</f>
        <v>9.5999999999999992E-3</v>
      </c>
      <c r="H73" s="15"/>
    </row>
    <row r="74" spans="1:8" ht="12.75" customHeight="1" x14ac:dyDescent="0.2">
      <c r="A74">
        <f>+MAX($A$8:A73)+1</f>
        <v>66</v>
      </c>
      <c r="B74" t="s">
        <v>196</v>
      </c>
      <c r="C74" t="s">
        <v>94</v>
      </c>
      <c r="D74" t="s">
        <v>9</v>
      </c>
      <c r="E74" s="28">
        <v>1339</v>
      </c>
      <c r="F74" s="13">
        <v>17.498721499999998</v>
      </c>
      <c r="G74" s="14">
        <f t="shared" si="3"/>
        <v>9.5999999999999992E-3</v>
      </c>
      <c r="H74" s="15"/>
    </row>
    <row r="75" spans="1:8" ht="12.75" customHeight="1" x14ac:dyDescent="0.2">
      <c r="A75">
        <f>+MAX($A$8:A74)+1</f>
        <v>67</v>
      </c>
      <c r="B75" t="s">
        <v>600</v>
      </c>
      <c r="C75" t="s">
        <v>601</v>
      </c>
      <c r="D75" t="s">
        <v>101</v>
      </c>
      <c r="E75" s="28">
        <v>23597</v>
      </c>
      <c r="F75" s="13">
        <v>17.473578500000002</v>
      </c>
      <c r="G75" s="14">
        <f t="shared" si="3"/>
        <v>9.5999999999999992E-3</v>
      </c>
      <c r="H75" s="15"/>
    </row>
    <row r="76" spans="1:8" ht="12.75" customHeight="1" x14ac:dyDescent="0.2">
      <c r="A76">
        <f>+MAX($A$8:A75)+1</f>
        <v>68</v>
      </c>
      <c r="B76" t="s">
        <v>226</v>
      </c>
      <c r="C76" t="s">
        <v>109</v>
      </c>
      <c r="D76" t="s">
        <v>13</v>
      </c>
      <c r="E76" s="28">
        <v>2561</v>
      </c>
      <c r="F76" s="13">
        <v>17.4340075</v>
      </c>
      <c r="G76" s="14">
        <f t="shared" si="3"/>
        <v>9.5999999999999992E-3</v>
      </c>
      <c r="H76" s="15"/>
    </row>
    <row r="77" spans="1:8" ht="12.75" customHeight="1" x14ac:dyDescent="0.2">
      <c r="A77">
        <f>+MAX($A$8:A76)+1</f>
        <v>69</v>
      </c>
      <c r="B77" t="s">
        <v>365</v>
      </c>
      <c r="C77" t="s">
        <v>66</v>
      </c>
      <c r="D77" t="s">
        <v>21</v>
      </c>
      <c r="E77" s="28">
        <v>3066</v>
      </c>
      <c r="F77" s="13">
        <v>17.430209999999999</v>
      </c>
      <c r="G77" s="14">
        <f t="shared" si="3"/>
        <v>9.5999999999999992E-3</v>
      </c>
      <c r="H77" s="15"/>
    </row>
    <row r="78" spans="1:8" ht="12.75" customHeight="1" x14ac:dyDescent="0.2">
      <c r="A78">
        <f>+MAX($A$8:A77)+1</f>
        <v>70</v>
      </c>
      <c r="B78" t="s">
        <v>227</v>
      </c>
      <c r="C78" t="s">
        <v>111</v>
      </c>
      <c r="D78" t="s">
        <v>34</v>
      </c>
      <c r="E78" s="28">
        <v>11251</v>
      </c>
      <c r="F78" s="13">
        <v>17.4221735</v>
      </c>
      <c r="G78" s="14">
        <f t="shared" si="3"/>
        <v>9.5999999999999992E-3</v>
      </c>
      <c r="H78" s="15"/>
    </row>
    <row r="79" spans="1:8" ht="12.75" customHeight="1" x14ac:dyDescent="0.2">
      <c r="A79">
        <f>+MAX($A$8:A78)+1</f>
        <v>71</v>
      </c>
      <c r="B79" t="s">
        <v>369</v>
      </c>
      <c r="C79" t="s">
        <v>370</v>
      </c>
      <c r="D79" t="s">
        <v>102</v>
      </c>
      <c r="E79" s="28">
        <v>5252</v>
      </c>
      <c r="F79" s="13">
        <v>17.352608</v>
      </c>
      <c r="G79" s="14">
        <f t="shared" si="3"/>
        <v>9.4999999999999998E-3</v>
      </c>
      <c r="H79" s="15"/>
    </row>
    <row r="80" spans="1:8" ht="12.75" customHeight="1" x14ac:dyDescent="0.2">
      <c r="A80">
        <f>+MAX($A$8:A79)+1</f>
        <v>72</v>
      </c>
      <c r="B80" t="s">
        <v>491</v>
      </c>
      <c r="C80" t="s">
        <v>492</v>
      </c>
      <c r="D80" t="s">
        <v>30</v>
      </c>
      <c r="E80" s="28">
        <v>8818</v>
      </c>
      <c r="F80" s="13">
        <v>17.309733999999999</v>
      </c>
      <c r="G80" s="14">
        <f t="shared" si="3"/>
        <v>9.4999999999999998E-3</v>
      </c>
      <c r="H80" s="15"/>
    </row>
    <row r="81" spans="1:8" ht="12.75" customHeight="1" x14ac:dyDescent="0.2">
      <c r="A81">
        <f>+MAX($A$8:A80)+1</f>
        <v>73</v>
      </c>
      <c r="B81" t="s">
        <v>375</v>
      </c>
      <c r="C81" t="s">
        <v>376</v>
      </c>
      <c r="D81" t="s">
        <v>43</v>
      </c>
      <c r="E81" s="28">
        <v>7743</v>
      </c>
      <c r="F81" s="13">
        <v>17.204946</v>
      </c>
      <c r="G81" s="14">
        <f t="shared" si="3"/>
        <v>9.4999999999999998E-3</v>
      </c>
      <c r="H81" s="15"/>
    </row>
    <row r="82" spans="1:8" ht="12.75" customHeight="1" x14ac:dyDescent="0.2">
      <c r="A82">
        <f>+MAX($A$8:A81)+1</f>
        <v>74</v>
      </c>
      <c r="B82" t="s">
        <v>237</v>
      </c>
      <c r="C82" t="s">
        <v>122</v>
      </c>
      <c r="D82" t="s">
        <v>24</v>
      </c>
      <c r="E82" s="28">
        <v>1500</v>
      </c>
      <c r="F82" s="13">
        <v>17.178750000000001</v>
      </c>
      <c r="G82" s="14">
        <f t="shared" si="3"/>
        <v>9.4999999999999998E-3</v>
      </c>
      <c r="H82" s="15"/>
    </row>
    <row r="83" spans="1:8" ht="12.75" customHeight="1" x14ac:dyDescent="0.2">
      <c r="A83">
        <f>+MAX($A$8:A82)+1</f>
        <v>75</v>
      </c>
      <c r="B83" t="s">
        <v>214</v>
      </c>
      <c r="C83" t="s">
        <v>78</v>
      </c>
      <c r="D83" t="s">
        <v>43</v>
      </c>
      <c r="E83" s="28">
        <v>6123</v>
      </c>
      <c r="F83" s="13">
        <v>17.147461499999999</v>
      </c>
      <c r="G83" s="14">
        <f t="shared" si="3"/>
        <v>9.4000000000000004E-3</v>
      </c>
      <c r="H83" s="15"/>
    </row>
    <row r="84" spans="1:8" ht="12.75" customHeight="1" x14ac:dyDescent="0.2">
      <c r="A84">
        <f>+MAX($A$8:A83)+1</f>
        <v>76</v>
      </c>
      <c r="B84" t="s">
        <v>199</v>
      </c>
      <c r="C84" t="s">
        <v>59</v>
      </c>
      <c r="D84" t="s">
        <v>21</v>
      </c>
      <c r="E84" s="28">
        <v>2896</v>
      </c>
      <c r="F84" s="13">
        <v>17.131288000000001</v>
      </c>
      <c r="G84" s="14">
        <f t="shared" si="3"/>
        <v>9.4000000000000004E-3</v>
      </c>
      <c r="H84" s="15"/>
    </row>
    <row r="85" spans="1:8" ht="12.75" customHeight="1" x14ac:dyDescent="0.2">
      <c r="A85">
        <f>+MAX($A$8:A84)+1</f>
        <v>77</v>
      </c>
      <c r="B85" t="s">
        <v>236</v>
      </c>
      <c r="C85" t="s">
        <v>119</v>
      </c>
      <c r="D85" t="s">
        <v>43</v>
      </c>
      <c r="E85" s="28">
        <v>7972</v>
      </c>
      <c r="F85" s="13">
        <v>17.012248</v>
      </c>
      <c r="G85" s="14">
        <f t="shared" si="3"/>
        <v>9.4000000000000004E-3</v>
      </c>
      <c r="H85" s="15"/>
    </row>
    <row r="86" spans="1:8" ht="12.75" customHeight="1" x14ac:dyDescent="0.2">
      <c r="A86">
        <f>+MAX($A$8:A85)+1</f>
        <v>78</v>
      </c>
      <c r="B86" t="s">
        <v>612</v>
      </c>
      <c r="C86" t="s">
        <v>613</v>
      </c>
      <c r="D86" t="s">
        <v>49</v>
      </c>
      <c r="E86" s="28">
        <v>16148</v>
      </c>
      <c r="F86" s="13">
        <v>16.987696</v>
      </c>
      <c r="G86" s="14">
        <f t="shared" si="3"/>
        <v>9.2999999999999992E-3</v>
      </c>
      <c r="H86" s="15"/>
    </row>
    <row r="87" spans="1:8" ht="12.75" customHeight="1" x14ac:dyDescent="0.2">
      <c r="A87">
        <f>+MAX($A$8:A86)+1</f>
        <v>79</v>
      </c>
      <c r="B87" t="s">
        <v>245</v>
      </c>
      <c r="C87" t="s">
        <v>136</v>
      </c>
      <c r="D87" t="s">
        <v>19</v>
      </c>
      <c r="E87" s="28">
        <v>61</v>
      </c>
      <c r="F87" s="13">
        <v>16.9571155</v>
      </c>
      <c r="G87" s="14">
        <f t="shared" si="3"/>
        <v>9.2999999999999992E-3</v>
      </c>
      <c r="H87" s="15"/>
    </row>
    <row r="88" spans="1:8" ht="12.75" customHeight="1" x14ac:dyDescent="0.2">
      <c r="A88">
        <f>+MAX($A$8:A87)+1</f>
        <v>80</v>
      </c>
      <c r="B88" t="s">
        <v>212</v>
      </c>
      <c r="C88" t="s">
        <v>76</v>
      </c>
      <c r="D88" t="s">
        <v>49</v>
      </c>
      <c r="E88" s="28">
        <v>6486</v>
      </c>
      <c r="F88" s="13">
        <v>16.934946</v>
      </c>
      <c r="G88" s="14">
        <f t="shared" si="3"/>
        <v>9.2999999999999992E-3</v>
      </c>
      <c r="H88" s="15"/>
    </row>
    <row r="89" spans="1:8" ht="12.75" customHeight="1" x14ac:dyDescent="0.2">
      <c r="A89">
        <f>+MAX($A$8:A88)+1</f>
        <v>81</v>
      </c>
      <c r="B89" t="s">
        <v>259</v>
      </c>
      <c r="C89" t="s">
        <v>161</v>
      </c>
      <c r="D89" t="s">
        <v>28</v>
      </c>
      <c r="E89" s="28">
        <v>10272</v>
      </c>
      <c r="F89" s="13">
        <v>16.882031999999999</v>
      </c>
      <c r="G89" s="14">
        <f t="shared" si="3"/>
        <v>9.2999999999999992E-3</v>
      </c>
      <c r="H89" s="15"/>
    </row>
    <row r="90" spans="1:8" ht="12.75" customHeight="1" x14ac:dyDescent="0.2">
      <c r="A90">
        <f>+MAX($A$8:A89)+1</f>
        <v>82</v>
      </c>
      <c r="B90" t="s">
        <v>602</v>
      </c>
      <c r="C90" t="s">
        <v>603</v>
      </c>
      <c r="D90" t="s">
        <v>34</v>
      </c>
      <c r="E90" s="28">
        <v>70933</v>
      </c>
      <c r="F90" s="13">
        <v>16.846587499999998</v>
      </c>
      <c r="G90" s="14">
        <f t="shared" si="3"/>
        <v>9.2999999999999992E-3</v>
      </c>
      <c r="H90" s="15"/>
    </row>
    <row r="91" spans="1:8" ht="12.75" customHeight="1" x14ac:dyDescent="0.2">
      <c r="A91">
        <f>+MAX($A$8:A90)+1</f>
        <v>83</v>
      </c>
      <c r="B91" t="s">
        <v>596</v>
      </c>
      <c r="C91" t="s">
        <v>597</v>
      </c>
      <c r="D91" t="s">
        <v>13</v>
      </c>
      <c r="E91" s="28">
        <v>434</v>
      </c>
      <c r="F91" s="13">
        <v>16.831821999999999</v>
      </c>
      <c r="G91" s="14">
        <f t="shared" si="3"/>
        <v>9.2999999999999992E-3</v>
      </c>
      <c r="H91" s="15"/>
    </row>
    <row r="92" spans="1:8" ht="12.75" customHeight="1" x14ac:dyDescent="0.2">
      <c r="A92">
        <f>+MAX($A$8:A91)+1</f>
        <v>84</v>
      </c>
      <c r="B92" t="s">
        <v>183</v>
      </c>
      <c r="C92" t="s">
        <v>37</v>
      </c>
      <c r="D92" t="s">
        <v>19</v>
      </c>
      <c r="E92" s="28">
        <v>616</v>
      </c>
      <c r="F92" s="13">
        <v>16.632308000000002</v>
      </c>
      <c r="G92" s="14">
        <f t="shared" si="3"/>
        <v>9.1999999999999998E-3</v>
      </c>
      <c r="H92" s="15"/>
    </row>
    <row r="93" spans="1:8" ht="12.75" customHeight="1" x14ac:dyDescent="0.2">
      <c r="A93">
        <f>+MAX($A$8:A92)+1</f>
        <v>85</v>
      </c>
      <c r="B93" t="s">
        <v>543</v>
      </c>
      <c r="C93" t="s">
        <v>544</v>
      </c>
      <c r="D93" t="s">
        <v>21</v>
      </c>
      <c r="E93" s="28">
        <v>4325</v>
      </c>
      <c r="F93" s="13">
        <v>16.497712499999999</v>
      </c>
      <c r="G93" s="14">
        <f t="shared" si="3"/>
        <v>9.1000000000000004E-3</v>
      </c>
      <c r="H93" s="15"/>
    </row>
    <row r="94" spans="1:8" ht="12.75" customHeight="1" x14ac:dyDescent="0.2">
      <c r="A94">
        <f>+MAX($A$8:A93)+1</f>
        <v>86</v>
      </c>
      <c r="B94" t="s">
        <v>230</v>
      </c>
      <c r="C94" t="s">
        <v>114</v>
      </c>
      <c r="D94" t="s">
        <v>98</v>
      </c>
      <c r="E94" s="28">
        <v>3125</v>
      </c>
      <c r="F94" s="13">
        <v>16.473437499999999</v>
      </c>
      <c r="G94" s="14">
        <f t="shared" si="3"/>
        <v>9.1000000000000004E-3</v>
      </c>
      <c r="H94" s="15"/>
    </row>
    <row r="95" spans="1:8" ht="12.75" customHeight="1" x14ac:dyDescent="0.2">
      <c r="A95">
        <f>+MAX($A$8:A94)+1</f>
        <v>87</v>
      </c>
      <c r="B95" t="s">
        <v>410</v>
      </c>
      <c r="C95" t="s">
        <v>411</v>
      </c>
      <c r="D95" t="s">
        <v>22</v>
      </c>
      <c r="E95" s="28">
        <v>1185</v>
      </c>
      <c r="F95" s="13">
        <v>16.378477499999999</v>
      </c>
      <c r="G95" s="14">
        <f t="shared" si="3"/>
        <v>8.9999999999999993E-3</v>
      </c>
      <c r="H95" s="15"/>
    </row>
    <row r="96" spans="1:8" ht="12.75" customHeight="1" x14ac:dyDescent="0.2">
      <c r="A96">
        <f>+MAX($A$8:A95)+1</f>
        <v>88</v>
      </c>
      <c r="B96" t="s">
        <v>470</v>
      </c>
      <c r="C96" t="s">
        <v>471</v>
      </c>
      <c r="D96" t="s">
        <v>102</v>
      </c>
      <c r="E96" s="28">
        <v>21094</v>
      </c>
      <c r="F96" s="13">
        <v>16.347850000000001</v>
      </c>
      <c r="G96" s="14">
        <f t="shared" si="3"/>
        <v>8.9999999999999993E-3</v>
      </c>
      <c r="H96" s="15"/>
    </row>
    <row r="97" spans="1:9" ht="12.75" customHeight="1" x14ac:dyDescent="0.2">
      <c r="A97">
        <f>+MAX($A$8:A96)+1</f>
        <v>89</v>
      </c>
      <c r="B97" t="s">
        <v>224</v>
      </c>
      <c r="C97" t="s">
        <v>110</v>
      </c>
      <c r="D97" t="s">
        <v>34</v>
      </c>
      <c r="E97" s="28">
        <v>8952</v>
      </c>
      <c r="F97" s="13">
        <v>16.319496000000001</v>
      </c>
      <c r="G97" s="14">
        <f t="shared" si="3"/>
        <v>8.9999999999999993E-3</v>
      </c>
      <c r="H97" s="15"/>
    </row>
    <row r="98" spans="1:9" ht="12.75" customHeight="1" x14ac:dyDescent="0.2">
      <c r="A98">
        <f>+MAX($A$8:A97)+1</f>
        <v>90</v>
      </c>
      <c r="B98" t="s">
        <v>213</v>
      </c>
      <c r="C98" t="s">
        <v>77</v>
      </c>
      <c r="D98" t="s">
        <v>28</v>
      </c>
      <c r="E98" s="28">
        <v>5688</v>
      </c>
      <c r="F98" s="13">
        <v>16.199424</v>
      </c>
      <c r="G98" s="14">
        <f t="shared" si="3"/>
        <v>8.8999999999999999E-3</v>
      </c>
      <c r="H98" s="15"/>
    </row>
    <row r="99" spans="1:9" ht="12.75" customHeight="1" x14ac:dyDescent="0.2">
      <c r="A99">
        <f>+MAX($A$8:A98)+1</f>
        <v>91</v>
      </c>
      <c r="B99" t="s">
        <v>229</v>
      </c>
      <c r="C99" t="s">
        <v>113</v>
      </c>
      <c r="D99" t="s">
        <v>28</v>
      </c>
      <c r="E99" s="28">
        <v>4151</v>
      </c>
      <c r="F99" s="13">
        <v>16.1785225</v>
      </c>
      <c r="G99" s="14">
        <f t="shared" si="3"/>
        <v>8.8999999999999999E-3</v>
      </c>
      <c r="H99" s="15"/>
    </row>
    <row r="100" spans="1:9" ht="12.75" customHeight="1" x14ac:dyDescent="0.2">
      <c r="A100">
        <f>+MAX($A$8:A99)+1</f>
        <v>92</v>
      </c>
      <c r="B100" t="s">
        <v>219</v>
      </c>
      <c r="C100" t="s">
        <v>100</v>
      </c>
      <c r="D100" t="s">
        <v>21</v>
      </c>
      <c r="E100" s="28">
        <v>1960</v>
      </c>
      <c r="F100" s="13">
        <v>16.158239999999999</v>
      </c>
      <c r="G100" s="14">
        <f t="shared" si="3"/>
        <v>8.8999999999999999E-3</v>
      </c>
      <c r="H100" s="15"/>
    </row>
    <row r="101" spans="1:9" ht="12.75" customHeight="1" x14ac:dyDescent="0.2">
      <c r="A101">
        <f>+MAX($A$8:A100)+1</f>
        <v>93</v>
      </c>
      <c r="B101" t="s">
        <v>221</v>
      </c>
      <c r="C101" t="s">
        <v>105</v>
      </c>
      <c r="D101" t="s">
        <v>21</v>
      </c>
      <c r="E101" s="28">
        <v>758</v>
      </c>
      <c r="F101" s="13">
        <v>16.128723999999998</v>
      </c>
      <c r="G101" s="14">
        <f t="shared" si="3"/>
        <v>8.8999999999999999E-3</v>
      </c>
      <c r="H101" s="15"/>
    </row>
    <row r="102" spans="1:9" ht="12.75" customHeight="1" x14ac:dyDescent="0.2">
      <c r="A102">
        <f>+MAX($A$8:A101)+1</f>
        <v>94</v>
      </c>
      <c r="B102" t="s">
        <v>225</v>
      </c>
      <c r="C102" t="s">
        <v>108</v>
      </c>
      <c r="D102" t="s">
        <v>19</v>
      </c>
      <c r="E102" s="28">
        <v>487</v>
      </c>
      <c r="F102" s="13">
        <v>16.043971499999998</v>
      </c>
      <c r="G102" s="14">
        <f t="shared" si="3"/>
        <v>8.8000000000000005E-3</v>
      </c>
      <c r="H102" s="15"/>
    </row>
    <row r="103" spans="1:9" ht="12.75" customHeight="1" x14ac:dyDescent="0.2">
      <c r="A103">
        <f>+MAX($A$8:A102)+1</f>
        <v>95</v>
      </c>
      <c r="B103" t="s">
        <v>628</v>
      </c>
      <c r="C103" t="s">
        <v>629</v>
      </c>
      <c r="D103" t="s">
        <v>32</v>
      </c>
      <c r="E103" s="28">
        <v>29228</v>
      </c>
      <c r="F103" s="13">
        <v>16.031558</v>
      </c>
      <c r="G103" s="14">
        <f t="shared" si="3"/>
        <v>8.8000000000000005E-3</v>
      </c>
      <c r="H103" s="15"/>
    </row>
    <row r="104" spans="1:9" ht="12.75" customHeight="1" x14ac:dyDescent="0.2">
      <c r="A104">
        <f>+MAX($A$8:A103)+1</f>
        <v>96</v>
      </c>
      <c r="B104" t="s">
        <v>267</v>
      </c>
      <c r="C104" t="s">
        <v>165</v>
      </c>
      <c r="D104" t="s">
        <v>98</v>
      </c>
      <c r="E104" s="28">
        <v>2060</v>
      </c>
      <c r="F104" s="13">
        <v>15.909380000000001</v>
      </c>
      <c r="G104" s="14">
        <f t="shared" si="3"/>
        <v>8.8000000000000005E-3</v>
      </c>
      <c r="H104" s="15"/>
    </row>
    <row r="105" spans="1:9" ht="12.75" customHeight="1" x14ac:dyDescent="0.2">
      <c r="A105">
        <f>+MAX($A$8:A104)+1</f>
        <v>97</v>
      </c>
      <c r="B105" t="s">
        <v>215</v>
      </c>
      <c r="C105" t="s">
        <v>664</v>
      </c>
      <c r="D105" t="s">
        <v>24</v>
      </c>
      <c r="E105" s="28">
        <v>2598</v>
      </c>
      <c r="F105" s="13">
        <v>15.251558999999999</v>
      </c>
      <c r="G105" s="14">
        <f t="shared" ref="G105:G109" si="4">+ROUND(F105/VLOOKUP("Grand Total",$B$4:$F$332,5,0),4)</f>
        <v>8.3999999999999995E-3</v>
      </c>
      <c r="H105" s="15"/>
    </row>
    <row r="106" spans="1:9" ht="12.75" customHeight="1" x14ac:dyDescent="0.2">
      <c r="A106">
        <f>+MAX($A$8:A105)+1</f>
        <v>98</v>
      </c>
      <c r="B106" t="s">
        <v>301</v>
      </c>
      <c r="C106" t="s">
        <v>302</v>
      </c>
      <c r="D106" t="s">
        <v>19</v>
      </c>
      <c r="E106" s="28">
        <v>12975</v>
      </c>
      <c r="F106" s="13">
        <v>14.6358</v>
      </c>
      <c r="G106" s="14">
        <f t="shared" si="4"/>
        <v>8.0999999999999996E-3</v>
      </c>
      <c r="H106" s="15"/>
    </row>
    <row r="107" spans="1:9" ht="12.75" customHeight="1" x14ac:dyDescent="0.2">
      <c r="A107">
        <f>+MAX($A$8:A106)+1</f>
        <v>99</v>
      </c>
      <c r="B107" t="s">
        <v>510</v>
      </c>
      <c r="C107" t="s">
        <v>511</v>
      </c>
      <c r="D107" t="s">
        <v>35</v>
      </c>
      <c r="E107" s="28">
        <v>1491</v>
      </c>
      <c r="F107" s="13">
        <v>13.861827</v>
      </c>
      <c r="G107" s="14">
        <f t="shared" si="4"/>
        <v>7.6E-3</v>
      </c>
      <c r="H107" s="15"/>
    </row>
    <row r="108" spans="1:9" ht="12.75" customHeight="1" x14ac:dyDescent="0.2">
      <c r="A108">
        <f>+MAX($A$8:A107)+1</f>
        <v>100</v>
      </c>
      <c r="B108" t="s">
        <v>180</v>
      </c>
      <c r="C108" t="s">
        <v>20</v>
      </c>
      <c r="D108" t="s">
        <v>19</v>
      </c>
      <c r="E108" s="28">
        <v>4943</v>
      </c>
      <c r="F108" s="13">
        <v>13.054463</v>
      </c>
      <c r="G108" s="14">
        <f t="shared" si="4"/>
        <v>7.1999999999999998E-3</v>
      </c>
      <c r="H108" s="15"/>
    </row>
    <row r="109" spans="1:9" ht="12.75" customHeight="1" x14ac:dyDescent="0.2">
      <c r="A109">
        <f>+MAX($A$8:A108)+1</f>
        <v>101</v>
      </c>
      <c r="B109" t="s">
        <v>347</v>
      </c>
      <c r="C109" t="s">
        <v>123</v>
      </c>
      <c r="D109" t="s">
        <v>19</v>
      </c>
      <c r="E109" s="28">
        <v>1360</v>
      </c>
      <c r="F109" s="13">
        <v>1.9570399999999999</v>
      </c>
      <c r="G109" s="14">
        <f t="shared" si="4"/>
        <v>1.1000000000000001E-3</v>
      </c>
      <c r="H109" s="15"/>
    </row>
    <row r="110" spans="1:9" ht="12.75" customHeight="1" x14ac:dyDescent="0.2">
      <c r="B110" s="18" t="s">
        <v>82</v>
      </c>
      <c r="C110" s="18"/>
      <c r="D110" s="18"/>
      <c r="E110" s="29"/>
      <c r="F110" s="19">
        <f>SUM(F9:F109)</f>
        <v>1809.3765345000006</v>
      </c>
      <c r="G110" s="20">
        <f>SUM(G9:G109)</f>
        <v>0.99600000000000044</v>
      </c>
      <c r="H110" s="21"/>
      <c r="I110" s="35"/>
    </row>
    <row r="111" spans="1:9" ht="12.75" customHeight="1" x14ac:dyDescent="0.2">
      <c r="F111" s="13"/>
      <c r="G111" s="14"/>
      <c r="H111" s="15"/>
    </row>
    <row r="112" spans="1:9" ht="12.75" customHeight="1" x14ac:dyDescent="0.2">
      <c r="B112" s="16" t="s">
        <v>91</v>
      </c>
      <c r="C112" s="16"/>
      <c r="F112" s="13"/>
      <c r="G112" s="14"/>
      <c r="H112" s="15"/>
    </row>
    <row r="113" spans="1:9" ht="12.75" customHeight="1" x14ac:dyDescent="0.2">
      <c r="A113" s="94" t="s">
        <v>321</v>
      </c>
      <c r="B113" s="16" t="s">
        <v>658</v>
      </c>
      <c r="C113" s="16"/>
      <c r="F113" s="13">
        <v>7.4878299999999998</v>
      </c>
      <c r="G113" s="14">
        <f>+ROUND(F113/VLOOKUP("Grand Total",$B$4:$F$332,5,0),4)</f>
        <v>4.1000000000000003E-3</v>
      </c>
      <c r="H113" s="15">
        <v>43313</v>
      </c>
    </row>
    <row r="114" spans="1:9" ht="12.75" customHeight="1" x14ac:dyDescent="0.2">
      <c r="B114" s="16" t="s">
        <v>92</v>
      </c>
      <c r="C114" s="16"/>
      <c r="F114" s="13">
        <v>0.48261259999912909</v>
      </c>
      <c r="G114" s="14">
        <f>+ROUND(F114/VLOOKUP("Grand Total",$B$4:$F$332,5,0),4)-0.04%</f>
        <v>-1.0000000000000005E-4</v>
      </c>
      <c r="H114" s="15"/>
    </row>
    <row r="115" spans="1:9" ht="12.75" customHeight="1" x14ac:dyDescent="0.2">
      <c r="B115" s="18" t="s">
        <v>82</v>
      </c>
      <c r="C115" s="18"/>
      <c r="D115" s="18"/>
      <c r="E115" s="29"/>
      <c r="F115" s="19">
        <f>SUM(F113:F114)</f>
        <v>7.9704425999991289</v>
      </c>
      <c r="G115" s="20">
        <f>SUM(G113:G114)</f>
        <v>4.0000000000000001E-3</v>
      </c>
      <c r="H115" s="21"/>
      <c r="I115" s="35"/>
    </row>
    <row r="116" spans="1:9" ht="12.75" customHeight="1" x14ac:dyDescent="0.2">
      <c r="B116" s="22" t="s">
        <v>93</v>
      </c>
      <c r="C116" s="22"/>
      <c r="D116" s="22"/>
      <c r="E116" s="30"/>
      <c r="F116" s="23">
        <f>+SUMIF($B$5:B115,"Total",$F$5:F115)</f>
        <v>1817.3469770999998</v>
      </c>
      <c r="G116" s="24">
        <f>+SUMIF($B$5:B115,"Total",$G$5:G115)</f>
        <v>1.0000000000000004</v>
      </c>
      <c r="H116" s="25"/>
      <c r="I116" s="35"/>
    </row>
    <row r="117" spans="1:9" ht="12.75" customHeight="1" x14ac:dyDescent="0.2"/>
    <row r="118" spans="1:9" ht="12.75" customHeight="1" x14ac:dyDescent="0.2">
      <c r="B118" s="16"/>
      <c r="C118" s="16"/>
    </row>
    <row r="119" spans="1:9" ht="12.75" customHeight="1" x14ac:dyDescent="0.2">
      <c r="B119" s="16"/>
      <c r="C119" s="16"/>
    </row>
    <row r="120" spans="1:9" ht="12.75" customHeight="1" x14ac:dyDescent="0.2">
      <c r="B120" s="16"/>
      <c r="C120" s="16"/>
    </row>
    <row r="121" spans="1:9" ht="12.75" customHeight="1" x14ac:dyDescent="0.2">
      <c r="B121" s="16"/>
      <c r="C121" s="16"/>
    </row>
    <row r="122" spans="1:9" ht="12.75" customHeight="1" x14ac:dyDescent="0.2">
      <c r="B122" s="16"/>
      <c r="C122" s="16"/>
    </row>
    <row r="123" spans="1:9" ht="12.75" customHeight="1" x14ac:dyDescent="0.2"/>
    <row r="124" spans="1:9" ht="12.75" customHeight="1" x14ac:dyDescent="0.2"/>
    <row r="125" spans="1:9" ht="12.75" customHeight="1" x14ac:dyDescent="0.2"/>
    <row r="126" spans="1:9" ht="12.75" customHeight="1" x14ac:dyDescent="0.2"/>
    <row r="127" spans="1:9" ht="12.75" customHeight="1" x14ac:dyDescent="0.2"/>
    <row r="128" spans="1:9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</sheetData>
  <sortState ref="J9:K28">
    <sortCondition descending="1" ref="K9:K28"/>
  </sortState>
  <mergeCells count="1">
    <mergeCell ref="B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M124"/>
  <sheetViews>
    <sheetView workbookViewId="0"/>
  </sheetViews>
  <sheetFormatPr defaultColWidth="9.140625" defaultRowHeight="12.75" x14ac:dyDescent="0.2"/>
  <cols>
    <col min="1" max="1" width="6.42578125" bestFit="1" customWidth="1"/>
    <col min="2" max="2" width="69.28515625" customWidth="1"/>
    <col min="3" max="3" width="14" bestFit="1" customWidth="1"/>
    <col min="4" max="4" width="42.5703125" bestFit="1" customWidth="1"/>
    <col min="5" max="5" width="10.7109375" style="28" customWidth="1"/>
    <col min="6" max="6" width="22.7109375" bestFit="1" customWidth="1"/>
    <col min="7" max="7" width="14" bestFit="1" customWidth="1"/>
    <col min="8" max="8" width="14" customWidth="1"/>
    <col min="9" max="9" width="11.85546875" bestFit="1" customWidth="1"/>
    <col min="10" max="10" width="15" style="33" customWidth="1"/>
    <col min="11" max="11" width="42.5703125" bestFit="1" customWidth="1"/>
    <col min="12" max="12" width="8.28515625" style="36" bestFit="1" customWidth="1"/>
  </cols>
  <sheetData>
    <row r="1" spans="1:12" ht="18.75" x14ac:dyDescent="0.2">
      <c r="A1" s="93" t="s">
        <v>340</v>
      </c>
      <c r="B1" s="129" t="s">
        <v>661</v>
      </c>
      <c r="C1" s="130"/>
      <c r="D1" s="130"/>
      <c r="E1" s="130"/>
      <c r="F1" s="130"/>
      <c r="G1" s="130"/>
      <c r="H1" s="130"/>
      <c r="I1" s="131"/>
    </row>
    <row r="2" spans="1:12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  <c r="I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2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126" t="s">
        <v>705</v>
      </c>
      <c r="I4" s="32" t="s">
        <v>6</v>
      </c>
      <c r="J4" s="34"/>
    </row>
    <row r="5" spans="1:12" ht="12.75" customHeight="1" x14ac:dyDescent="0.2">
      <c r="F5" s="13"/>
      <c r="G5" s="14"/>
      <c r="H5" s="14"/>
      <c r="I5" s="15"/>
    </row>
    <row r="6" spans="1:12" ht="12.75" customHeight="1" x14ac:dyDescent="0.2">
      <c r="F6" s="13"/>
      <c r="G6" s="14"/>
      <c r="H6" s="14"/>
      <c r="I6" s="15"/>
    </row>
    <row r="7" spans="1:12" ht="12.75" customHeight="1" x14ac:dyDescent="0.2">
      <c r="B7" s="16" t="s">
        <v>8</v>
      </c>
      <c r="F7" s="13"/>
      <c r="G7" s="14"/>
      <c r="H7" s="14"/>
      <c r="I7" s="15"/>
    </row>
    <row r="8" spans="1:12" ht="12.75" customHeight="1" x14ac:dyDescent="0.2">
      <c r="B8" s="16" t="s">
        <v>356</v>
      </c>
      <c r="C8" s="16"/>
      <c r="F8" s="13"/>
      <c r="G8" s="14"/>
      <c r="H8" s="14"/>
      <c r="I8" s="15"/>
      <c r="K8" s="17" t="s">
        <v>509</v>
      </c>
      <c r="L8" s="37" t="s">
        <v>11</v>
      </c>
    </row>
    <row r="9" spans="1:12" ht="12.75" customHeight="1" x14ac:dyDescent="0.2">
      <c r="A9">
        <f>+MAX($A$8:A8)+1</f>
        <v>1</v>
      </c>
      <c r="B9" t="s">
        <v>176</v>
      </c>
      <c r="C9" t="s">
        <v>12</v>
      </c>
      <c r="D9" t="s">
        <v>9</v>
      </c>
      <c r="E9" s="28">
        <v>116</v>
      </c>
      <c r="F9" s="13">
        <v>2.5282200000000001</v>
      </c>
      <c r="G9" s="14">
        <f t="shared" ref="G9:G40" si="0">+ROUND(F9/VLOOKUP("Grand Total",$B$4:$F$374,5,0),4)</f>
        <v>2.1899999999999999E-2</v>
      </c>
      <c r="H9" s="14"/>
      <c r="I9" s="15" t="s">
        <v>322</v>
      </c>
      <c r="K9" s="14" t="s">
        <v>285</v>
      </c>
      <c r="L9" s="48">
        <f t="shared" ref="L9:L33" si="1">SUMIFS($G$5:$G$397,$D$5:$D$397,K9)</f>
        <v>0.2621</v>
      </c>
    </row>
    <row r="10" spans="1:12" ht="12.75" customHeight="1" x14ac:dyDescent="0.2">
      <c r="A10">
        <f>+MAX($A$8:A9)+1</f>
        <v>2</v>
      </c>
      <c r="B10" t="s">
        <v>178</v>
      </c>
      <c r="C10" t="s">
        <v>29</v>
      </c>
      <c r="D10" t="s">
        <v>28</v>
      </c>
      <c r="E10" s="28">
        <v>189</v>
      </c>
      <c r="F10" s="13">
        <v>2.2415400000000001</v>
      </c>
      <c r="G10" s="14">
        <f t="shared" si="0"/>
        <v>1.9400000000000001E-2</v>
      </c>
      <c r="H10" s="14"/>
      <c r="I10" s="15" t="s">
        <v>322</v>
      </c>
      <c r="K10" s="14" t="s">
        <v>28</v>
      </c>
      <c r="L10" s="48">
        <f t="shared" si="1"/>
        <v>9.7199999999999995E-2</v>
      </c>
    </row>
    <row r="11" spans="1:12" ht="12.75" customHeight="1" x14ac:dyDescent="0.2">
      <c r="A11">
        <f>+MAX($A$8:A10)+1</f>
        <v>3</v>
      </c>
      <c r="B11" t="s">
        <v>185</v>
      </c>
      <c r="C11" t="s">
        <v>44</v>
      </c>
      <c r="D11" t="s">
        <v>24</v>
      </c>
      <c r="E11" s="28">
        <v>592</v>
      </c>
      <c r="F11" s="13">
        <v>1.762384</v>
      </c>
      <c r="G11" s="14">
        <f t="shared" si="0"/>
        <v>1.5299999999999999E-2</v>
      </c>
      <c r="H11" s="14"/>
      <c r="I11" s="15" t="s">
        <v>322</v>
      </c>
      <c r="K11" s="14" t="s">
        <v>13</v>
      </c>
      <c r="L11" s="48">
        <f t="shared" si="1"/>
        <v>8.8400000000000006E-2</v>
      </c>
    </row>
    <row r="12" spans="1:12" ht="12.75" customHeight="1" x14ac:dyDescent="0.2">
      <c r="A12">
        <f>+MAX($A$8:A11)+1</f>
        <v>4</v>
      </c>
      <c r="B12" t="s">
        <v>200</v>
      </c>
      <c r="C12" t="s">
        <v>18</v>
      </c>
      <c r="D12" t="s">
        <v>13</v>
      </c>
      <c r="E12" s="28">
        <v>87</v>
      </c>
      <c r="F12" s="13">
        <v>1.6879739999999999</v>
      </c>
      <c r="G12" s="14">
        <f t="shared" si="0"/>
        <v>1.46E-2</v>
      </c>
      <c r="H12" s="14"/>
      <c r="I12" s="15" t="s">
        <v>322</v>
      </c>
      <c r="K12" s="14" t="s">
        <v>9</v>
      </c>
      <c r="L12" s="48">
        <f t="shared" si="1"/>
        <v>8.4599999999999981E-2</v>
      </c>
    </row>
    <row r="13" spans="1:12" ht="12.75" customHeight="1" x14ac:dyDescent="0.2">
      <c r="A13">
        <f>+MAX($A$8:A12)+1</f>
        <v>5</v>
      </c>
      <c r="B13" t="s">
        <v>15</v>
      </c>
      <c r="C13" t="s">
        <v>16</v>
      </c>
      <c r="D13" t="s">
        <v>9</v>
      </c>
      <c r="E13" s="28">
        <v>548</v>
      </c>
      <c r="F13" s="13">
        <v>1.6083799999999999</v>
      </c>
      <c r="G13" s="14">
        <f t="shared" si="0"/>
        <v>1.3899999999999999E-2</v>
      </c>
      <c r="H13" s="14"/>
      <c r="I13" s="15" t="s">
        <v>322</v>
      </c>
      <c r="K13" s="14" t="s">
        <v>22</v>
      </c>
      <c r="L13" s="48">
        <f t="shared" si="1"/>
        <v>7.9199999999999993E-2</v>
      </c>
    </row>
    <row r="14" spans="1:12" ht="12.75" customHeight="1" x14ac:dyDescent="0.2">
      <c r="A14">
        <f>+MAX($A$8:A13)+1</f>
        <v>6</v>
      </c>
      <c r="B14" t="s">
        <v>179</v>
      </c>
      <c r="C14" t="s">
        <v>10</v>
      </c>
      <c r="D14" t="s">
        <v>9</v>
      </c>
      <c r="E14" s="28">
        <v>528</v>
      </c>
      <c r="F14" s="13">
        <v>1.6064400000000001</v>
      </c>
      <c r="G14" s="14">
        <f t="shared" si="0"/>
        <v>1.3899999999999999E-2</v>
      </c>
      <c r="H14" s="14"/>
      <c r="I14" s="15" t="s">
        <v>322</v>
      </c>
      <c r="K14" s="14" t="s">
        <v>21</v>
      </c>
      <c r="L14" s="48">
        <f t="shared" si="1"/>
        <v>6.3100000000000003E-2</v>
      </c>
    </row>
    <row r="15" spans="1:12" ht="12.75" customHeight="1" x14ac:dyDescent="0.2">
      <c r="A15">
        <f>+MAX($A$8:A14)+1</f>
        <v>7</v>
      </c>
      <c r="B15" t="s">
        <v>177</v>
      </c>
      <c r="C15" t="s">
        <v>14</v>
      </c>
      <c r="D15" t="s">
        <v>13</v>
      </c>
      <c r="E15" s="28">
        <v>105</v>
      </c>
      <c r="F15" s="13">
        <v>1.4333549999999999</v>
      </c>
      <c r="G15" s="14">
        <f t="shared" si="0"/>
        <v>1.24E-2</v>
      </c>
      <c r="H15" s="14"/>
      <c r="I15" s="15" t="s">
        <v>322</v>
      </c>
      <c r="K15" s="14" t="s">
        <v>102</v>
      </c>
      <c r="L15" s="48">
        <f t="shared" si="1"/>
        <v>5.9700000000000003E-2</v>
      </c>
    </row>
    <row r="16" spans="1:12" ht="12.75" customHeight="1" x14ac:dyDescent="0.2">
      <c r="A16">
        <f>+MAX($A$8:A15)+1</f>
        <v>8</v>
      </c>
      <c r="B16" t="s">
        <v>182</v>
      </c>
      <c r="C16" t="s">
        <v>25</v>
      </c>
      <c r="D16" t="s">
        <v>22</v>
      </c>
      <c r="E16" s="28">
        <v>66</v>
      </c>
      <c r="F16" s="13">
        <v>1.3166010000000001</v>
      </c>
      <c r="G16" s="14">
        <f t="shared" si="0"/>
        <v>1.14E-2</v>
      </c>
      <c r="H16" s="14"/>
      <c r="I16" s="15" t="s">
        <v>322</v>
      </c>
      <c r="K16" s="14" t="s">
        <v>24</v>
      </c>
      <c r="L16" s="48">
        <f t="shared" si="1"/>
        <v>5.2599999999999994E-2</v>
      </c>
    </row>
    <row r="17" spans="1:12" ht="12.75" customHeight="1" x14ac:dyDescent="0.2">
      <c r="A17">
        <f>+MAX($A$8:A16)+1</f>
        <v>9</v>
      </c>
      <c r="B17" t="s">
        <v>209</v>
      </c>
      <c r="C17" t="s">
        <v>69</v>
      </c>
      <c r="D17" t="s">
        <v>26</v>
      </c>
      <c r="E17" s="28">
        <v>97</v>
      </c>
      <c r="F17" s="13">
        <v>1.263231</v>
      </c>
      <c r="G17" s="14">
        <f t="shared" si="0"/>
        <v>1.0999999999999999E-2</v>
      </c>
      <c r="H17" s="14"/>
      <c r="I17" s="15" t="s">
        <v>322</v>
      </c>
      <c r="K17" s="14" t="s">
        <v>34</v>
      </c>
      <c r="L17" s="48">
        <f t="shared" si="1"/>
        <v>2.0400000000000001E-2</v>
      </c>
    </row>
    <row r="18" spans="1:12" ht="12.75" customHeight="1" x14ac:dyDescent="0.2">
      <c r="A18">
        <f>+MAX($A$8:A17)+1</f>
        <v>10</v>
      </c>
      <c r="B18" t="s">
        <v>304</v>
      </c>
      <c r="C18" t="s">
        <v>538</v>
      </c>
      <c r="D18" t="s">
        <v>127</v>
      </c>
      <c r="E18" s="28">
        <v>404</v>
      </c>
      <c r="F18" s="13">
        <v>1.0306039999999999</v>
      </c>
      <c r="G18" s="14">
        <f t="shared" si="0"/>
        <v>8.8999999999999999E-3</v>
      </c>
      <c r="H18" s="14"/>
      <c r="I18" s="15" t="s">
        <v>322</v>
      </c>
      <c r="K18" s="14" t="s">
        <v>19</v>
      </c>
      <c r="L18" s="48">
        <f t="shared" si="1"/>
        <v>1.9800000000000002E-2</v>
      </c>
    </row>
    <row r="19" spans="1:12" ht="12.75" customHeight="1" x14ac:dyDescent="0.2">
      <c r="A19">
        <f>+MAX($A$8:A18)+1</f>
        <v>11</v>
      </c>
      <c r="B19" t="s">
        <v>282</v>
      </c>
      <c r="C19" t="s">
        <v>283</v>
      </c>
      <c r="D19" t="s">
        <v>137</v>
      </c>
      <c r="E19" s="28">
        <v>167</v>
      </c>
      <c r="F19" s="13">
        <v>1.0227914999999999</v>
      </c>
      <c r="G19" s="14">
        <f t="shared" si="0"/>
        <v>8.8999999999999999E-3</v>
      </c>
      <c r="H19" s="14"/>
      <c r="I19" s="15" t="s">
        <v>322</v>
      </c>
      <c r="K19" s="14" t="s">
        <v>26</v>
      </c>
      <c r="L19" s="48">
        <f t="shared" si="1"/>
        <v>1.7000000000000001E-2</v>
      </c>
    </row>
    <row r="20" spans="1:12" ht="12.75" customHeight="1" x14ac:dyDescent="0.2">
      <c r="A20">
        <f>+MAX($A$8:A19)+1</f>
        <v>12</v>
      </c>
      <c r="B20" t="s">
        <v>466</v>
      </c>
      <c r="C20" t="s">
        <v>467</v>
      </c>
      <c r="D20" t="s">
        <v>34</v>
      </c>
      <c r="E20" s="28">
        <v>1324</v>
      </c>
      <c r="F20" s="13">
        <v>0.98704199999999997</v>
      </c>
      <c r="G20" s="14">
        <f t="shared" si="0"/>
        <v>8.6E-3</v>
      </c>
      <c r="H20" s="14"/>
      <c r="I20" s="15" t="s">
        <v>322</v>
      </c>
      <c r="K20" s="14" t="s">
        <v>17</v>
      </c>
      <c r="L20" s="48">
        <f t="shared" si="1"/>
        <v>1.5999999999999997E-2</v>
      </c>
    </row>
    <row r="21" spans="1:12" ht="12.75" customHeight="1" x14ac:dyDescent="0.2">
      <c r="A21">
        <f>+MAX($A$8:A20)+1</f>
        <v>13</v>
      </c>
      <c r="B21" t="s">
        <v>345</v>
      </c>
      <c r="C21" t="s">
        <v>344</v>
      </c>
      <c r="D21" t="s">
        <v>24</v>
      </c>
      <c r="E21" s="28">
        <v>234</v>
      </c>
      <c r="F21" s="13">
        <v>0.98642699999999994</v>
      </c>
      <c r="G21" s="14">
        <f t="shared" si="0"/>
        <v>8.6E-3</v>
      </c>
      <c r="H21" s="14"/>
      <c r="I21" s="15" t="s">
        <v>322</v>
      </c>
      <c r="K21" s="14" t="s">
        <v>127</v>
      </c>
      <c r="L21" s="48">
        <f t="shared" si="1"/>
        <v>1.17E-2</v>
      </c>
    </row>
    <row r="22" spans="1:12" ht="12.75" customHeight="1" x14ac:dyDescent="0.2">
      <c r="A22">
        <f>+MAX($A$8:A21)+1</f>
        <v>14</v>
      </c>
      <c r="B22" t="s">
        <v>275</v>
      </c>
      <c r="C22" t="s">
        <v>55</v>
      </c>
      <c r="D22" t="s">
        <v>24</v>
      </c>
      <c r="E22" s="28">
        <v>61</v>
      </c>
      <c r="F22" s="13">
        <v>0.95102050000000005</v>
      </c>
      <c r="G22" s="14">
        <f t="shared" si="0"/>
        <v>8.2000000000000007E-3</v>
      </c>
      <c r="H22" s="14"/>
      <c r="I22" s="15" t="s">
        <v>322</v>
      </c>
      <c r="K22" s="14" t="s">
        <v>39</v>
      </c>
      <c r="L22" s="48">
        <f t="shared" si="1"/>
        <v>1.0800000000000001E-2</v>
      </c>
    </row>
    <row r="23" spans="1:12" ht="12.75" customHeight="1" x14ac:dyDescent="0.2">
      <c r="A23">
        <f>+MAX($A$8:A22)+1</f>
        <v>15</v>
      </c>
      <c r="B23" t="s">
        <v>195</v>
      </c>
      <c r="C23" t="s">
        <v>72</v>
      </c>
      <c r="D23" t="s">
        <v>407</v>
      </c>
      <c r="E23" s="28">
        <v>688</v>
      </c>
      <c r="F23" s="13">
        <v>0.91503999999999996</v>
      </c>
      <c r="G23" s="14">
        <f t="shared" si="0"/>
        <v>7.9000000000000008E-3</v>
      </c>
      <c r="H23" s="14"/>
      <c r="I23" s="15" t="s">
        <v>322</v>
      </c>
      <c r="K23" s="14" t="s">
        <v>36</v>
      </c>
      <c r="L23" s="48">
        <f t="shared" si="1"/>
        <v>1.06E-2</v>
      </c>
    </row>
    <row r="24" spans="1:12" ht="12.75" customHeight="1" x14ac:dyDescent="0.2">
      <c r="A24">
        <f>+MAX($A$8:A23)+1</f>
        <v>16</v>
      </c>
      <c r="B24" t="s">
        <v>539</v>
      </c>
      <c r="C24" t="s">
        <v>540</v>
      </c>
      <c r="D24" t="s">
        <v>22</v>
      </c>
      <c r="E24" s="28">
        <v>207</v>
      </c>
      <c r="F24" s="13">
        <v>0.86639850000000007</v>
      </c>
      <c r="G24" s="14">
        <f t="shared" si="0"/>
        <v>7.4999999999999997E-3</v>
      </c>
      <c r="H24" s="14"/>
      <c r="I24" s="15" t="s">
        <v>322</v>
      </c>
      <c r="K24" s="14" t="s">
        <v>137</v>
      </c>
      <c r="L24" s="48">
        <f t="shared" si="1"/>
        <v>8.8999999999999999E-3</v>
      </c>
    </row>
    <row r="25" spans="1:12" ht="12.75" customHeight="1" x14ac:dyDescent="0.2">
      <c r="A25">
        <f>+MAX($A$8:A24)+1</f>
        <v>17</v>
      </c>
      <c r="B25" t="s">
        <v>358</v>
      </c>
      <c r="C25" t="s">
        <v>359</v>
      </c>
      <c r="D25" t="s">
        <v>360</v>
      </c>
      <c r="E25" s="28">
        <v>582</v>
      </c>
      <c r="F25" s="13">
        <v>0.85263</v>
      </c>
      <c r="G25" s="14">
        <f t="shared" si="0"/>
        <v>7.4000000000000003E-3</v>
      </c>
      <c r="H25" s="14"/>
      <c r="I25" s="15" t="s">
        <v>322</v>
      </c>
      <c r="K25" s="14" t="s">
        <v>407</v>
      </c>
      <c r="L25" s="48">
        <f t="shared" si="1"/>
        <v>7.9000000000000008E-3</v>
      </c>
    </row>
    <row r="26" spans="1:12" ht="12.75" customHeight="1" x14ac:dyDescent="0.2">
      <c r="A26">
        <f>+MAX($A$8:A25)+1</f>
        <v>18</v>
      </c>
      <c r="B26" t="s">
        <v>187</v>
      </c>
      <c r="C26" t="s">
        <v>46</v>
      </c>
      <c r="D26" t="s">
        <v>24</v>
      </c>
      <c r="E26" s="28">
        <v>13</v>
      </c>
      <c r="F26" s="13">
        <v>0.85048600000000008</v>
      </c>
      <c r="G26" s="14">
        <f t="shared" si="0"/>
        <v>7.4000000000000003E-3</v>
      </c>
      <c r="H26" s="14"/>
      <c r="I26" s="15" t="s">
        <v>322</v>
      </c>
      <c r="K26" s="14" t="s">
        <v>360</v>
      </c>
      <c r="L26" s="48">
        <f t="shared" si="1"/>
        <v>7.4000000000000003E-3</v>
      </c>
    </row>
    <row r="27" spans="1:12" ht="12.75" customHeight="1" x14ac:dyDescent="0.2">
      <c r="A27">
        <f>+MAX($A$8:A26)+1</f>
        <v>19</v>
      </c>
      <c r="B27" t="s">
        <v>468</v>
      </c>
      <c r="C27" t="s">
        <v>469</v>
      </c>
      <c r="D27" t="s">
        <v>24</v>
      </c>
      <c r="E27" s="28">
        <v>13</v>
      </c>
      <c r="F27" s="13">
        <v>0.84306949999999992</v>
      </c>
      <c r="G27" s="14">
        <f t="shared" si="0"/>
        <v>7.3000000000000001E-3</v>
      </c>
      <c r="H27" s="14"/>
      <c r="I27" s="15" t="s">
        <v>322</v>
      </c>
      <c r="K27" s="14" t="s">
        <v>43</v>
      </c>
      <c r="L27" s="48">
        <f t="shared" si="1"/>
        <v>5.8999999999999999E-3</v>
      </c>
    </row>
    <row r="28" spans="1:12" ht="12.75" customHeight="1" x14ac:dyDescent="0.2">
      <c r="A28">
        <f>+MAX($A$8:A27)+1</f>
        <v>20</v>
      </c>
      <c r="B28" t="s">
        <v>227</v>
      </c>
      <c r="C28" t="s">
        <v>111</v>
      </c>
      <c r="D28" t="s">
        <v>34</v>
      </c>
      <c r="E28" s="28">
        <v>521</v>
      </c>
      <c r="F28" s="13">
        <v>0.80676850000000011</v>
      </c>
      <c r="G28" s="14">
        <f t="shared" si="0"/>
        <v>7.0000000000000001E-3</v>
      </c>
      <c r="H28" s="14"/>
      <c r="I28" s="15" t="s">
        <v>322</v>
      </c>
      <c r="K28" s="14" t="s">
        <v>49</v>
      </c>
      <c r="L28" s="48">
        <f t="shared" si="1"/>
        <v>5.7999999999999996E-3</v>
      </c>
    </row>
    <row r="29" spans="1:12" ht="12.75" customHeight="1" x14ac:dyDescent="0.2">
      <c r="A29">
        <f>+MAX($A$8:A28)+1</f>
        <v>21</v>
      </c>
      <c r="B29" t="s">
        <v>276</v>
      </c>
      <c r="C29" t="s">
        <v>74</v>
      </c>
      <c r="D29" t="s">
        <v>36</v>
      </c>
      <c r="E29" s="28">
        <v>229</v>
      </c>
      <c r="F29" s="13">
        <v>0.77859999999999996</v>
      </c>
      <c r="G29" s="14">
        <f t="shared" si="0"/>
        <v>6.7999999999999996E-3</v>
      </c>
      <c r="H29" s="14"/>
      <c r="I29" s="15" t="s">
        <v>322</v>
      </c>
      <c r="K29" s="14" t="s">
        <v>35</v>
      </c>
      <c r="L29" s="48">
        <f t="shared" si="1"/>
        <v>3.3999999999999998E-3</v>
      </c>
    </row>
    <row r="30" spans="1:12" ht="12.75" customHeight="1" x14ac:dyDescent="0.2">
      <c r="A30">
        <f>+MAX($A$8:A29)+1</f>
        <v>22</v>
      </c>
      <c r="B30" t="s">
        <v>193</v>
      </c>
      <c r="C30" t="s">
        <v>47</v>
      </c>
      <c r="D30" t="s">
        <v>19</v>
      </c>
      <c r="E30" s="28">
        <v>8</v>
      </c>
      <c r="F30" s="13">
        <v>0.76164399999999999</v>
      </c>
      <c r="G30" s="14">
        <f t="shared" si="0"/>
        <v>6.6E-3</v>
      </c>
      <c r="H30" s="14"/>
      <c r="I30" s="15" t="s">
        <v>322</v>
      </c>
      <c r="K30" s="14" t="s">
        <v>41</v>
      </c>
      <c r="L30" s="48">
        <f t="shared" si="1"/>
        <v>3.3E-3</v>
      </c>
    </row>
    <row r="31" spans="1:12" ht="12.75" customHeight="1" x14ac:dyDescent="0.2">
      <c r="A31">
        <f>+MAX($A$8:A30)+1</f>
        <v>23</v>
      </c>
      <c r="B31" t="s">
        <v>196</v>
      </c>
      <c r="C31" t="s">
        <v>94</v>
      </c>
      <c r="D31" t="s">
        <v>9</v>
      </c>
      <c r="E31" s="28">
        <v>58</v>
      </c>
      <c r="F31" s="13">
        <v>0.75797300000000001</v>
      </c>
      <c r="G31" s="14">
        <f t="shared" si="0"/>
        <v>6.6E-3</v>
      </c>
      <c r="H31" s="14"/>
      <c r="I31" s="15" t="s">
        <v>322</v>
      </c>
      <c r="K31" s="14" t="s">
        <v>32</v>
      </c>
      <c r="L31" s="48">
        <f t="shared" si="1"/>
        <v>2.8999999999999998E-3</v>
      </c>
    </row>
    <row r="32" spans="1:12" ht="12.75" customHeight="1" x14ac:dyDescent="0.2">
      <c r="A32">
        <f>+MAX($A$8:A31)+1</f>
        <v>24</v>
      </c>
      <c r="B32" t="s">
        <v>252</v>
      </c>
      <c r="C32" t="s">
        <v>140</v>
      </c>
      <c r="D32" t="s">
        <v>39</v>
      </c>
      <c r="E32" s="28">
        <v>108</v>
      </c>
      <c r="F32" s="13">
        <v>0.70286399999999993</v>
      </c>
      <c r="G32" s="14">
        <f t="shared" si="0"/>
        <v>6.1000000000000004E-3</v>
      </c>
      <c r="H32" s="14"/>
      <c r="I32" s="15" t="s">
        <v>322</v>
      </c>
      <c r="K32" s="14" t="s">
        <v>30</v>
      </c>
      <c r="L32" s="48">
        <f t="shared" si="1"/>
        <v>2.8999999999999998E-3</v>
      </c>
    </row>
    <row r="33" spans="1:12" ht="12.75" customHeight="1" x14ac:dyDescent="0.2">
      <c r="A33">
        <f>+MAX($A$8:A32)+1</f>
        <v>25</v>
      </c>
      <c r="B33" t="s">
        <v>277</v>
      </c>
      <c r="C33" t="s">
        <v>65</v>
      </c>
      <c r="D33" t="s">
        <v>17</v>
      </c>
      <c r="E33" s="28">
        <v>582</v>
      </c>
      <c r="F33" s="13">
        <v>0.68123100000000003</v>
      </c>
      <c r="G33" s="14">
        <f t="shared" si="0"/>
        <v>5.8999999999999999E-3</v>
      </c>
      <c r="H33" s="14"/>
      <c r="I33" s="15" t="s">
        <v>322</v>
      </c>
      <c r="K33" s="14" t="s">
        <v>368</v>
      </c>
      <c r="L33" s="48">
        <f t="shared" si="1"/>
        <v>2E-3</v>
      </c>
    </row>
    <row r="34" spans="1:12" ht="12.75" customHeight="1" x14ac:dyDescent="0.2">
      <c r="A34">
        <f>+MAX($A$8:A33)+1</f>
        <v>26</v>
      </c>
      <c r="B34" t="s">
        <v>215</v>
      </c>
      <c r="C34" t="s">
        <v>664</v>
      </c>
      <c r="D34" t="s">
        <v>24</v>
      </c>
      <c r="E34" s="28">
        <v>114</v>
      </c>
      <c r="F34" s="13">
        <v>0.66923699999999997</v>
      </c>
      <c r="G34" s="14">
        <f t="shared" si="0"/>
        <v>5.7999999999999996E-3</v>
      </c>
      <c r="H34" s="14"/>
      <c r="I34" s="15" t="s">
        <v>322</v>
      </c>
      <c r="K34" s="14" t="s">
        <v>62</v>
      </c>
      <c r="L34" s="48">
        <f>+SUMIFS($G$5:$G$998,$B$5:$B$998,"CBLO / Reverse Repo")+SUMIFS($G$5:$G$998,$B$5:$B$998,"Net Receivable/Payable")</f>
        <v>5.6400000000000006E-2</v>
      </c>
    </row>
    <row r="35" spans="1:12" ht="12.75" customHeight="1" x14ac:dyDescent="0.2">
      <c r="A35">
        <f>+MAX($A$8:A34)+1</f>
        <v>27</v>
      </c>
      <c r="B35" t="s">
        <v>212</v>
      </c>
      <c r="C35" t="s">
        <v>76</v>
      </c>
      <c r="D35" t="s">
        <v>49</v>
      </c>
      <c r="E35" s="28">
        <v>254</v>
      </c>
      <c r="F35" s="13">
        <v>0.66319399999999995</v>
      </c>
      <c r="G35" s="14">
        <f t="shared" si="0"/>
        <v>5.7999999999999996E-3</v>
      </c>
      <c r="H35" s="14"/>
      <c r="I35" s="15" t="s">
        <v>322</v>
      </c>
      <c r="K35" s="14"/>
      <c r="L35" s="48"/>
    </row>
    <row r="36" spans="1:12" ht="12.75" customHeight="1" x14ac:dyDescent="0.2">
      <c r="A36">
        <f>+MAX($A$8:A35)+1</f>
        <v>28</v>
      </c>
      <c r="B36" t="s">
        <v>217</v>
      </c>
      <c r="C36" t="s">
        <v>96</v>
      </c>
      <c r="D36" t="s">
        <v>19</v>
      </c>
      <c r="E36" s="28">
        <v>70</v>
      </c>
      <c r="F36" s="13">
        <v>0.655165</v>
      </c>
      <c r="G36" s="14">
        <f t="shared" si="0"/>
        <v>5.7000000000000002E-3</v>
      </c>
      <c r="H36" s="14"/>
      <c r="I36" s="15" t="s">
        <v>322</v>
      </c>
      <c r="K36" s="14"/>
      <c r="L36" s="48"/>
    </row>
    <row r="37" spans="1:12" ht="12.75" customHeight="1" x14ac:dyDescent="0.2">
      <c r="A37">
        <f>+MAX($A$8:A36)+1</f>
        <v>29</v>
      </c>
      <c r="B37" t="s">
        <v>208</v>
      </c>
      <c r="C37" t="s">
        <v>64</v>
      </c>
      <c r="D37" t="s">
        <v>26</v>
      </c>
      <c r="E37" s="28">
        <v>175</v>
      </c>
      <c r="F37" s="13">
        <v>0.58231250000000001</v>
      </c>
      <c r="G37" s="14">
        <f t="shared" si="0"/>
        <v>5.0000000000000001E-3</v>
      </c>
      <c r="H37" s="14"/>
      <c r="I37" s="15" t="s">
        <v>322</v>
      </c>
      <c r="K37" s="14"/>
      <c r="L37" s="48"/>
    </row>
    <row r="38" spans="1:12" ht="12.75" customHeight="1" x14ac:dyDescent="0.2">
      <c r="A38">
        <f>+MAX($A$8:A37)+1</f>
        <v>30</v>
      </c>
      <c r="B38" t="s">
        <v>190</v>
      </c>
      <c r="C38" t="s">
        <v>50</v>
      </c>
      <c r="D38" t="s">
        <v>39</v>
      </c>
      <c r="E38" s="28">
        <v>668</v>
      </c>
      <c r="F38" s="13">
        <v>0.54508800000000002</v>
      </c>
      <c r="G38" s="14">
        <f t="shared" si="0"/>
        <v>4.7000000000000002E-3</v>
      </c>
      <c r="H38" s="14"/>
      <c r="I38" s="15" t="s">
        <v>322</v>
      </c>
      <c r="K38" s="14"/>
      <c r="L38" s="48"/>
    </row>
    <row r="39" spans="1:12" ht="12.75" customHeight="1" x14ac:dyDescent="0.2">
      <c r="A39">
        <f>+MAX($A$8:A38)+1</f>
        <v>31</v>
      </c>
      <c r="B39" t="s">
        <v>189</v>
      </c>
      <c r="C39" t="s">
        <v>48</v>
      </c>
      <c r="D39" t="s">
        <v>21</v>
      </c>
      <c r="E39" s="28">
        <v>7</v>
      </c>
      <c r="F39" s="13">
        <v>0.53667599999999993</v>
      </c>
      <c r="G39" s="14">
        <f t="shared" si="0"/>
        <v>4.7000000000000002E-3</v>
      </c>
      <c r="H39" s="14"/>
      <c r="I39" s="15" t="s">
        <v>322</v>
      </c>
      <c r="K39" s="14"/>
      <c r="L39" s="48"/>
    </row>
    <row r="40" spans="1:12" ht="12.75" customHeight="1" x14ac:dyDescent="0.2">
      <c r="A40">
        <f>+MAX($A$8:A39)+1</f>
        <v>32</v>
      </c>
      <c r="B40" t="s">
        <v>445</v>
      </c>
      <c r="C40" t="s">
        <v>395</v>
      </c>
      <c r="D40" t="s">
        <v>21</v>
      </c>
      <c r="E40" s="28">
        <v>200</v>
      </c>
      <c r="F40" s="13">
        <v>0.51829999999999998</v>
      </c>
      <c r="G40" s="14">
        <f t="shared" si="0"/>
        <v>4.4999999999999997E-3</v>
      </c>
      <c r="H40" s="14"/>
      <c r="I40" s="15" t="s">
        <v>322</v>
      </c>
      <c r="K40" s="14"/>
      <c r="L40" s="48"/>
    </row>
    <row r="41" spans="1:12" ht="12.75" customHeight="1" x14ac:dyDescent="0.2">
      <c r="A41">
        <f>+MAX($A$8:A40)+1</f>
        <v>33</v>
      </c>
      <c r="B41" t="s">
        <v>286</v>
      </c>
      <c r="C41" t="s">
        <v>287</v>
      </c>
      <c r="D41" t="s">
        <v>9</v>
      </c>
      <c r="E41" s="28">
        <v>286</v>
      </c>
      <c r="F41" s="13">
        <v>0.49163400000000002</v>
      </c>
      <c r="G41" s="14">
        <f t="shared" ref="G41:G71" si="2">+ROUND(F41/VLOOKUP("Grand Total",$B$4:$F$374,5,0),4)</f>
        <v>4.3E-3</v>
      </c>
      <c r="H41" s="14"/>
      <c r="I41" s="15" t="s">
        <v>322</v>
      </c>
      <c r="K41" s="14"/>
      <c r="L41" s="48"/>
    </row>
    <row r="42" spans="1:12" ht="12.75" customHeight="1" x14ac:dyDescent="0.2">
      <c r="A42">
        <f>+MAX($A$8:A41)+1</f>
        <v>34</v>
      </c>
      <c r="B42" t="s">
        <v>365</v>
      </c>
      <c r="C42" t="s">
        <v>66</v>
      </c>
      <c r="D42" t="s">
        <v>21</v>
      </c>
      <c r="E42" s="28">
        <v>85</v>
      </c>
      <c r="F42" s="13">
        <v>0.48322500000000002</v>
      </c>
      <c r="G42" s="14">
        <f t="shared" si="2"/>
        <v>4.1999999999999997E-3</v>
      </c>
      <c r="H42" s="14"/>
      <c r="I42" s="15" t="s">
        <v>322</v>
      </c>
      <c r="K42" s="14"/>
      <c r="L42" s="48"/>
    </row>
    <row r="43" spans="1:12" ht="12.75" customHeight="1" x14ac:dyDescent="0.2">
      <c r="A43">
        <f>+MAX($A$8:A42)+1</f>
        <v>35</v>
      </c>
      <c r="B43" t="s">
        <v>38</v>
      </c>
      <c r="C43" t="s">
        <v>40</v>
      </c>
      <c r="D43" t="s">
        <v>9</v>
      </c>
      <c r="E43" s="28">
        <v>307</v>
      </c>
      <c r="F43" s="13">
        <v>0.47078449999999999</v>
      </c>
      <c r="G43" s="14">
        <f t="shared" si="2"/>
        <v>4.1000000000000003E-3</v>
      </c>
      <c r="H43" s="14"/>
      <c r="I43" s="15" t="s">
        <v>322</v>
      </c>
      <c r="K43" s="14"/>
      <c r="L43" s="48"/>
    </row>
    <row r="44" spans="1:12" ht="12.75" customHeight="1" x14ac:dyDescent="0.2">
      <c r="A44">
        <f>+MAX($A$8:A43)+1</f>
        <v>36</v>
      </c>
      <c r="B44" t="s">
        <v>410</v>
      </c>
      <c r="C44" t="s">
        <v>411</v>
      </c>
      <c r="D44" t="s">
        <v>22</v>
      </c>
      <c r="E44" s="28">
        <v>34</v>
      </c>
      <c r="F44" s="13">
        <v>0.46993099999999999</v>
      </c>
      <c r="G44" s="14">
        <f t="shared" si="2"/>
        <v>4.1000000000000003E-3</v>
      </c>
      <c r="H44" s="14"/>
      <c r="I44" s="15" t="s">
        <v>322</v>
      </c>
      <c r="K44" s="14"/>
      <c r="L44" s="48"/>
    </row>
    <row r="45" spans="1:12" ht="12.75" customHeight="1" x14ac:dyDescent="0.2">
      <c r="A45">
        <f>+MAX($A$8:A44)+1</f>
        <v>37</v>
      </c>
      <c r="B45" t="s">
        <v>155</v>
      </c>
      <c r="C45" t="s">
        <v>166</v>
      </c>
      <c r="D45" t="s">
        <v>9</v>
      </c>
      <c r="E45" s="28">
        <v>163</v>
      </c>
      <c r="F45" s="13">
        <v>0.46373500000000001</v>
      </c>
      <c r="G45" s="14">
        <f t="shared" si="2"/>
        <v>4.0000000000000001E-3</v>
      </c>
      <c r="H45" s="14"/>
      <c r="I45" s="15" t="s">
        <v>322</v>
      </c>
      <c r="K45" s="14"/>
      <c r="L45" s="48"/>
    </row>
    <row r="46" spans="1:12" ht="12.75" customHeight="1" x14ac:dyDescent="0.2">
      <c r="A46">
        <f>+MAX($A$8:A45)+1</f>
        <v>38</v>
      </c>
      <c r="B46" t="s">
        <v>470</v>
      </c>
      <c r="C46" t="s">
        <v>471</v>
      </c>
      <c r="D46" t="s">
        <v>102</v>
      </c>
      <c r="E46" s="28">
        <v>596</v>
      </c>
      <c r="F46" s="13">
        <v>0.46189999999999998</v>
      </c>
      <c r="G46" s="14">
        <f t="shared" si="2"/>
        <v>4.0000000000000001E-3</v>
      </c>
      <c r="H46" s="14"/>
      <c r="I46" s="15" t="s">
        <v>322</v>
      </c>
      <c r="K46" s="14"/>
      <c r="L46" s="48"/>
    </row>
    <row r="47" spans="1:12" ht="12.75" customHeight="1" x14ac:dyDescent="0.2">
      <c r="A47">
        <f>+MAX($A$8:A46)+1</f>
        <v>39</v>
      </c>
      <c r="B47" t="s">
        <v>225</v>
      </c>
      <c r="C47" t="s">
        <v>108</v>
      </c>
      <c r="D47" t="s">
        <v>19</v>
      </c>
      <c r="E47" s="28">
        <v>14</v>
      </c>
      <c r="F47" s="13">
        <v>0.46122300000000005</v>
      </c>
      <c r="G47" s="14">
        <f t="shared" si="2"/>
        <v>4.0000000000000001E-3</v>
      </c>
      <c r="H47" s="14"/>
      <c r="I47" s="15" t="s">
        <v>322</v>
      </c>
      <c r="K47" s="14"/>
      <c r="L47" s="48"/>
    </row>
    <row r="48" spans="1:12" ht="12.75" customHeight="1" x14ac:dyDescent="0.2">
      <c r="A48">
        <f>+MAX($A$8:A47)+1</f>
        <v>40</v>
      </c>
      <c r="B48" t="s">
        <v>297</v>
      </c>
      <c r="C48" t="s">
        <v>298</v>
      </c>
      <c r="D48" t="s">
        <v>17</v>
      </c>
      <c r="E48" s="28">
        <v>59</v>
      </c>
      <c r="F48" s="13">
        <v>0.45816449999999997</v>
      </c>
      <c r="G48" s="14">
        <f t="shared" si="2"/>
        <v>4.0000000000000001E-3</v>
      </c>
      <c r="H48" s="14"/>
      <c r="I48" s="15" t="s">
        <v>322</v>
      </c>
      <c r="K48" s="14"/>
      <c r="L48" s="48"/>
    </row>
    <row r="49" spans="1:12" ht="12.75" customHeight="1" x14ac:dyDescent="0.2">
      <c r="A49">
        <f>+MAX($A$8:A48)+1</f>
        <v>41</v>
      </c>
      <c r="B49" t="s">
        <v>181</v>
      </c>
      <c r="C49" t="s">
        <v>23</v>
      </c>
      <c r="D49" t="s">
        <v>13</v>
      </c>
      <c r="E49" s="28">
        <v>47</v>
      </c>
      <c r="F49" s="13">
        <v>0.45359699999999997</v>
      </c>
      <c r="G49" s="14">
        <f t="shared" si="2"/>
        <v>3.8999999999999998E-3</v>
      </c>
      <c r="H49" s="14"/>
      <c r="I49" s="15" t="s">
        <v>322</v>
      </c>
      <c r="K49" s="14"/>
      <c r="L49" s="48"/>
    </row>
    <row r="50" spans="1:12" ht="12.75" customHeight="1" x14ac:dyDescent="0.2">
      <c r="A50">
        <f>+MAX($A$8:A49)+1</f>
        <v>42</v>
      </c>
      <c r="B50" t="s">
        <v>204</v>
      </c>
      <c r="C50" t="s">
        <v>61</v>
      </c>
      <c r="D50" t="s">
        <v>34</v>
      </c>
      <c r="E50" s="28">
        <v>121</v>
      </c>
      <c r="F50" s="13">
        <v>0.453266</v>
      </c>
      <c r="G50" s="14">
        <f t="shared" si="2"/>
        <v>3.8999999999999998E-3</v>
      </c>
      <c r="H50" s="14"/>
      <c r="I50" s="15" t="s">
        <v>322</v>
      </c>
      <c r="K50" s="14"/>
      <c r="L50" s="48"/>
    </row>
    <row r="51" spans="1:12" ht="12.75" customHeight="1" x14ac:dyDescent="0.2">
      <c r="A51">
        <f>+MAX($A$8:A50)+1</f>
        <v>43</v>
      </c>
      <c r="B51" t="s">
        <v>484</v>
      </c>
      <c r="C51" t="s">
        <v>485</v>
      </c>
      <c r="D51" t="s">
        <v>102</v>
      </c>
      <c r="E51" s="28">
        <v>548</v>
      </c>
      <c r="F51" s="13">
        <v>0.452374</v>
      </c>
      <c r="G51" s="14">
        <f t="shared" si="2"/>
        <v>3.8999999999999998E-3</v>
      </c>
      <c r="H51" s="14"/>
      <c r="I51" s="15" t="s">
        <v>322</v>
      </c>
      <c r="K51" s="14"/>
      <c r="L51" s="48"/>
    </row>
    <row r="52" spans="1:12" ht="12.75" customHeight="1" x14ac:dyDescent="0.2">
      <c r="A52">
        <f>+MAX($A$8:A51)+1</f>
        <v>44</v>
      </c>
      <c r="B52" t="s">
        <v>318</v>
      </c>
      <c r="C52" t="s">
        <v>319</v>
      </c>
      <c r="D52" t="s">
        <v>36</v>
      </c>
      <c r="E52" s="28">
        <v>615</v>
      </c>
      <c r="F52" s="13">
        <v>0.44372250000000002</v>
      </c>
      <c r="G52" s="14">
        <f t="shared" si="2"/>
        <v>3.8E-3</v>
      </c>
      <c r="H52" s="14"/>
      <c r="I52" s="15" t="s">
        <v>322</v>
      </c>
      <c r="K52" s="14"/>
      <c r="L52" s="48"/>
    </row>
    <row r="53" spans="1:12" ht="12.75" customHeight="1" x14ac:dyDescent="0.2">
      <c r="A53">
        <f>+MAX($A$8:A52)+1</f>
        <v>45</v>
      </c>
      <c r="B53" t="s">
        <v>481</v>
      </c>
      <c r="C53" t="s">
        <v>355</v>
      </c>
      <c r="D53" t="s">
        <v>9</v>
      </c>
      <c r="E53" s="28">
        <v>434</v>
      </c>
      <c r="F53" s="13">
        <v>0.43421699999999996</v>
      </c>
      <c r="G53" s="14">
        <f t="shared" si="2"/>
        <v>3.8E-3</v>
      </c>
      <c r="H53" s="14"/>
      <c r="I53" s="15" t="s">
        <v>322</v>
      </c>
      <c r="K53" s="14"/>
      <c r="L53" s="48"/>
    </row>
    <row r="54" spans="1:12" ht="12.75" customHeight="1" x14ac:dyDescent="0.2">
      <c r="A54">
        <f>+MAX($A$8:A53)+1</f>
        <v>46</v>
      </c>
      <c r="B54" t="s">
        <v>207</v>
      </c>
      <c r="C54" t="s">
        <v>68</v>
      </c>
      <c r="D54" t="s">
        <v>9</v>
      </c>
      <c r="E54" s="28">
        <v>474</v>
      </c>
      <c r="F54" s="13">
        <v>0.42186000000000001</v>
      </c>
      <c r="G54" s="14">
        <f t="shared" si="2"/>
        <v>3.7000000000000002E-3</v>
      </c>
      <c r="H54" s="14"/>
      <c r="I54" s="15" t="s">
        <v>322</v>
      </c>
      <c r="K54" s="14"/>
      <c r="L54" s="48"/>
    </row>
    <row r="55" spans="1:12" ht="12.75" customHeight="1" x14ac:dyDescent="0.2">
      <c r="A55">
        <f>+MAX($A$8:A54)+1</f>
        <v>47</v>
      </c>
      <c r="B55" t="s">
        <v>188</v>
      </c>
      <c r="C55" t="s">
        <v>51</v>
      </c>
      <c r="D55" t="s">
        <v>17</v>
      </c>
      <c r="E55" s="28">
        <v>10</v>
      </c>
      <c r="F55" s="13">
        <v>0.41937999999999998</v>
      </c>
      <c r="G55" s="14">
        <f t="shared" si="2"/>
        <v>3.5999999999999999E-3</v>
      </c>
      <c r="H55" s="14"/>
      <c r="I55" s="15" t="s">
        <v>322</v>
      </c>
      <c r="K55" s="14"/>
      <c r="L55" s="48"/>
    </row>
    <row r="56" spans="1:12" ht="12.75" customHeight="1" x14ac:dyDescent="0.2">
      <c r="A56">
        <f>+MAX($A$8:A55)+1</f>
        <v>48</v>
      </c>
      <c r="B56" t="s">
        <v>199</v>
      </c>
      <c r="C56" t="s">
        <v>59</v>
      </c>
      <c r="D56" t="s">
        <v>21</v>
      </c>
      <c r="E56" s="28">
        <v>70</v>
      </c>
      <c r="F56" s="13">
        <v>0.41408499999999998</v>
      </c>
      <c r="G56" s="14">
        <f t="shared" si="2"/>
        <v>3.5999999999999999E-3</v>
      </c>
      <c r="H56" s="14"/>
      <c r="I56" s="15" t="s">
        <v>322</v>
      </c>
      <c r="K56" s="14"/>
      <c r="L56" s="48"/>
    </row>
    <row r="57" spans="1:12" ht="12.75" customHeight="1" x14ac:dyDescent="0.2">
      <c r="A57">
        <f>+MAX($A$8:A56)+1</f>
        <v>49</v>
      </c>
      <c r="B57" t="s">
        <v>214</v>
      </c>
      <c r="C57" t="s">
        <v>78</v>
      </c>
      <c r="D57" t="s">
        <v>43</v>
      </c>
      <c r="E57" s="28">
        <v>145</v>
      </c>
      <c r="F57" s="13">
        <v>0.4060725</v>
      </c>
      <c r="G57" s="14">
        <f t="shared" si="2"/>
        <v>3.5000000000000001E-3</v>
      </c>
      <c r="H57" s="14"/>
      <c r="I57" s="15" t="s">
        <v>322</v>
      </c>
      <c r="K57" s="14"/>
      <c r="L57" s="48"/>
    </row>
    <row r="58" spans="1:12" ht="12.75" customHeight="1" x14ac:dyDescent="0.2">
      <c r="A58">
        <f>+MAX($A$8:A57)+1</f>
        <v>50</v>
      </c>
      <c r="B58" t="s">
        <v>183</v>
      </c>
      <c r="C58" t="s">
        <v>37</v>
      </c>
      <c r="D58" t="s">
        <v>19</v>
      </c>
      <c r="E58" s="28">
        <v>15</v>
      </c>
      <c r="F58" s="13">
        <v>0.40500750000000002</v>
      </c>
      <c r="G58" s="14">
        <f t="shared" si="2"/>
        <v>3.5000000000000001E-3</v>
      </c>
      <c r="H58" s="14"/>
      <c r="I58" s="15" t="s">
        <v>322</v>
      </c>
      <c r="K58" s="14"/>
      <c r="L58" s="48"/>
    </row>
    <row r="59" spans="1:12" ht="12.75" customHeight="1" x14ac:dyDescent="0.2">
      <c r="A59">
        <f>+MAX($A$8:A58)+1</f>
        <v>51</v>
      </c>
      <c r="B59" t="s">
        <v>510</v>
      </c>
      <c r="C59" t="s">
        <v>511</v>
      </c>
      <c r="D59" t="s">
        <v>35</v>
      </c>
      <c r="E59" s="28">
        <v>42</v>
      </c>
      <c r="F59" s="13">
        <v>0.39047399999999999</v>
      </c>
      <c r="G59" s="14">
        <f t="shared" si="2"/>
        <v>3.3999999999999998E-3</v>
      </c>
      <c r="H59" s="14"/>
      <c r="I59" s="15" t="s">
        <v>322</v>
      </c>
      <c r="K59" s="14"/>
      <c r="L59" s="48"/>
    </row>
    <row r="60" spans="1:12" ht="12.75" customHeight="1" x14ac:dyDescent="0.2">
      <c r="A60">
        <f>+MAX($A$8:A59)+1</f>
        <v>52</v>
      </c>
      <c r="B60" t="s">
        <v>201</v>
      </c>
      <c r="C60" t="s">
        <v>27</v>
      </c>
      <c r="D60" t="s">
        <v>9</v>
      </c>
      <c r="E60" s="28">
        <v>70</v>
      </c>
      <c r="F60" s="13">
        <v>0.38528000000000001</v>
      </c>
      <c r="G60" s="14">
        <f t="shared" si="2"/>
        <v>3.3E-3</v>
      </c>
      <c r="H60" s="14"/>
      <c r="I60" s="15" t="s">
        <v>322</v>
      </c>
      <c r="K60" s="14"/>
      <c r="L60" s="48"/>
    </row>
    <row r="61" spans="1:12" ht="12.75" customHeight="1" x14ac:dyDescent="0.2">
      <c r="A61">
        <f>+MAX($A$8:A60)+1</f>
        <v>53</v>
      </c>
      <c r="B61" t="s">
        <v>408</v>
      </c>
      <c r="C61" t="s">
        <v>409</v>
      </c>
      <c r="D61" t="s">
        <v>41</v>
      </c>
      <c r="E61" s="28">
        <v>45</v>
      </c>
      <c r="F61" s="13">
        <v>0.37622250000000002</v>
      </c>
      <c r="G61" s="14">
        <f t="shared" si="2"/>
        <v>3.3E-3</v>
      </c>
      <c r="H61" s="14"/>
      <c r="I61" s="15" t="s">
        <v>322</v>
      </c>
      <c r="K61" s="14"/>
      <c r="L61" s="48"/>
    </row>
    <row r="62" spans="1:12" ht="12.75" customHeight="1" x14ac:dyDescent="0.2">
      <c r="A62">
        <f>+MAX($A$8:A61)+1</f>
        <v>54</v>
      </c>
      <c r="B62" t="s">
        <v>450</v>
      </c>
      <c r="C62" t="s">
        <v>451</v>
      </c>
      <c r="D62" t="s">
        <v>9</v>
      </c>
      <c r="E62" s="28">
        <v>601</v>
      </c>
      <c r="F62" s="13">
        <v>0.37292050000000004</v>
      </c>
      <c r="G62" s="14">
        <f t="shared" si="2"/>
        <v>3.2000000000000002E-3</v>
      </c>
      <c r="H62" s="14"/>
      <c r="I62" s="15" t="s">
        <v>322</v>
      </c>
      <c r="K62" s="14"/>
      <c r="L62" s="48"/>
    </row>
    <row r="63" spans="1:12" ht="12.75" customHeight="1" x14ac:dyDescent="0.2">
      <c r="A63">
        <f>+MAX($A$8:A62)+1</f>
        <v>55</v>
      </c>
      <c r="B63" t="s">
        <v>198</v>
      </c>
      <c r="C63" t="s">
        <v>63</v>
      </c>
      <c r="D63" t="s">
        <v>32</v>
      </c>
      <c r="E63" s="28">
        <v>87</v>
      </c>
      <c r="F63" s="13">
        <v>0.33982199999999996</v>
      </c>
      <c r="G63" s="14">
        <f t="shared" si="2"/>
        <v>2.8999999999999998E-3</v>
      </c>
      <c r="H63" s="14"/>
      <c r="I63" s="15" t="s">
        <v>322</v>
      </c>
      <c r="K63" s="14"/>
      <c r="L63" s="48"/>
    </row>
    <row r="64" spans="1:12" ht="12.75" customHeight="1" x14ac:dyDescent="0.2">
      <c r="A64">
        <f>+MAX($A$8:A63)+1</f>
        <v>56</v>
      </c>
      <c r="B64" t="s">
        <v>516</v>
      </c>
      <c r="C64" t="s">
        <v>517</v>
      </c>
      <c r="D64" t="s">
        <v>30</v>
      </c>
      <c r="E64" s="28">
        <v>166</v>
      </c>
      <c r="F64" s="13">
        <v>0.338059</v>
      </c>
      <c r="G64" s="14">
        <f t="shared" si="2"/>
        <v>2.8999999999999998E-3</v>
      </c>
      <c r="H64" s="14"/>
      <c r="I64" s="15" t="s">
        <v>322</v>
      </c>
      <c r="K64" s="14"/>
      <c r="L64" s="48"/>
    </row>
    <row r="65" spans="1:13" ht="12.75" customHeight="1" x14ac:dyDescent="0.2">
      <c r="A65">
        <f>+MAX($A$8:A64)+1</f>
        <v>57</v>
      </c>
      <c r="B65" t="s">
        <v>446</v>
      </c>
      <c r="C65" t="s">
        <v>447</v>
      </c>
      <c r="D65" t="s">
        <v>127</v>
      </c>
      <c r="E65" s="28">
        <v>167</v>
      </c>
      <c r="F65" s="13">
        <v>0.32815499999999997</v>
      </c>
      <c r="G65" s="14">
        <f t="shared" si="2"/>
        <v>2.8E-3</v>
      </c>
      <c r="H65" s="14"/>
      <c r="I65" s="15" t="s">
        <v>322</v>
      </c>
      <c r="K65" s="14"/>
      <c r="L65" s="48"/>
    </row>
    <row r="66" spans="1:13" ht="12.75" customHeight="1" x14ac:dyDescent="0.2">
      <c r="A66">
        <f>+MAX($A$8:A65)+1</f>
        <v>58</v>
      </c>
      <c r="B66" t="s">
        <v>191</v>
      </c>
      <c r="C66" t="s">
        <v>31</v>
      </c>
      <c r="D66" t="s">
        <v>17</v>
      </c>
      <c r="E66" s="28">
        <v>38</v>
      </c>
      <c r="F66" s="13">
        <v>0.29191600000000001</v>
      </c>
      <c r="G66" s="14">
        <f t="shared" si="2"/>
        <v>2.5000000000000001E-3</v>
      </c>
      <c r="H66" s="14"/>
      <c r="I66" s="15" t="s">
        <v>322</v>
      </c>
      <c r="K66" s="14"/>
      <c r="L66" s="48"/>
    </row>
    <row r="67" spans="1:13" ht="12.75" customHeight="1" x14ac:dyDescent="0.2">
      <c r="A67">
        <f>+MAX($A$8:A66)+1</f>
        <v>59</v>
      </c>
      <c r="B67" t="s">
        <v>448</v>
      </c>
      <c r="C67" t="s">
        <v>449</v>
      </c>
      <c r="D67" t="s">
        <v>43</v>
      </c>
      <c r="E67" s="28">
        <v>456</v>
      </c>
      <c r="F67" s="13">
        <v>0.28066799999999997</v>
      </c>
      <c r="G67" s="14">
        <f t="shared" si="2"/>
        <v>2.3999999999999998E-3</v>
      </c>
      <c r="H67" s="14"/>
      <c r="I67" s="15" t="s">
        <v>322</v>
      </c>
      <c r="K67" s="14"/>
      <c r="L67" s="48"/>
    </row>
    <row r="68" spans="1:13" ht="12.75" customHeight="1" x14ac:dyDescent="0.2">
      <c r="A68">
        <f>+MAX($A$8:A67)+1</f>
        <v>60</v>
      </c>
      <c r="B68" t="s">
        <v>366</v>
      </c>
      <c r="C68" t="s">
        <v>367</v>
      </c>
      <c r="D68" t="s">
        <v>368</v>
      </c>
      <c r="E68" s="28">
        <v>138</v>
      </c>
      <c r="F68" s="13">
        <v>0.229494</v>
      </c>
      <c r="G68" s="14">
        <f t="shared" si="2"/>
        <v>2E-3</v>
      </c>
      <c r="H68" s="14"/>
      <c r="I68" s="15" t="s">
        <v>322</v>
      </c>
      <c r="K68" s="14"/>
      <c r="L68" s="48"/>
    </row>
    <row r="69" spans="1:13" ht="12.75" customHeight="1" x14ac:dyDescent="0.2">
      <c r="A69">
        <f>+MAX($A$8:A68)+1</f>
        <v>61</v>
      </c>
      <c r="B69" t="s">
        <v>482</v>
      </c>
      <c r="C69" t="s">
        <v>483</v>
      </c>
      <c r="D69" t="s">
        <v>9</v>
      </c>
      <c r="E69" s="28">
        <v>478</v>
      </c>
      <c r="F69" s="13">
        <v>0.216056</v>
      </c>
      <c r="G69" s="14">
        <f t="shared" si="2"/>
        <v>1.9E-3</v>
      </c>
      <c r="H69" s="14"/>
      <c r="I69" s="15" t="s">
        <v>322</v>
      </c>
      <c r="K69" s="14"/>
      <c r="L69" s="48"/>
    </row>
    <row r="70" spans="1:13" ht="12.75" customHeight="1" x14ac:dyDescent="0.2">
      <c r="A70">
        <f>+MAX($A$8:A69)+1</f>
        <v>62</v>
      </c>
      <c r="B70" t="s">
        <v>284</v>
      </c>
      <c r="C70" t="s">
        <v>70</v>
      </c>
      <c r="D70" t="s">
        <v>26</v>
      </c>
      <c r="E70" s="28">
        <v>964</v>
      </c>
      <c r="F70" s="13">
        <v>0.112788</v>
      </c>
      <c r="G70" s="14">
        <f t="shared" si="2"/>
        <v>1E-3</v>
      </c>
      <c r="H70" s="14"/>
      <c r="I70" s="15" t="s">
        <v>322</v>
      </c>
      <c r="K70" s="14"/>
      <c r="L70" s="48"/>
    </row>
    <row r="71" spans="1:13" ht="12.75" customHeight="1" x14ac:dyDescent="0.2">
      <c r="A71">
        <f>+MAX($A$8:A70)+1</f>
        <v>63</v>
      </c>
      <c r="B71" t="s">
        <v>203</v>
      </c>
      <c r="C71" t="s">
        <v>73</v>
      </c>
      <c r="D71" t="s">
        <v>34</v>
      </c>
      <c r="E71" s="28">
        <v>2658</v>
      </c>
      <c r="F71" s="13">
        <v>9.8346000000000003E-2</v>
      </c>
      <c r="G71" s="14">
        <f t="shared" si="2"/>
        <v>8.9999999999999998E-4</v>
      </c>
      <c r="H71" s="14"/>
      <c r="I71" s="15" t="s">
        <v>322</v>
      </c>
      <c r="K71" s="14"/>
      <c r="L71" s="48"/>
    </row>
    <row r="72" spans="1:13" ht="12.75" customHeight="1" x14ac:dyDescent="0.2">
      <c r="B72" s="18" t="s">
        <v>82</v>
      </c>
      <c r="C72" s="18"/>
      <c r="D72" s="18"/>
      <c r="E72" s="19">
        <f>SUM(E9:E71)</f>
        <v>18948</v>
      </c>
      <c r="F72" s="19">
        <f>SUM(F9:F71)</f>
        <v>45.23706649999999</v>
      </c>
      <c r="G72" s="20">
        <f>SUM(G9:G71)</f>
        <v>0.39210000000000017</v>
      </c>
      <c r="H72" s="20"/>
      <c r="I72" s="21"/>
      <c r="J72" s="35"/>
      <c r="M72" s="54" t="e">
        <f>+SUM(#REF!)</f>
        <v>#REF!</v>
      </c>
    </row>
    <row r="73" spans="1:13" ht="12.75" hidden="1" customHeight="1" x14ac:dyDescent="0.2">
      <c r="F73" s="13"/>
      <c r="G73" s="14"/>
      <c r="H73" s="14"/>
      <c r="I73" s="15"/>
    </row>
    <row r="74" spans="1:13" ht="12.75" hidden="1" customHeight="1" x14ac:dyDescent="0.2">
      <c r="B74" s="16" t="s">
        <v>90</v>
      </c>
      <c r="C74" s="16"/>
      <c r="F74" s="13"/>
      <c r="G74" s="14">
        <f>+ROUND(F74/VLOOKUP("Grand Total",$B$4:$F$370,5,0),4)</f>
        <v>0</v>
      </c>
      <c r="H74" s="14"/>
      <c r="I74" s="15"/>
    </row>
    <row r="75" spans="1:13" ht="12.75" hidden="1" customHeight="1" x14ac:dyDescent="0.2">
      <c r="B75" s="18" t="s">
        <v>82</v>
      </c>
      <c r="C75" s="18"/>
      <c r="D75" s="18"/>
      <c r="E75" s="29"/>
      <c r="F75" s="19">
        <f>SUM(F74:F74)</f>
        <v>0</v>
      </c>
      <c r="G75" s="20">
        <f>SUM(G74:G74)</f>
        <v>0</v>
      </c>
      <c r="H75" s="20"/>
      <c r="I75" s="21"/>
      <c r="J75" s="35"/>
    </row>
    <row r="76" spans="1:13" ht="12.75" customHeight="1" x14ac:dyDescent="0.2">
      <c r="F76" s="13"/>
      <c r="G76" s="14"/>
      <c r="H76" s="14"/>
      <c r="I76" s="15"/>
    </row>
    <row r="77" spans="1:13" ht="12.75" customHeight="1" x14ac:dyDescent="0.2">
      <c r="B77" s="16" t="s">
        <v>515</v>
      </c>
      <c r="C77" s="16"/>
      <c r="F77" s="13"/>
      <c r="G77" s="14"/>
      <c r="H77" s="14"/>
      <c r="I77" s="15"/>
    </row>
    <row r="78" spans="1:13" s="65" customFormat="1" ht="12.75" customHeight="1" x14ac:dyDescent="0.2">
      <c r="A78" s="65">
        <f>+MAX($A$8:A77)+1</f>
        <v>64</v>
      </c>
      <c r="B78" s="65" t="s">
        <v>213</v>
      </c>
      <c r="C78" s="65" t="s">
        <v>77</v>
      </c>
      <c r="D78" s="65" t="s">
        <v>28</v>
      </c>
      <c r="E78" s="74">
        <v>3150</v>
      </c>
      <c r="F78" s="75">
        <v>8.9711999999999996</v>
      </c>
      <c r="G78" s="76">
        <f>+ROUND(F78/VLOOKUP("Grand Total",$B$4:$F$374,5,0),4)</f>
        <v>7.7799999999999994E-2</v>
      </c>
      <c r="H78" s="76"/>
      <c r="I78" s="88" t="s">
        <v>322</v>
      </c>
      <c r="J78" s="73"/>
      <c r="K78" s="89"/>
      <c r="L78" s="102"/>
    </row>
    <row r="79" spans="1:13" s="65" customFormat="1" ht="12.75" customHeight="1" x14ac:dyDescent="0.2">
      <c r="A79" s="65">
        <f>+A78+1</f>
        <v>65</v>
      </c>
      <c r="B79" s="65" t="s">
        <v>213</v>
      </c>
      <c r="C79" s="120" t="s">
        <v>704</v>
      </c>
      <c r="D79" s="65" t="s">
        <v>288</v>
      </c>
      <c r="E79" s="74">
        <v>-3150</v>
      </c>
      <c r="F79" s="79">
        <v>-9.0168750000000006</v>
      </c>
      <c r="G79" s="76"/>
      <c r="H79" s="127">
        <f>+ROUND(F79/VLOOKUP("Grand Total",$B$4:$F$374,5,0),4)</f>
        <v>-7.8200000000000006E-2</v>
      </c>
      <c r="I79" s="88">
        <v>43342</v>
      </c>
      <c r="J79" s="73"/>
      <c r="K79" s="80"/>
      <c r="L79" s="124"/>
    </row>
    <row r="80" spans="1:13" s="65" customFormat="1" ht="12.75" customHeight="1" x14ac:dyDescent="0.2">
      <c r="A80" s="65">
        <f t="shared" ref="A80:A87" si="3">+A79+1</f>
        <v>66</v>
      </c>
      <c r="B80" s="65" t="s">
        <v>223</v>
      </c>
      <c r="C80" s="65" t="s">
        <v>107</v>
      </c>
      <c r="D80" s="65" t="s">
        <v>13</v>
      </c>
      <c r="E80" s="74">
        <v>2400</v>
      </c>
      <c r="F80" s="75">
        <v>6.6336000000000004</v>
      </c>
      <c r="G80" s="76">
        <f>+ROUND(F80/VLOOKUP("Grand Total",$B$4:$F$374,5,0),4)</f>
        <v>5.7500000000000002E-2</v>
      </c>
      <c r="H80" s="76"/>
      <c r="I80" s="88" t="s">
        <v>322</v>
      </c>
      <c r="J80" s="73"/>
      <c r="K80" s="89"/>
      <c r="L80" s="102"/>
    </row>
    <row r="81" spans="1:13" s="65" customFormat="1" ht="12.75" customHeight="1" x14ac:dyDescent="0.2">
      <c r="A81" s="65">
        <f t="shared" si="3"/>
        <v>67</v>
      </c>
      <c r="B81" s="65" t="s">
        <v>223</v>
      </c>
      <c r="C81" s="120" t="s">
        <v>704</v>
      </c>
      <c r="D81" s="65" t="s">
        <v>288</v>
      </c>
      <c r="E81" s="74">
        <v>-2400</v>
      </c>
      <c r="F81" s="79">
        <v>-6.6551999999999998</v>
      </c>
      <c r="G81" s="76"/>
      <c r="H81" s="127">
        <f>+ROUND(F81/VLOOKUP("Grand Total",$B$4:$F$374,5,0),4)</f>
        <v>-5.7700000000000001E-2</v>
      </c>
      <c r="I81" s="88">
        <v>43342</v>
      </c>
      <c r="J81" s="73"/>
      <c r="K81" s="80"/>
      <c r="L81" s="124"/>
    </row>
    <row r="82" spans="1:13" s="65" customFormat="1" ht="12.75" customHeight="1" x14ac:dyDescent="0.2">
      <c r="A82" s="65">
        <f t="shared" si="3"/>
        <v>68</v>
      </c>
      <c r="B82" s="65" t="s">
        <v>306</v>
      </c>
      <c r="C82" s="65" t="s">
        <v>307</v>
      </c>
      <c r="D82" s="65" t="s">
        <v>22</v>
      </c>
      <c r="E82" s="74">
        <v>500</v>
      </c>
      <c r="F82" s="75">
        <v>6.4852499999999997</v>
      </c>
      <c r="G82" s="76">
        <f>+ROUND(F82/VLOOKUP("Grand Total",$B$4:$F$374,5,0),4)</f>
        <v>5.62E-2</v>
      </c>
      <c r="H82" s="76"/>
      <c r="I82" s="88" t="s">
        <v>322</v>
      </c>
      <c r="J82" s="73"/>
      <c r="K82" s="89"/>
      <c r="L82" s="102"/>
    </row>
    <row r="83" spans="1:13" s="65" customFormat="1" ht="12.75" customHeight="1" x14ac:dyDescent="0.2">
      <c r="A83" s="65">
        <f t="shared" si="3"/>
        <v>69</v>
      </c>
      <c r="B83" s="65" t="s">
        <v>306</v>
      </c>
      <c r="C83" s="120" t="s">
        <v>704</v>
      </c>
      <c r="D83" s="65" t="s">
        <v>288</v>
      </c>
      <c r="E83" s="74">
        <v>-500</v>
      </c>
      <c r="F83" s="79">
        <v>-6.4695</v>
      </c>
      <c r="G83" s="76"/>
      <c r="H83" s="127">
        <f>+ROUND(F83/VLOOKUP("Grand Total",$B$4:$F$374,5,0),4)</f>
        <v>-5.6099999999999997E-2</v>
      </c>
      <c r="I83" s="88">
        <v>43342</v>
      </c>
      <c r="J83" s="73"/>
      <c r="K83" s="80"/>
      <c r="L83" s="124"/>
    </row>
    <row r="84" spans="1:13" s="65" customFormat="1" ht="12.75" customHeight="1" x14ac:dyDescent="0.2">
      <c r="A84" s="65">
        <f t="shared" si="3"/>
        <v>70</v>
      </c>
      <c r="B84" s="65" t="s">
        <v>233</v>
      </c>
      <c r="C84" s="65" t="s">
        <v>117</v>
      </c>
      <c r="D84" s="65" t="s">
        <v>102</v>
      </c>
      <c r="E84" s="74">
        <v>1061</v>
      </c>
      <c r="F84" s="75">
        <v>5.9739605000000005</v>
      </c>
      <c r="G84" s="76">
        <f>+ROUND(F84/VLOOKUP("Grand Total",$B$4:$F$374,5,0),4)</f>
        <v>5.1799999999999999E-2</v>
      </c>
      <c r="H84" s="76"/>
      <c r="I84" s="88" t="s">
        <v>322</v>
      </c>
      <c r="J84" s="73"/>
      <c r="K84" s="89"/>
      <c r="L84" s="102"/>
    </row>
    <row r="85" spans="1:13" s="65" customFormat="1" ht="12.75" customHeight="1" x14ac:dyDescent="0.2">
      <c r="A85" s="65">
        <f t="shared" si="3"/>
        <v>71</v>
      </c>
      <c r="B85" s="65" t="s">
        <v>233</v>
      </c>
      <c r="C85" s="120" t="s">
        <v>704</v>
      </c>
      <c r="D85" s="65" t="s">
        <v>288</v>
      </c>
      <c r="E85" s="74">
        <v>-1061</v>
      </c>
      <c r="F85" s="79">
        <v>-6.0036684999999999</v>
      </c>
      <c r="G85" s="76"/>
      <c r="H85" s="127">
        <f>+ROUND(F85/VLOOKUP("Grand Total",$B$4:$F$374,5,0),4)</f>
        <v>-5.21E-2</v>
      </c>
      <c r="I85" s="88">
        <v>43342</v>
      </c>
      <c r="J85" s="73"/>
      <c r="K85" s="80"/>
      <c r="L85" s="124"/>
    </row>
    <row r="86" spans="1:13" s="65" customFormat="1" ht="12.75" customHeight="1" x14ac:dyDescent="0.2">
      <c r="A86" s="65">
        <f t="shared" si="3"/>
        <v>72</v>
      </c>
      <c r="B86" s="65" t="s">
        <v>221</v>
      </c>
      <c r="C86" s="65" t="s">
        <v>105</v>
      </c>
      <c r="D86" s="65" t="s">
        <v>21</v>
      </c>
      <c r="E86" s="74">
        <v>250</v>
      </c>
      <c r="F86" s="75">
        <v>5.3194999999999997</v>
      </c>
      <c r="G86" s="76">
        <f>+ROUND(F86/VLOOKUP("Grand Total",$B$4:$F$374,5,0),4)</f>
        <v>4.6100000000000002E-2</v>
      </c>
      <c r="H86" s="76"/>
      <c r="I86" s="88" t="s">
        <v>322</v>
      </c>
      <c r="J86" s="73"/>
      <c r="K86" s="89"/>
      <c r="L86" s="102"/>
    </row>
    <row r="87" spans="1:13" s="65" customFormat="1" ht="12.75" customHeight="1" x14ac:dyDescent="0.2">
      <c r="A87" s="65">
        <f t="shared" si="3"/>
        <v>73</v>
      </c>
      <c r="B87" s="65" t="s">
        <v>221</v>
      </c>
      <c r="C87" s="120" t="s">
        <v>704</v>
      </c>
      <c r="D87" s="65" t="s">
        <v>288</v>
      </c>
      <c r="E87" s="74">
        <v>-250</v>
      </c>
      <c r="F87" s="79">
        <v>-5.3395000000000001</v>
      </c>
      <c r="G87" s="76"/>
      <c r="H87" s="127">
        <f>+ROUND(F87/VLOOKUP("Grand Total",$B$4:$F$374,5,0),4)</f>
        <v>-4.6300000000000001E-2</v>
      </c>
      <c r="I87" s="88">
        <v>43342</v>
      </c>
      <c r="J87" s="73"/>
      <c r="K87" s="80"/>
      <c r="L87" s="124"/>
    </row>
    <row r="88" spans="1:13" ht="12.75" customHeight="1" x14ac:dyDescent="0.2">
      <c r="B88" s="18" t="s">
        <v>82</v>
      </c>
      <c r="C88" s="18"/>
      <c r="D88" s="18"/>
      <c r="E88" s="29">
        <f>+E78+E80+E82+E84+E86</f>
        <v>7361</v>
      </c>
      <c r="F88" s="125">
        <f>+F78+F80+F82+F84+F86</f>
        <v>33.3835105</v>
      </c>
      <c r="G88" s="122">
        <f>+G78+G80+G82+G84+G86</f>
        <v>0.28939999999999999</v>
      </c>
      <c r="H88" s="123">
        <f>SUM(H79:H87)</f>
        <v>-0.29039999999999999</v>
      </c>
      <c r="I88" s="21"/>
      <c r="J88" s="35"/>
      <c r="M88" s="54">
        <f>+SUM($L$9:L85)</f>
        <v>1</v>
      </c>
    </row>
    <row r="89" spans="1:13" ht="12.75" customHeight="1" x14ac:dyDescent="0.2">
      <c r="F89" s="28"/>
      <c r="G89" s="28"/>
      <c r="H89" s="28"/>
      <c r="I89" s="15"/>
    </row>
    <row r="90" spans="1:13" ht="12.75" customHeight="1" x14ac:dyDescent="0.2">
      <c r="B90" s="16" t="s">
        <v>89</v>
      </c>
      <c r="C90" s="16"/>
      <c r="F90" s="13"/>
      <c r="G90" s="14"/>
      <c r="H90" s="14"/>
      <c r="I90" s="15"/>
    </row>
    <row r="91" spans="1:13" ht="12.75" customHeight="1" x14ac:dyDescent="0.2">
      <c r="A91">
        <f>+MAX($A$8:A90)+1</f>
        <v>74</v>
      </c>
      <c r="B91" t="s">
        <v>294</v>
      </c>
      <c r="C91" t="s">
        <v>270</v>
      </c>
      <c r="D91" t="s">
        <v>285</v>
      </c>
      <c r="E91" s="28">
        <v>791.92290000000003</v>
      </c>
      <c r="F91" s="13">
        <v>23.157821200000001</v>
      </c>
      <c r="G91" s="14">
        <f>+ROUND(F91/VLOOKUP("Grand Total",$B$4:$F$374,5,0),4)</f>
        <v>0.20080000000000001</v>
      </c>
      <c r="H91" s="14"/>
      <c r="I91" s="15" t="s">
        <v>322</v>
      </c>
      <c r="K91" s="17"/>
      <c r="L91" s="37"/>
    </row>
    <row r="92" spans="1:13" ht="12.75" customHeight="1" x14ac:dyDescent="0.2">
      <c r="A92">
        <f>+MAX($A$8:A91)+1</f>
        <v>75</v>
      </c>
      <c r="B92" t="s">
        <v>380</v>
      </c>
      <c r="C92" t="s">
        <v>308</v>
      </c>
      <c r="D92" t="s">
        <v>285</v>
      </c>
      <c r="E92" s="28">
        <v>409.19580000000002</v>
      </c>
      <c r="F92" s="13">
        <v>7.0667668999999993</v>
      </c>
      <c r="G92" s="14">
        <f>+ROUND(F92/VLOOKUP("Grand Total",$B$4:$F$374,5,0),4)</f>
        <v>6.13E-2</v>
      </c>
      <c r="H92" s="14"/>
      <c r="I92" s="15" t="s">
        <v>322</v>
      </c>
      <c r="K92" s="14"/>
      <c r="L92" s="48"/>
    </row>
    <row r="93" spans="1:13" ht="12.75" customHeight="1" x14ac:dyDescent="0.2">
      <c r="B93" s="18" t="s">
        <v>82</v>
      </c>
      <c r="C93" s="18"/>
      <c r="D93" s="18"/>
      <c r="E93" s="29"/>
      <c r="F93" s="19">
        <f>SUM(F91:F92)</f>
        <v>30.224588099999998</v>
      </c>
      <c r="G93" s="20">
        <f>SUM(G91:G92)</f>
        <v>0.2621</v>
      </c>
      <c r="H93" s="20"/>
      <c r="I93" s="21"/>
      <c r="J93" s="35"/>
      <c r="M93" s="54">
        <f>+SUM($L$9:L92)</f>
        <v>1</v>
      </c>
    </row>
    <row r="94" spans="1:13" ht="12.75" customHeight="1" x14ac:dyDescent="0.2">
      <c r="F94" s="13"/>
      <c r="G94" s="14"/>
      <c r="H94" s="14"/>
      <c r="I94" s="15"/>
    </row>
    <row r="95" spans="1:13" ht="12.75" customHeight="1" x14ac:dyDescent="0.2">
      <c r="B95" s="16" t="s">
        <v>91</v>
      </c>
      <c r="C95" s="16"/>
      <c r="F95" s="13"/>
      <c r="G95" s="14"/>
      <c r="H95" s="14"/>
      <c r="I95" s="15"/>
    </row>
    <row r="96" spans="1:13" ht="12.75" customHeight="1" x14ac:dyDescent="0.2">
      <c r="A96" s="94" t="s">
        <v>321</v>
      </c>
      <c r="B96" s="16" t="s">
        <v>658</v>
      </c>
      <c r="C96" s="16"/>
      <c r="F96" s="13">
        <v>2.6956199999999999</v>
      </c>
      <c r="G96" s="14">
        <f>+ROUND(F96/VLOOKUP("Grand Total",$B$4:$F$368,5,0),4)</f>
        <v>2.3400000000000001E-2</v>
      </c>
      <c r="H96" s="14"/>
      <c r="I96" s="15">
        <v>43313</v>
      </c>
    </row>
    <row r="97" spans="2:10" ht="12.75" customHeight="1" x14ac:dyDescent="0.2">
      <c r="B97" s="16" t="s">
        <v>92</v>
      </c>
      <c r="C97" s="16"/>
      <c r="F97" s="44">
        <f>+F99-SUMIF($B$5:B95,"Total",$F$5:F95)-VLOOKUP(B96,$B$7:F97,5,0)</f>
        <v>3.7735871999999713</v>
      </c>
      <c r="G97" s="14">
        <f>+ROUND(F97/VLOOKUP("Grand Total",$B$4:$F$374,5,0),4)+0.03%</f>
        <v>3.3000000000000002E-2</v>
      </c>
      <c r="H97" s="14"/>
      <c r="I97" s="15"/>
    </row>
    <row r="98" spans="2:10" ht="12.75" customHeight="1" x14ac:dyDescent="0.2">
      <c r="B98" s="18" t="s">
        <v>82</v>
      </c>
      <c r="C98" s="18"/>
      <c r="D98" s="18"/>
      <c r="E98" s="29"/>
      <c r="F98" s="50">
        <f>SUM(F96:F97)</f>
        <v>6.4692071999999712</v>
      </c>
      <c r="G98" s="20">
        <f>SUM(G96:G97)</f>
        <v>5.6400000000000006E-2</v>
      </c>
      <c r="H98" s="20"/>
      <c r="I98" s="21"/>
      <c r="J98" s="35"/>
    </row>
    <row r="99" spans="2:10" ht="12.75" customHeight="1" x14ac:dyDescent="0.2">
      <c r="B99" s="22" t="s">
        <v>93</v>
      </c>
      <c r="C99" s="22"/>
      <c r="D99" s="22"/>
      <c r="E99" s="30"/>
      <c r="F99" s="23">
        <v>115.31437229999997</v>
      </c>
      <c r="G99" s="24">
        <f>+SUMIF($B$5:B98,"Total",$G$5:G98)</f>
        <v>1.0000000000000002</v>
      </c>
      <c r="H99" s="24"/>
      <c r="I99" s="25"/>
      <c r="J99" s="35"/>
    </row>
    <row r="100" spans="2:10" ht="12.75" customHeight="1" x14ac:dyDescent="0.2"/>
    <row r="101" spans="2:10" ht="12.75" customHeight="1" x14ac:dyDescent="0.2">
      <c r="B101" s="16"/>
      <c r="C101" s="16"/>
    </row>
    <row r="102" spans="2:10" ht="12.75" customHeight="1" x14ac:dyDescent="0.2">
      <c r="B102" s="16"/>
      <c r="C102" s="16"/>
    </row>
    <row r="103" spans="2:10" ht="12.75" customHeight="1" x14ac:dyDescent="0.2">
      <c r="B103" s="16"/>
      <c r="C103" s="16"/>
    </row>
    <row r="104" spans="2:10" ht="12.75" customHeight="1" x14ac:dyDescent="0.2">
      <c r="B104" s="16"/>
      <c r="C104" s="16"/>
    </row>
    <row r="105" spans="2:10" ht="12.75" customHeight="1" x14ac:dyDescent="0.2">
      <c r="B105" s="16"/>
      <c r="C105" s="16"/>
    </row>
    <row r="106" spans="2:10" ht="12.75" customHeight="1" x14ac:dyDescent="0.2"/>
    <row r="107" spans="2:10" ht="12.75" customHeight="1" x14ac:dyDescent="0.2"/>
    <row r="108" spans="2:10" ht="12.75" customHeight="1" x14ac:dyDescent="0.2"/>
    <row r="109" spans="2:10" ht="12.75" customHeight="1" x14ac:dyDescent="0.2"/>
    <row r="110" spans="2:10" ht="12.75" customHeight="1" x14ac:dyDescent="0.2"/>
    <row r="111" spans="2:10" ht="12.75" customHeight="1" x14ac:dyDescent="0.2"/>
    <row r="112" spans="2:10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</sheetData>
  <sortState ref="K9:L34">
    <sortCondition descending="1" ref="L9:L34"/>
  </sortState>
  <mergeCells count="1">
    <mergeCell ref="B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M127"/>
  <sheetViews>
    <sheetView workbookViewId="0"/>
  </sheetViews>
  <sheetFormatPr defaultColWidth="9.140625" defaultRowHeight="12.75" x14ac:dyDescent="0.2"/>
  <cols>
    <col min="1" max="1" width="6.42578125" bestFit="1" customWidth="1"/>
    <col min="2" max="2" width="71.7109375" customWidth="1"/>
    <col min="3" max="3" width="14" bestFit="1" customWidth="1"/>
    <col min="4" max="4" width="42.5703125" bestFit="1" customWidth="1"/>
    <col min="5" max="5" width="10.7109375" style="28" customWidth="1"/>
    <col min="6" max="6" width="22.7109375" bestFit="1" customWidth="1"/>
    <col min="7" max="7" width="14" bestFit="1" customWidth="1"/>
    <col min="8" max="8" width="14" customWidth="1"/>
    <col min="9" max="9" width="11.85546875" bestFit="1" customWidth="1"/>
    <col min="10" max="10" width="15" style="33" customWidth="1"/>
    <col min="11" max="11" width="42.5703125" bestFit="1" customWidth="1"/>
    <col min="12" max="12" width="8.28515625" style="36" bestFit="1" customWidth="1"/>
  </cols>
  <sheetData>
    <row r="1" spans="1:12" ht="18.75" x14ac:dyDescent="0.2">
      <c r="A1" s="93" t="s">
        <v>341</v>
      </c>
      <c r="B1" s="129" t="s">
        <v>662</v>
      </c>
      <c r="C1" s="130"/>
      <c r="D1" s="130"/>
      <c r="E1" s="130"/>
      <c r="F1" s="130"/>
      <c r="G1" s="130"/>
      <c r="H1" s="130"/>
      <c r="I1" s="131"/>
    </row>
    <row r="2" spans="1:12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  <c r="I2" s="6"/>
    </row>
    <row r="3" spans="1:12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2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126" t="s">
        <v>705</v>
      </c>
      <c r="I4" s="32" t="s">
        <v>6</v>
      </c>
      <c r="J4" s="34"/>
    </row>
    <row r="5" spans="1:12" ht="12.75" customHeight="1" x14ac:dyDescent="0.2">
      <c r="F5" s="13"/>
      <c r="G5" s="14"/>
      <c r="H5" s="14"/>
      <c r="I5" s="15"/>
    </row>
    <row r="6" spans="1:12" ht="12.75" customHeight="1" x14ac:dyDescent="0.2">
      <c r="F6" s="13"/>
      <c r="G6" s="14"/>
      <c r="H6" s="14"/>
      <c r="I6" s="15"/>
    </row>
    <row r="7" spans="1:12" ht="12.75" customHeight="1" x14ac:dyDescent="0.2">
      <c r="B7" s="16" t="s">
        <v>8</v>
      </c>
      <c r="F7" s="13"/>
      <c r="G7" s="14"/>
      <c r="H7" s="14"/>
      <c r="I7" s="15"/>
    </row>
    <row r="8" spans="1:12" ht="12.75" customHeight="1" x14ac:dyDescent="0.2">
      <c r="B8" s="16" t="s">
        <v>356</v>
      </c>
      <c r="C8" s="16"/>
      <c r="F8" s="13"/>
      <c r="G8" s="14"/>
      <c r="H8" s="14"/>
      <c r="I8" s="15"/>
      <c r="K8" s="17" t="s">
        <v>509</v>
      </c>
      <c r="L8" s="37" t="s">
        <v>11</v>
      </c>
    </row>
    <row r="9" spans="1:12" ht="12.75" customHeight="1" x14ac:dyDescent="0.2">
      <c r="A9">
        <f>+MAX($A$8:A8)+1</f>
        <v>1</v>
      </c>
      <c r="B9" t="s">
        <v>176</v>
      </c>
      <c r="C9" t="s">
        <v>12</v>
      </c>
      <c r="D9" t="s">
        <v>9</v>
      </c>
      <c r="E9" s="28">
        <v>134</v>
      </c>
      <c r="F9" s="13">
        <v>2.9205299999999998</v>
      </c>
      <c r="G9" s="14">
        <f t="shared" ref="G9:G40" si="0">+ROUND(F9/VLOOKUP("Grand Total",$B$4:$F$375,5,0),4)</f>
        <v>1.23E-2</v>
      </c>
      <c r="H9" s="14"/>
      <c r="I9" s="15" t="s">
        <v>322</v>
      </c>
      <c r="K9" s="89" t="s">
        <v>285</v>
      </c>
      <c r="L9" s="48">
        <f t="shared" ref="L9:L34" si="1">SUMIFS($G$5:$G$402,$D$5:$D$402,K9)</f>
        <v>0.29270000000000002</v>
      </c>
    </row>
    <row r="10" spans="1:12" ht="12.75" customHeight="1" x14ac:dyDescent="0.2">
      <c r="A10">
        <f>+MAX($A$8:A9)+1</f>
        <v>2</v>
      </c>
      <c r="B10" t="s">
        <v>178</v>
      </c>
      <c r="C10" t="s">
        <v>29</v>
      </c>
      <c r="D10" t="s">
        <v>28</v>
      </c>
      <c r="E10" s="28">
        <v>219</v>
      </c>
      <c r="F10" s="13">
        <v>2.59734</v>
      </c>
      <c r="G10" s="14">
        <f t="shared" si="0"/>
        <v>1.09E-2</v>
      </c>
      <c r="H10" s="14"/>
      <c r="I10" s="15" t="s">
        <v>322</v>
      </c>
      <c r="K10" s="89" t="s">
        <v>22</v>
      </c>
      <c r="L10" s="48">
        <f t="shared" si="1"/>
        <v>0.19890000000000002</v>
      </c>
    </row>
    <row r="11" spans="1:12" ht="12.75" customHeight="1" x14ac:dyDescent="0.2">
      <c r="A11">
        <f>+MAX($A$8:A10)+1</f>
        <v>3</v>
      </c>
      <c r="B11" t="s">
        <v>185</v>
      </c>
      <c r="C11" t="s">
        <v>44</v>
      </c>
      <c r="D11" t="s">
        <v>24</v>
      </c>
      <c r="E11" s="28">
        <v>700</v>
      </c>
      <c r="F11" s="13">
        <v>2.0838999999999999</v>
      </c>
      <c r="G11" s="14">
        <f t="shared" si="0"/>
        <v>8.8000000000000005E-3</v>
      </c>
      <c r="H11" s="14"/>
      <c r="I11" s="15" t="s">
        <v>322</v>
      </c>
      <c r="K11" s="89" t="s">
        <v>13</v>
      </c>
      <c r="L11" s="48">
        <f t="shared" si="1"/>
        <v>0.1013</v>
      </c>
    </row>
    <row r="12" spans="1:12" ht="12.75" customHeight="1" x14ac:dyDescent="0.2">
      <c r="A12">
        <f>+MAX($A$8:A11)+1</f>
        <v>4</v>
      </c>
      <c r="B12" t="s">
        <v>200</v>
      </c>
      <c r="C12" t="s">
        <v>18</v>
      </c>
      <c r="D12" t="s">
        <v>13</v>
      </c>
      <c r="E12" s="28">
        <v>101</v>
      </c>
      <c r="F12" s="13">
        <v>1.9596020000000001</v>
      </c>
      <c r="G12" s="14">
        <f t="shared" si="0"/>
        <v>8.2000000000000007E-3</v>
      </c>
      <c r="H12" s="14"/>
      <c r="I12" s="15" t="s">
        <v>322</v>
      </c>
      <c r="K12" s="89" t="s">
        <v>28</v>
      </c>
      <c r="L12" s="48">
        <f t="shared" si="1"/>
        <v>8.6400000000000005E-2</v>
      </c>
    </row>
    <row r="13" spans="1:12" ht="12.75" customHeight="1" x14ac:dyDescent="0.2">
      <c r="A13">
        <f>+MAX($A$8:A12)+1</f>
        <v>5</v>
      </c>
      <c r="B13" t="s">
        <v>15</v>
      </c>
      <c r="C13" t="s">
        <v>16</v>
      </c>
      <c r="D13" t="s">
        <v>9</v>
      </c>
      <c r="E13" s="28">
        <v>635</v>
      </c>
      <c r="F13" s="13">
        <v>1.8637250000000001</v>
      </c>
      <c r="G13" s="14">
        <f t="shared" si="0"/>
        <v>7.7999999999999996E-3</v>
      </c>
      <c r="H13" s="14"/>
      <c r="I13" s="15" t="s">
        <v>322</v>
      </c>
      <c r="K13" s="89" t="s">
        <v>21</v>
      </c>
      <c r="L13" s="48">
        <f t="shared" si="1"/>
        <v>5.4599999999999996E-2</v>
      </c>
    </row>
    <row r="14" spans="1:12" ht="12.75" customHeight="1" x14ac:dyDescent="0.2">
      <c r="A14">
        <f>+MAX($A$8:A13)+1</f>
        <v>6</v>
      </c>
      <c r="B14" t="s">
        <v>179</v>
      </c>
      <c r="C14" t="s">
        <v>10</v>
      </c>
      <c r="D14" t="s">
        <v>9</v>
      </c>
      <c r="E14" s="28">
        <v>609</v>
      </c>
      <c r="F14" s="13">
        <v>1.8528825</v>
      </c>
      <c r="G14" s="14">
        <f t="shared" si="0"/>
        <v>7.7999999999999996E-3</v>
      </c>
      <c r="H14" s="14"/>
      <c r="I14" s="15" t="s">
        <v>322</v>
      </c>
      <c r="K14" s="89" t="s">
        <v>102</v>
      </c>
      <c r="L14" s="48">
        <f t="shared" si="1"/>
        <v>5.4199999999999998E-2</v>
      </c>
    </row>
    <row r="15" spans="1:12" ht="12.75" customHeight="1" x14ac:dyDescent="0.2">
      <c r="A15">
        <f>+MAX($A$8:A14)+1</f>
        <v>7</v>
      </c>
      <c r="B15" t="s">
        <v>177</v>
      </c>
      <c r="C15" t="s">
        <v>14</v>
      </c>
      <c r="D15" t="s">
        <v>13</v>
      </c>
      <c r="E15" s="28">
        <v>121</v>
      </c>
      <c r="F15" s="13">
        <v>1.6517710000000001</v>
      </c>
      <c r="G15" s="14">
        <f t="shared" si="0"/>
        <v>7.0000000000000001E-3</v>
      </c>
      <c r="H15" s="14"/>
      <c r="I15" s="15" t="s">
        <v>322</v>
      </c>
      <c r="K15" s="89" t="s">
        <v>9</v>
      </c>
      <c r="L15" s="48">
        <f t="shared" si="1"/>
        <v>4.7500000000000001E-2</v>
      </c>
    </row>
    <row r="16" spans="1:12" ht="12.75" customHeight="1" x14ac:dyDescent="0.2">
      <c r="A16">
        <f>+MAX($A$8:A15)+1</f>
        <v>8</v>
      </c>
      <c r="B16" t="s">
        <v>182</v>
      </c>
      <c r="C16" t="s">
        <v>25</v>
      </c>
      <c r="D16" t="s">
        <v>22</v>
      </c>
      <c r="E16" s="28">
        <v>77</v>
      </c>
      <c r="F16" s="13">
        <v>1.5360345000000002</v>
      </c>
      <c r="G16" s="14">
        <f t="shared" si="0"/>
        <v>6.4999999999999997E-3</v>
      </c>
      <c r="H16" s="14"/>
      <c r="I16" s="15" t="s">
        <v>322</v>
      </c>
      <c r="K16" s="89" t="s">
        <v>98</v>
      </c>
      <c r="L16" s="48">
        <f t="shared" si="1"/>
        <v>3.2500000000000001E-2</v>
      </c>
    </row>
    <row r="17" spans="1:12" ht="12.75" customHeight="1" x14ac:dyDescent="0.2">
      <c r="A17">
        <f>+MAX($A$8:A16)+1</f>
        <v>9</v>
      </c>
      <c r="B17" t="s">
        <v>209</v>
      </c>
      <c r="C17" t="s">
        <v>69</v>
      </c>
      <c r="D17" t="s">
        <v>26</v>
      </c>
      <c r="E17" s="28">
        <v>113</v>
      </c>
      <c r="F17" s="13">
        <v>1.4715989999999999</v>
      </c>
      <c r="G17" s="14">
        <f t="shared" si="0"/>
        <v>6.1999999999999998E-3</v>
      </c>
      <c r="H17" s="14"/>
      <c r="I17" s="15" t="s">
        <v>322</v>
      </c>
      <c r="K17" s="89" t="s">
        <v>24</v>
      </c>
      <c r="L17" s="48">
        <f t="shared" si="1"/>
        <v>2.9700000000000001E-2</v>
      </c>
    </row>
    <row r="18" spans="1:12" ht="12.75" customHeight="1" x14ac:dyDescent="0.2">
      <c r="A18">
        <f>+MAX($A$8:A17)+1</f>
        <v>10</v>
      </c>
      <c r="B18" t="s">
        <v>304</v>
      </c>
      <c r="C18" t="s">
        <v>538</v>
      </c>
      <c r="D18" t="s">
        <v>127</v>
      </c>
      <c r="E18" s="28">
        <v>469</v>
      </c>
      <c r="F18" s="13">
        <v>1.1964189999999999</v>
      </c>
      <c r="G18" s="14">
        <f t="shared" si="0"/>
        <v>5.0000000000000001E-3</v>
      </c>
      <c r="H18" s="14"/>
      <c r="I18" s="15" t="s">
        <v>322</v>
      </c>
      <c r="K18" s="89" t="s">
        <v>19</v>
      </c>
      <c r="L18" s="48">
        <f t="shared" si="1"/>
        <v>1.14E-2</v>
      </c>
    </row>
    <row r="19" spans="1:12" ht="12.75" customHeight="1" x14ac:dyDescent="0.2">
      <c r="A19">
        <f>+MAX($A$8:A18)+1</f>
        <v>11</v>
      </c>
      <c r="B19" t="s">
        <v>282</v>
      </c>
      <c r="C19" t="s">
        <v>283</v>
      </c>
      <c r="D19" t="s">
        <v>137</v>
      </c>
      <c r="E19" s="28">
        <v>192</v>
      </c>
      <c r="F19" s="13">
        <v>1.1759039999999998</v>
      </c>
      <c r="G19" s="14">
        <f t="shared" si="0"/>
        <v>4.8999999999999998E-3</v>
      </c>
      <c r="H19" s="14"/>
      <c r="I19" s="15" t="s">
        <v>322</v>
      </c>
      <c r="K19" s="89" t="s">
        <v>34</v>
      </c>
      <c r="L19" s="48">
        <f t="shared" si="1"/>
        <v>1.09E-2</v>
      </c>
    </row>
    <row r="20" spans="1:12" ht="12.75" customHeight="1" x14ac:dyDescent="0.2">
      <c r="A20">
        <f>+MAX($A$8:A19)+1</f>
        <v>12</v>
      </c>
      <c r="B20" t="s">
        <v>345</v>
      </c>
      <c r="C20" t="s">
        <v>344</v>
      </c>
      <c r="D20" t="s">
        <v>24</v>
      </c>
      <c r="E20" s="28">
        <v>269</v>
      </c>
      <c r="F20" s="13">
        <v>1.1339695000000001</v>
      </c>
      <c r="G20" s="14">
        <f t="shared" si="0"/>
        <v>4.7999999999999996E-3</v>
      </c>
      <c r="H20" s="14"/>
      <c r="I20" s="15" t="s">
        <v>322</v>
      </c>
      <c r="K20" s="89" t="s">
        <v>26</v>
      </c>
      <c r="L20" s="48">
        <f t="shared" si="1"/>
        <v>9.4999999999999998E-3</v>
      </c>
    </row>
    <row r="21" spans="1:12" ht="12.75" customHeight="1" x14ac:dyDescent="0.2">
      <c r="A21">
        <f>+MAX($A$8:A20)+1</f>
        <v>13</v>
      </c>
      <c r="B21" t="s">
        <v>275</v>
      </c>
      <c r="C21" t="s">
        <v>55</v>
      </c>
      <c r="D21" t="s">
        <v>24</v>
      </c>
      <c r="E21" s="28">
        <v>70</v>
      </c>
      <c r="F21" s="13">
        <v>1.0913349999999999</v>
      </c>
      <c r="G21" s="14">
        <f t="shared" si="0"/>
        <v>4.5999999999999999E-3</v>
      </c>
      <c r="H21" s="14"/>
      <c r="I21" s="15" t="s">
        <v>322</v>
      </c>
      <c r="K21" s="89" t="s">
        <v>17</v>
      </c>
      <c r="L21" s="48">
        <f t="shared" si="1"/>
        <v>8.7999999999999988E-3</v>
      </c>
    </row>
    <row r="22" spans="1:12" ht="12.75" customHeight="1" x14ac:dyDescent="0.2">
      <c r="A22">
        <f>+MAX($A$8:A21)+1</f>
        <v>14</v>
      </c>
      <c r="B22" t="s">
        <v>195</v>
      </c>
      <c r="C22" t="s">
        <v>72</v>
      </c>
      <c r="D22" t="s">
        <v>407</v>
      </c>
      <c r="E22" s="28">
        <v>787</v>
      </c>
      <c r="F22" s="13">
        <v>1.04671</v>
      </c>
      <c r="G22" s="14">
        <f t="shared" si="0"/>
        <v>4.4000000000000003E-3</v>
      </c>
      <c r="H22" s="14"/>
      <c r="I22" s="15" t="s">
        <v>322</v>
      </c>
      <c r="K22" s="89" t="s">
        <v>127</v>
      </c>
      <c r="L22" s="48">
        <f t="shared" si="1"/>
        <v>6.6E-3</v>
      </c>
    </row>
    <row r="23" spans="1:12" ht="12.75" customHeight="1" x14ac:dyDescent="0.2">
      <c r="A23">
        <f>+MAX($A$8:A22)+1</f>
        <v>15</v>
      </c>
      <c r="B23" t="s">
        <v>466</v>
      </c>
      <c r="C23" t="s">
        <v>467</v>
      </c>
      <c r="D23" t="s">
        <v>34</v>
      </c>
      <c r="E23" s="28">
        <v>1397</v>
      </c>
      <c r="F23" s="13">
        <v>1.0414635000000001</v>
      </c>
      <c r="G23" s="14">
        <f t="shared" si="0"/>
        <v>4.4000000000000003E-3</v>
      </c>
      <c r="H23" s="14"/>
      <c r="I23" s="15" t="s">
        <v>322</v>
      </c>
      <c r="K23" s="89" t="s">
        <v>39</v>
      </c>
      <c r="L23" s="48">
        <f t="shared" si="1"/>
        <v>6.0999999999999995E-3</v>
      </c>
    </row>
    <row r="24" spans="1:12" ht="12.75" customHeight="1" x14ac:dyDescent="0.2">
      <c r="A24">
        <f>+MAX($A$8:A23)+1</f>
        <v>16</v>
      </c>
      <c r="B24" t="s">
        <v>539</v>
      </c>
      <c r="C24" t="s">
        <v>540</v>
      </c>
      <c r="D24" t="s">
        <v>22</v>
      </c>
      <c r="E24" s="28">
        <v>243</v>
      </c>
      <c r="F24" s="13">
        <v>1.0170764999999999</v>
      </c>
      <c r="G24" s="14">
        <f t="shared" si="0"/>
        <v>4.3E-3</v>
      </c>
      <c r="H24" s="14"/>
      <c r="I24" s="15" t="s">
        <v>322</v>
      </c>
      <c r="K24" s="89" t="s">
        <v>36</v>
      </c>
      <c r="L24" s="48">
        <f t="shared" si="1"/>
        <v>5.8999999999999999E-3</v>
      </c>
    </row>
    <row r="25" spans="1:12" ht="12.75" customHeight="1" x14ac:dyDescent="0.2">
      <c r="A25">
        <f>+MAX($A$8:A24)+1</f>
        <v>17</v>
      </c>
      <c r="B25" t="s">
        <v>358</v>
      </c>
      <c r="C25" t="s">
        <v>359</v>
      </c>
      <c r="D25" t="s">
        <v>360</v>
      </c>
      <c r="E25" s="28">
        <v>679</v>
      </c>
      <c r="F25" s="13">
        <v>0.99473500000000004</v>
      </c>
      <c r="G25" s="14">
        <f t="shared" si="0"/>
        <v>4.1999999999999997E-3</v>
      </c>
      <c r="H25" s="14"/>
      <c r="I25" s="15" t="s">
        <v>322</v>
      </c>
      <c r="K25" s="89" t="s">
        <v>137</v>
      </c>
      <c r="L25" s="48">
        <f t="shared" si="1"/>
        <v>4.8999999999999998E-3</v>
      </c>
    </row>
    <row r="26" spans="1:12" ht="12.75" customHeight="1" x14ac:dyDescent="0.2">
      <c r="A26">
        <f>+MAX($A$8:A25)+1</f>
        <v>18</v>
      </c>
      <c r="B26" t="s">
        <v>187</v>
      </c>
      <c r="C26" t="s">
        <v>46</v>
      </c>
      <c r="D26" t="s">
        <v>24</v>
      </c>
      <c r="E26" s="28">
        <v>15</v>
      </c>
      <c r="F26" s="13">
        <v>0.98133000000000004</v>
      </c>
      <c r="G26" s="14">
        <f t="shared" si="0"/>
        <v>4.1000000000000003E-3</v>
      </c>
      <c r="H26" s="14"/>
      <c r="I26" s="15" t="s">
        <v>322</v>
      </c>
      <c r="K26" s="89" t="s">
        <v>407</v>
      </c>
      <c r="L26" s="48">
        <f t="shared" si="1"/>
        <v>4.4000000000000003E-3</v>
      </c>
    </row>
    <row r="27" spans="1:12" ht="12.75" customHeight="1" x14ac:dyDescent="0.2">
      <c r="A27">
        <f>+MAX($A$8:A26)+1</f>
        <v>19</v>
      </c>
      <c r="B27" t="s">
        <v>468</v>
      </c>
      <c r="C27" t="s">
        <v>469</v>
      </c>
      <c r="D27" t="s">
        <v>24</v>
      </c>
      <c r="E27" s="28">
        <v>15</v>
      </c>
      <c r="F27" s="13">
        <v>0.97277250000000004</v>
      </c>
      <c r="G27" s="14">
        <f t="shared" si="0"/>
        <v>4.1000000000000003E-3</v>
      </c>
      <c r="H27" s="14"/>
      <c r="I27" s="15" t="s">
        <v>322</v>
      </c>
      <c r="K27" s="89" t="s">
        <v>360</v>
      </c>
      <c r="L27" s="48">
        <f t="shared" si="1"/>
        <v>4.1999999999999997E-3</v>
      </c>
    </row>
    <row r="28" spans="1:12" ht="12.75" customHeight="1" x14ac:dyDescent="0.2">
      <c r="A28">
        <f>+MAX($A$8:A27)+1</f>
        <v>20</v>
      </c>
      <c r="B28" t="s">
        <v>193</v>
      </c>
      <c r="C28" t="s">
        <v>47</v>
      </c>
      <c r="D28" t="s">
        <v>19</v>
      </c>
      <c r="E28" s="28">
        <v>10</v>
      </c>
      <c r="F28" s="13">
        <v>0.95205499999999998</v>
      </c>
      <c r="G28" s="14">
        <f t="shared" si="0"/>
        <v>4.0000000000000001E-3</v>
      </c>
      <c r="H28" s="14"/>
      <c r="I28" s="15" t="s">
        <v>322</v>
      </c>
      <c r="K28" s="89" t="s">
        <v>49</v>
      </c>
      <c r="L28" s="48">
        <f t="shared" si="1"/>
        <v>3.3E-3</v>
      </c>
    </row>
    <row r="29" spans="1:12" ht="12.75" customHeight="1" x14ac:dyDescent="0.2">
      <c r="A29">
        <f>+MAX($A$8:A28)+1</f>
        <v>21</v>
      </c>
      <c r="B29" t="s">
        <v>227</v>
      </c>
      <c r="C29" t="s">
        <v>111</v>
      </c>
      <c r="D29" t="s">
        <v>34</v>
      </c>
      <c r="E29" s="28">
        <v>606</v>
      </c>
      <c r="F29" s="13">
        <v>0.93839100000000009</v>
      </c>
      <c r="G29" s="14">
        <f t="shared" si="0"/>
        <v>3.8999999999999998E-3</v>
      </c>
      <c r="H29" s="14"/>
      <c r="I29" s="15" t="s">
        <v>322</v>
      </c>
      <c r="K29" s="89" t="s">
        <v>43</v>
      </c>
      <c r="L29" s="48">
        <f t="shared" si="1"/>
        <v>3.3E-3</v>
      </c>
    </row>
    <row r="30" spans="1:12" ht="12.75" customHeight="1" x14ac:dyDescent="0.2">
      <c r="A30">
        <f>+MAX($A$8:A29)+1</f>
        <v>22</v>
      </c>
      <c r="B30" t="s">
        <v>276</v>
      </c>
      <c r="C30" t="s">
        <v>74</v>
      </c>
      <c r="D30" t="s">
        <v>36</v>
      </c>
      <c r="E30" s="28">
        <v>263</v>
      </c>
      <c r="F30" s="13">
        <v>0.89419999999999999</v>
      </c>
      <c r="G30" s="14">
        <f t="shared" si="0"/>
        <v>3.8E-3</v>
      </c>
      <c r="H30" s="14"/>
      <c r="I30" s="15" t="s">
        <v>322</v>
      </c>
      <c r="K30" s="14" t="s">
        <v>35</v>
      </c>
      <c r="L30" s="48">
        <f t="shared" si="1"/>
        <v>1.9E-3</v>
      </c>
    </row>
    <row r="31" spans="1:12" ht="12.75" customHeight="1" x14ac:dyDescent="0.2">
      <c r="A31">
        <f>+MAX($A$8:A30)+1</f>
        <v>23</v>
      </c>
      <c r="B31" t="s">
        <v>196</v>
      </c>
      <c r="C31" t="s">
        <v>94</v>
      </c>
      <c r="D31" t="s">
        <v>9</v>
      </c>
      <c r="E31" s="28">
        <v>68</v>
      </c>
      <c r="F31" s="13">
        <v>0.88865800000000006</v>
      </c>
      <c r="G31" s="14">
        <f t="shared" si="0"/>
        <v>3.7000000000000002E-3</v>
      </c>
      <c r="H31" s="14"/>
      <c r="I31" s="15" t="s">
        <v>322</v>
      </c>
      <c r="K31" s="14" t="s">
        <v>41</v>
      </c>
      <c r="L31" s="48">
        <f t="shared" si="1"/>
        <v>1.8E-3</v>
      </c>
    </row>
    <row r="32" spans="1:12" ht="12.75" customHeight="1" x14ac:dyDescent="0.2">
      <c r="A32">
        <f>+MAX($A$8:A31)+1</f>
        <v>24</v>
      </c>
      <c r="B32" t="s">
        <v>252</v>
      </c>
      <c r="C32" t="s">
        <v>140</v>
      </c>
      <c r="D32" t="s">
        <v>39</v>
      </c>
      <c r="E32" s="28">
        <v>125</v>
      </c>
      <c r="F32" s="13">
        <v>0.8135</v>
      </c>
      <c r="G32" s="14">
        <f t="shared" si="0"/>
        <v>3.3999999999999998E-3</v>
      </c>
      <c r="H32" s="14"/>
      <c r="I32" s="15" t="s">
        <v>322</v>
      </c>
      <c r="K32" s="89" t="s">
        <v>30</v>
      </c>
      <c r="L32" s="48">
        <f t="shared" si="1"/>
        <v>1.6000000000000001E-3</v>
      </c>
    </row>
    <row r="33" spans="1:12" ht="12.75" customHeight="1" x14ac:dyDescent="0.2">
      <c r="A33">
        <f>+MAX($A$8:A32)+1</f>
        <v>25</v>
      </c>
      <c r="B33" t="s">
        <v>215</v>
      </c>
      <c r="C33" t="s">
        <v>664</v>
      </c>
      <c r="D33" t="s">
        <v>24</v>
      </c>
      <c r="E33" s="28">
        <v>134</v>
      </c>
      <c r="F33" s="13">
        <v>0.78664699999999999</v>
      </c>
      <c r="G33" s="14">
        <f t="shared" si="0"/>
        <v>3.3E-3</v>
      </c>
      <c r="H33" s="14"/>
      <c r="I33" s="15" t="s">
        <v>322</v>
      </c>
      <c r="K33" s="89" t="s">
        <v>32</v>
      </c>
      <c r="L33" s="48">
        <f t="shared" si="1"/>
        <v>1.6000000000000001E-3</v>
      </c>
    </row>
    <row r="34" spans="1:12" ht="12.75" customHeight="1" x14ac:dyDescent="0.2">
      <c r="A34">
        <f>+MAX($A$8:A33)+1</f>
        <v>26</v>
      </c>
      <c r="B34" t="s">
        <v>277</v>
      </c>
      <c r="C34" t="s">
        <v>65</v>
      </c>
      <c r="D34" t="s">
        <v>17</v>
      </c>
      <c r="E34" s="28">
        <v>666</v>
      </c>
      <c r="F34" s="13">
        <v>0.77955300000000005</v>
      </c>
      <c r="G34" s="14">
        <f t="shared" si="0"/>
        <v>3.3E-3</v>
      </c>
      <c r="H34" s="14"/>
      <c r="I34" s="15" t="s">
        <v>322</v>
      </c>
      <c r="K34" s="89" t="s">
        <v>368</v>
      </c>
      <c r="L34" s="48">
        <f t="shared" si="1"/>
        <v>1.1000000000000001E-3</v>
      </c>
    </row>
    <row r="35" spans="1:12" ht="12.75" customHeight="1" x14ac:dyDescent="0.2">
      <c r="A35">
        <f>+MAX($A$8:A34)+1</f>
        <v>27</v>
      </c>
      <c r="B35" t="s">
        <v>217</v>
      </c>
      <c r="C35" t="s">
        <v>96</v>
      </c>
      <c r="D35" t="s">
        <v>19</v>
      </c>
      <c r="E35" s="28">
        <v>83</v>
      </c>
      <c r="F35" s="13">
        <v>0.7768385000000001</v>
      </c>
      <c r="G35" s="14">
        <f t="shared" si="0"/>
        <v>3.3E-3</v>
      </c>
      <c r="H35" s="14"/>
      <c r="I35" s="15" t="s">
        <v>322</v>
      </c>
      <c r="K35" s="14" t="s">
        <v>62</v>
      </c>
      <c r="L35" s="48">
        <f>+SUMIFS($G$5:$G$998,$B$5:$B$998,"CBLO / Reverse Repo")+SUMIFS($G$5:$G$998,$B$5:$B$998,"Net Receivable/Payable")</f>
        <v>1.4899999999999998E-2</v>
      </c>
    </row>
    <row r="36" spans="1:12" ht="12.75" customHeight="1" x14ac:dyDescent="0.2">
      <c r="A36">
        <f>+MAX($A$8:A35)+1</f>
        <v>28</v>
      </c>
      <c r="B36" t="s">
        <v>212</v>
      </c>
      <c r="C36" t="s">
        <v>76</v>
      </c>
      <c r="D36" t="s">
        <v>49</v>
      </c>
      <c r="E36" s="28">
        <v>296</v>
      </c>
      <c r="F36" s="13">
        <v>0.7728560000000001</v>
      </c>
      <c r="G36" s="14">
        <f t="shared" si="0"/>
        <v>3.3E-3</v>
      </c>
      <c r="H36" s="14"/>
      <c r="I36" s="15" t="s">
        <v>322</v>
      </c>
      <c r="K36" s="89"/>
      <c r="L36" s="48"/>
    </row>
    <row r="37" spans="1:12" ht="12.75" customHeight="1" x14ac:dyDescent="0.2">
      <c r="A37">
        <f>+MAX($A$8:A36)+1</f>
        <v>29</v>
      </c>
      <c r="B37" t="s">
        <v>189</v>
      </c>
      <c r="C37" t="s">
        <v>48</v>
      </c>
      <c r="D37" t="s">
        <v>21</v>
      </c>
      <c r="E37" s="28">
        <v>9</v>
      </c>
      <c r="F37" s="13">
        <v>0.69001199999999996</v>
      </c>
      <c r="G37" s="14">
        <f t="shared" si="0"/>
        <v>2.8999999999999998E-3</v>
      </c>
      <c r="H37" s="14"/>
      <c r="I37" s="15" t="s">
        <v>322</v>
      </c>
      <c r="K37" s="89"/>
      <c r="L37" s="48"/>
    </row>
    <row r="38" spans="1:12" ht="12.75" customHeight="1" x14ac:dyDescent="0.2">
      <c r="A38">
        <f>+MAX($A$8:A37)+1</f>
        <v>30</v>
      </c>
      <c r="B38" t="s">
        <v>208</v>
      </c>
      <c r="C38" t="s">
        <v>64</v>
      </c>
      <c r="D38" t="s">
        <v>26</v>
      </c>
      <c r="E38" s="28">
        <v>200</v>
      </c>
      <c r="F38" s="13">
        <v>0.66549999999999998</v>
      </c>
      <c r="G38" s="14">
        <f t="shared" si="0"/>
        <v>2.8E-3</v>
      </c>
      <c r="H38" s="14"/>
      <c r="I38" s="15" t="s">
        <v>322</v>
      </c>
      <c r="K38" s="89"/>
      <c r="L38" s="48"/>
    </row>
    <row r="39" spans="1:12" ht="12.75" customHeight="1" x14ac:dyDescent="0.2">
      <c r="A39">
        <f>+MAX($A$8:A38)+1</f>
        <v>31</v>
      </c>
      <c r="B39" t="s">
        <v>190</v>
      </c>
      <c r="C39" t="s">
        <v>50</v>
      </c>
      <c r="D39" t="s">
        <v>39</v>
      </c>
      <c r="E39" s="28">
        <v>775</v>
      </c>
      <c r="F39" s="13">
        <v>0.63239999999999996</v>
      </c>
      <c r="G39" s="14">
        <f t="shared" si="0"/>
        <v>2.7000000000000001E-3</v>
      </c>
      <c r="H39" s="14"/>
      <c r="I39" s="15" t="s">
        <v>322</v>
      </c>
      <c r="K39" s="89"/>
      <c r="L39" s="48"/>
    </row>
    <row r="40" spans="1:12" ht="12.75" customHeight="1" x14ac:dyDescent="0.2">
      <c r="A40">
        <f>+MAX($A$8:A39)+1</f>
        <v>32</v>
      </c>
      <c r="B40" t="s">
        <v>445</v>
      </c>
      <c r="C40" t="s">
        <v>395</v>
      </c>
      <c r="D40" t="s">
        <v>21</v>
      </c>
      <c r="E40" s="28">
        <v>231</v>
      </c>
      <c r="F40" s="13">
        <v>0.59863650000000002</v>
      </c>
      <c r="G40" s="14">
        <f t="shared" si="0"/>
        <v>2.5000000000000001E-3</v>
      </c>
      <c r="H40" s="14"/>
      <c r="I40" s="15" t="s">
        <v>322</v>
      </c>
      <c r="K40" s="89"/>
      <c r="L40" s="48"/>
    </row>
    <row r="41" spans="1:12" ht="12.75" customHeight="1" x14ac:dyDescent="0.2">
      <c r="A41">
        <f>+MAX($A$8:A40)+1</f>
        <v>33</v>
      </c>
      <c r="B41" t="s">
        <v>286</v>
      </c>
      <c r="C41" t="s">
        <v>287</v>
      </c>
      <c r="D41" t="s">
        <v>9</v>
      </c>
      <c r="E41" s="28">
        <v>334</v>
      </c>
      <c r="F41" s="13">
        <v>0.57414599999999993</v>
      </c>
      <c r="G41" s="14">
        <f t="shared" ref="G41:G71" si="2">+ROUND(F41/VLOOKUP("Grand Total",$B$4:$F$375,5,0),4)</f>
        <v>2.3999999999999998E-3</v>
      </c>
      <c r="H41" s="14"/>
      <c r="I41" s="15" t="s">
        <v>322</v>
      </c>
      <c r="K41" s="89"/>
      <c r="L41" s="48"/>
    </row>
    <row r="42" spans="1:12" ht="12.75" customHeight="1" x14ac:dyDescent="0.2">
      <c r="A42">
        <f>+MAX($A$8:A41)+1</f>
        <v>34</v>
      </c>
      <c r="B42" t="s">
        <v>365</v>
      </c>
      <c r="C42" t="s">
        <v>66</v>
      </c>
      <c r="D42" t="s">
        <v>21</v>
      </c>
      <c r="E42" s="28">
        <v>100</v>
      </c>
      <c r="F42" s="13">
        <v>0.56850000000000001</v>
      </c>
      <c r="G42" s="14">
        <f t="shared" si="2"/>
        <v>2.3999999999999998E-3</v>
      </c>
      <c r="H42" s="14"/>
      <c r="I42" s="15" t="s">
        <v>322</v>
      </c>
      <c r="K42" s="89"/>
      <c r="L42" s="48"/>
    </row>
    <row r="43" spans="1:12" ht="12.75" customHeight="1" x14ac:dyDescent="0.2">
      <c r="A43">
        <f>+MAX($A$8:A42)+1</f>
        <v>35</v>
      </c>
      <c r="B43" t="s">
        <v>410</v>
      </c>
      <c r="C43" t="s">
        <v>411</v>
      </c>
      <c r="D43" t="s">
        <v>22</v>
      </c>
      <c r="E43" s="28">
        <v>40</v>
      </c>
      <c r="F43" s="13">
        <v>0.55286000000000002</v>
      </c>
      <c r="G43" s="14">
        <f t="shared" si="2"/>
        <v>2.3E-3</v>
      </c>
      <c r="H43" s="14"/>
      <c r="I43" s="15" t="s">
        <v>322</v>
      </c>
      <c r="K43" s="89"/>
      <c r="L43" s="48"/>
    </row>
    <row r="44" spans="1:12" ht="12.75" customHeight="1" x14ac:dyDescent="0.2">
      <c r="A44">
        <f>+MAX($A$8:A43)+1</f>
        <v>36</v>
      </c>
      <c r="B44" t="s">
        <v>38</v>
      </c>
      <c r="C44" t="s">
        <v>40</v>
      </c>
      <c r="D44" t="s">
        <v>9</v>
      </c>
      <c r="E44" s="28">
        <v>359</v>
      </c>
      <c r="F44" s="13">
        <v>0.55052650000000003</v>
      </c>
      <c r="G44" s="14">
        <f t="shared" si="2"/>
        <v>2.3E-3</v>
      </c>
      <c r="H44" s="14"/>
      <c r="I44" s="15" t="s">
        <v>322</v>
      </c>
      <c r="K44" s="89"/>
      <c r="L44" s="48"/>
    </row>
    <row r="45" spans="1:12" ht="12.75" customHeight="1" x14ac:dyDescent="0.2">
      <c r="A45">
        <f>+MAX($A$8:A44)+1</f>
        <v>37</v>
      </c>
      <c r="B45" t="s">
        <v>181</v>
      </c>
      <c r="C45" t="s">
        <v>23</v>
      </c>
      <c r="D45" t="s">
        <v>13</v>
      </c>
      <c r="E45" s="28">
        <v>57</v>
      </c>
      <c r="F45" s="13">
        <v>0.55010700000000001</v>
      </c>
      <c r="G45" s="14">
        <f t="shared" si="2"/>
        <v>2.3E-3</v>
      </c>
      <c r="H45" s="14"/>
      <c r="I45" s="15" t="s">
        <v>322</v>
      </c>
      <c r="K45" s="89"/>
      <c r="L45" s="48"/>
    </row>
    <row r="46" spans="1:12" ht="12.75" customHeight="1" x14ac:dyDescent="0.2">
      <c r="A46">
        <f>+MAX($A$8:A45)+1</f>
        <v>38</v>
      </c>
      <c r="B46" t="s">
        <v>155</v>
      </c>
      <c r="C46" t="s">
        <v>166</v>
      </c>
      <c r="D46" t="s">
        <v>9</v>
      </c>
      <c r="E46" s="28">
        <v>192</v>
      </c>
      <c r="F46" s="13">
        <v>0.54623999999999995</v>
      </c>
      <c r="G46" s="14">
        <f t="shared" si="2"/>
        <v>2.3E-3</v>
      </c>
      <c r="H46" s="14"/>
      <c r="I46" s="15" t="s">
        <v>322</v>
      </c>
      <c r="K46" s="89"/>
      <c r="L46" s="48"/>
    </row>
    <row r="47" spans="1:12" ht="12.75" customHeight="1" x14ac:dyDescent="0.2">
      <c r="A47">
        <f>+MAX($A$8:A46)+1</f>
        <v>39</v>
      </c>
      <c r="B47" t="s">
        <v>297</v>
      </c>
      <c r="C47" t="s">
        <v>298</v>
      </c>
      <c r="D47" t="s">
        <v>17</v>
      </c>
      <c r="E47" s="28">
        <v>68</v>
      </c>
      <c r="F47" s="13">
        <v>0.52805400000000002</v>
      </c>
      <c r="G47" s="14">
        <f t="shared" si="2"/>
        <v>2.2000000000000001E-3</v>
      </c>
      <c r="H47" s="14"/>
      <c r="I47" s="15" t="s">
        <v>322</v>
      </c>
      <c r="K47" s="89"/>
      <c r="L47" s="48"/>
    </row>
    <row r="48" spans="1:12" ht="12.75" customHeight="1" x14ac:dyDescent="0.2">
      <c r="A48">
        <f>+MAX($A$8:A47)+1</f>
        <v>40</v>
      </c>
      <c r="B48" t="s">
        <v>225</v>
      </c>
      <c r="C48" t="s">
        <v>108</v>
      </c>
      <c r="D48" t="s">
        <v>19</v>
      </c>
      <c r="E48" s="28">
        <v>16</v>
      </c>
      <c r="F48" s="13">
        <v>0.52711200000000002</v>
      </c>
      <c r="G48" s="14">
        <f t="shared" si="2"/>
        <v>2.2000000000000001E-3</v>
      </c>
      <c r="H48" s="14"/>
      <c r="I48" s="15" t="s">
        <v>322</v>
      </c>
      <c r="K48" s="89"/>
      <c r="L48" s="48"/>
    </row>
    <row r="49" spans="1:12" ht="12.75" customHeight="1" x14ac:dyDescent="0.2">
      <c r="A49">
        <f>+MAX($A$8:A48)+1</f>
        <v>41</v>
      </c>
      <c r="B49" t="s">
        <v>470</v>
      </c>
      <c r="C49" t="s">
        <v>471</v>
      </c>
      <c r="D49" t="s">
        <v>102</v>
      </c>
      <c r="E49" s="28">
        <v>669</v>
      </c>
      <c r="F49" s="13">
        <v>0.51847500000000002</v>
      </c>
      <c r="G49" s="14">
        <f t="shared" si="2"/>
        <v>2.2000000000000001E-3</v>
      </c>
      <c r="H49" s="14"/>
      <c r="I49" s="15" t="s">
        <v>322</v>
      </c>
      <c r="K49" s="89"/>
      <c r="L49" s="48"/>
    </row>
    <row r="50" spans="1:12" ht="12.75" customHeight="1" x14ac:dyDescent="0.2">
      <c r="A50">
        <f>+MAX($A$8:A49)+1</f>
        <v>42</v>
      </c>
      <c r="B50" t="s">
        <v>481</v>
      </c>
      <c r="C50" t="s">
        <v>355</v>
      </c>
      <c r="D50" t="s">
        <v>9</v>
      </c>
      <c r="E50" s="28">
        <v>515</v>
      </c>
      <c r="F50" s="13">
        <v>0.51525750000000003</v>
      </c>
      <c r="G50" s="14">
        <f t="shared" si="2"/>
        <v>2.2000000000000001E-3</v>
      </c>
      <c r="H50" s="14"/>
      <c r="I50" s="15" t="s">
        <v>322</v>
      </c>
      <c r="K50" s="89"/>
      <c r="L50" s="48"/>
    </row>
    <row r="51" spans="1:12" ht="12.75" customHeight="1" x14ac:dyDescent="0.2">
      <c r="A51">
        <f>+MAX($A$8:A50)+1</f>
        <v>43</v>
      </c>
      <c r="B51" t="s">
        <v>204</v>
      </c>
      <c r="C51" t="s">
        <v>61</v>
      </c>
      <c r="D51" t="s">
        <v>34</v>
      </c>
      <c r="E51" s="28">
        <v>137</v>
      </c>
      <c r="F51" s="13">
        <v>0.51320199999999994</v>
      </c>
      <c r="G51" s="14">
        <f t="shared" si="2"/>
        <v>2.2000000000000001E-3</v>
      </c>
      <c r="H51" s="14"/>
      <c r="I51" s="15" t="s">
        <v>322</v>
      </c>
      <c r="K51" s="89"/>
      <c r="L51" s="48"/>
    </row>
    <row r="52" spans="1:12" ht="12.75" customHeight="1" x14ac:dyDescent="0.2">
      <c r="A52">
        <f>+MAX($A$8:A51)+1</f>
        <v>44</v>
      </c>
      <c r="B52" t="s">
        <v>318</v>
      </c>
      <c r="C52" t="s">
        <v>319</v>
      </c>
      <c r="D52" t="s">
        <v>36</v>
      </c>
      <c r="E52" s="28">
        <v>705</v>
      </c>
      <c r="F52" s="13">
        <v>0.50865749999999998</v>
      </c>
      <c r="G52" s="14">
        <f t="shared" si="2"/>
        <v>2.0999999999999999E-3</v>
      </c>
      <c r="H52" s="14"/>
      <c r="I52" s="15" t="s">
        <v>322</v>
      </c>
      <c r="K52" s="89"/>
      <c r="L52" s="48"/>
    </row>
    <row r="53" spans="1:12" ht="12.75" customHeight="1" x14ac:dyDescent="0.2">
      <c r="A53">
        <f>+MAX($A$8:A52)+1</f>
        <v>45</v>
      </c>
      <c r="B53" t="s">
        <v>207</v>
      </c>
      <c r="C53" t="s">
        <v>68</v>
      </c>
      <c r="D53" t="s">
        <v>9</v>
      </c>
      <c r="E53" s="28">
        <v>544</v>
      </c>
      <c r="F53" s="13">
        <v>0.48415999999999998</v>
      </c>
      <c r="G53" s="14">
        <f t="shared" si="2"/>
        <v>2E-3</v>
      </c>
      <c r="H53" s="14"/>
      <c r="I53" s="15" t="s">
        <v>322</v>
      </c>
      <c r="K53" s="89"/>
      <c r="L53" s="48"/>
    </row>
    <row r="54" spans="1:12" ht="12.75" customHeight="1" x14ac:dyDescent="0.2">
      <c r="A54">
        <f>+MAX($A$8:A53)+1</f>
        <v>46</v>
      </c>
      <c r="B54" t="s">
        <v>199</v>
      </c>
      <c r="C54" t="s">
        <v>59</v>
      </c>
      <c r="D54" t="s">
        <v>21</v>
      </c>
      <c r="E54" s="28">
        <v>80</v>
      </c>
      <c r="F54" s="13">
        <v>0.47323999999999999</v>
      </c>
      <c r="G54" s="14">
        <f t="shared" si="2"/>
        <v>2E-3</v>
      </c>
      <c r="H54" s="14"/>
      <c r="I54" s="15" t="s">
        <v>322</v>
      </c>
      <c r="K54" s="89"/>
      <c r="L54" s="48"/>
    </row>
    <row r="55" spans="1:12" ht="12.75" customHeight="1" x14ac:dyDescent="0.2">
      <c r="A55">
        <f>+MAX($A$8:A54)+1</f>
        <v>47</v>
      </c>
      <c r="B55" t="s">
        <v>188</v>
      </c>
      <c r="C55" t="s">
        <v>51</v>
      </c>
      <c r="D55" t="s">
        <v>17</v>
      </c>
      <c r="E55" s="28">
        <v>11</v>
      </c>
      <c r="F55" s="13">
        <v>0.46131800000000001</v>
      </c>
      <c r="G55" s="14">
        <f t="shared" si="2"/>
        <v>1.9E-3</v>
      </c>
      <c r="H55" s="14"/>
      <c r="I55" s="15" t="s">
        <v>322</v>
      </c>
      <c r="K55" s="89"/>
      <c r="L55" s="48"/>
    </row>
    <row r="56" spans="1:12" ht="12.75" customHeight="1" x14ac:dyDescent="0.2">
      <c r="A56">
        <f>+MAX($A$8:A55)+1</f>
        <v>48</v>
      </c>
      <c r="B56" t="s">
        <v>183</v>
      </c>
      <c r="C56" t="s">
        <v>37</v>
      </c>
      <c r="D56" t="s">
        <v>19</v>
      </c>
      <c r="E56" s="28">
        <v>17</v>
      </c>
      <c r="F56" s="13">
        <v>0.45900849999999999</v>
      </c>
      <c r="G56" s="14">
        <f t="shared" si="2"/>
        <v>1.9E-3</v>
      </c>
      <c r="H56" s="14"/>
      <c r="I56" s="15" t="s">
        <v>322</v>
      </c>
      <c r="K56" s="89"/>
      <c r="L56" s="48"/>
    </row>
    <row r="57" spans="1:12" ht="12.75" customHeight="1" x14ac:dyDescent="0.2">
      <c r="A57">
        <f>+MAX($A$8:A56)+1</f>
        <v>49</v>
      </c>
      <c r="B57" t="s">
        <v>214</v>
      </c>
      <c r="C57" t="s">
        <v>78</v>
      </c>
      <c r="D57" t="s">
        <v>43</v>
      </c>
      <c r="E57" s="28">
        <v>161</v>
      </c>
      <c r="F57" s="13">
        <v>0.45088050000000002</v>
      </c>
      <c r="G57" s="14">
        <f t="shared" si="2"/>
        <v>1.9E-3</v>
      </c>
      <c r="H57" s="14"/>
      <c r="I57" s="15" t="s">
        <v>322</v>
      </c>
      <c r="K57" s="89"/>
      <c r="L57" s="48"/>
    </row>
    <row r="58" spans="1:12" ht="12.75" customHeight="1" x14ac:dyDescent="0.2">
      <c r="A58">
        <f>+MAX($A$8:A57)+1</f>
        <v>50</v>
      </c>
      <c r="B58" t="s">
        <v>510</v>
      </c>
      <c r="C58" t="s">
        <v>511</v>
      </c>
      <c r="D58" t="s">
        <v>35</v>
      </c>
      <c r="E58" s="28">
        <v>48</v>
      </c>
      <c r="F58" s="13">
        <v>0.44625599999999999</v>
      </c>
      <c r="G58" s="14">
        <f t="shared" si="2"/>
        <v>1.9E-3</v>
      </c>
      <c r="H58" s="14"/>
      <c r="I58" s="15" t="s">
        <v>322</v>
      </c>
      <c r="K58" s="89"/>
      <c r="L58" s="48"/>
    </row>
    <row r="59" spans="1:12" ht="12.75" customHeight="1" x14ac:dyDescent="0.2">
      <c r="A59">
        <f>+MAX($A$8:A58)+1</f>
        <v>51</v>
      </c>
      <c r="B59" t="s">
        <v>201</v>
      </c>
      <c r="C59" t="s">
        <v>27</v>
      </c>
      <c r="D59" t="s">
        <v>9</v>
      </c>
      <c r="E59" s="28">
        <v>81</v>
      </c>
      <c r="F59" s="13">
        <v>0.445824</v>
      </c>
      <c r="G59" s="14">
        <f t="shared" si="2"/>
        <v>1.9E-3</v>
      </c>
      <c r="H59" s="14"/>
      <c r="I59" s="15" t="s">
        <v>322</v>
      </c>
      <c r="K59" s="89"/>
      <c r="L59" s="48"/>
    </row>
    <row r="60" spans="1:12" ht="12.75" customHeight="1" x14ac:dyDescent="0.2">
      <c r="A60">
        <f>+MAX($A$8:A59)+1</f>
        <v>52</v>
      </c>
      <c r="B60" t="s">
        <v>408</v>
      </c>
      <c r="C60" t="s">
        <v>409</v>
      </c>
      <c r="D60" t="s">
        <v>41</v>
      </c>
      <c r="E60" s="28">
        <v>52</v>
      </c>
      <c r="F60" s="13">
        <v>0.43474599999999997</v>
      </c>
      <c r="G60" s="14">
        <f t="shared" si="2"/>
        <v>1.8E-3</v>
      </c>
      <c r="H60" s="14"/>
      <c r="I60" s="15" t="s">
        <v>322</v>
      </c>
      <c r="K60" s="89"/>
      <c r="L60" s="48"/>
    </row>
    <row r="61" spans="1:12" ht="12.75" customHeight="1" x14ac:dyDescent="0.2">
      <c r="A61">
        <f>+MAX($A$8:A60)+1</f>
        <v>53</v>
      </c>
      <c r="B61" t="s">
        <v>450</v>
      </c>
      <c r="C61" t="s">
        <v>451</v>
      </c>
      <c r="D61" t="s">
        <v>9</v>
      </c>
      <c r="E61" s="28">
        <v>691</v>
      </c>
      <c r="F61" s="13">
        <v>0.42876550000000002</v>
      </c>
      <c r="G61" s="14">
        <f t="shared" si="2"/>
        <v>1.8E-3</v>
      </c>
      <c r="H61" s="14"/>
      <c r="I61" s="15" t="s">
        <v>322</v>
      </c>
      <c r="K61" s="89"/>
      <c r="L61" s="48"/>
    </row>
    <row r="62" spans="1:12" ht="12.75" customHeight="1" x14ac:dyDescent="0.2">
      <c r="A62">
        <f>+MAX($A$8:A61)+1</f>
        <v>54</v>
      </c>
      <c r="B62" t="s">
        <v>484</v>
      </c>
      <c r="C62" t="s">
        <v>485</v>
      </c>
      <c r="D62" t="s">
        <v>102</v>
      </c>
      <c r="E62" s="28">
        <v>493</v>
      </c>
      <c r="F62" s="13">
        <v>0.40697150000000004</v>
      </c>
      <c r="G62" s="14">
        <f t="shared" si="2"/>
        <v>1.6999999999999999E-3</v>
      </c>
      <c r="H62" s="14"/>
      <c r="I62" s="15" t="s">
        <v>322</v>
      </c>
      <c r="K62" s="89"/>
      <c r="L62" s="48"/>
    </row>
    <row r="63" spans="1:12" ht="12.75" customHeight="1" x14ac:dyDescent="0.2">
      <c r="A63">
        <f>+MAX($A$8:A62)+1</f>
        <v>55</v>
      </c>
      <c r="B63" t="s">
        <v>516</v>
      </c>
      <c r="C63" t="s">
        <v>517</v>
      </c>
      <c r="D63" t="s">
        <v>30</v>
      </c>
      <c r="E63" s="28">
        <v>191</v>
      </c>
      <c r="F63" s="13">
        <v>0.38897150000000003</v>
      </c>
      <c r="G63" s="14">
        <f t="shared" si="2"/>
        <v>1.6000000000000001E-3</v>
      </c>
      <c r="H63" s="14"/>
      <c r="I63" s="15" t="s">
        <v>322</v>
      </c>
      <c r="K63" s="89"/>
      <c r="L63" s="48"/>
    </row>
    <row r="64" spans="1:12" ht="12.75" customHeight="1" x14ac:dyDescent="0.2">
      <c r="A64">
        <f>+MAX($A$8:A63)+1</f>
        <v>56</v>
      </c>
      <c r="B64" t="s">
        <v>198</v>
      </c>
      <c r="C64" t="s">
        <v>63</v>
      </c>
      <c r="D64" t="s">
        <v>32</v>
      </c>
      <c r="E64" s="28">
        <v>97</v>
      </c>
      <c r="F64" s="13">
        <v>0.378882</v>
      </c>
      <c r="G64" s="14">
        <f t="shared" si="2"/>
        <v>1.6000000000000001E-3</v>
      </c>
      <c r="H64" s="14"/>
      <c r="I64" s="15" t="s">
        <v>322</v>
      </c>
      <c r="K64" s="89"/>
      <c r="L64" s="48"/>
    </row>
    <row r="65" spans="1:13" ht="12.75" customHeight="1" x14ac:dyDescent="0.2">
      <c r="A65">
        <f>+MAX($A$8:A64)+1</f>
        <v>57</v>
      </c>
      <c r="B65" t="s">
        <v>446</v>
      </c>
      <c r="C65" t="s">
        <v>447</v>
      </c>
      <c r="D65" t="s">
        <v>127</v>
      </c>
      <c r="E65" s="28">
        <v>188</v>
      </c>
      <c r="F65" s="13">
        <v>0.36942000000000003</v>
      </c>
      <c r="G65" s="14">
        <f t="shared" si="2"/>
        <v>1.6000000000000001E-3</v>
      </c>
      <c r="H65" s="14"/>
      <c r="I65" s="15" t="s">
        <v>322</v>
      </c>
      <c r="K65" s="89"/>
      <c r="L65" s="48"/>
    </row>
    <row r="66" spans="1:13" ht="12.75" customHeight="1" x14ac:dyDescent="0.2">
      <c r="A66">
        <f>+MAX($A$8:A65)+1</f>
        <v>58</v>
      </c>
      <c r="B66" t="s">
        <v>191</v>
      </c>
      <c r="C66" t="s">
        <v>31</v>
      </c>
      <c r="D66" t="s">
        <v>17</v>
      </c>
      <c r="E66" s="28">
        <v>44</v>
      </c>
      <c r="F66" s="13">
        <v>0.33800800000000003</v>
      </c>
      <c r="G66" s="14">
        <f t="shared" si="2"/>
        <v>1.4E-3</v>
      </c>
      <c r="H66" s="14"/>
      <c r="I66" s="15" t="s">
        <v>322</v>
      </c>
      <c r="K66" s="89"/>
      <c r="L66" s="48"/>
    </row>
    <row r="67" spans="1:13" ht="12.75" customHeight="1" x14ac:dyDescent="0.2">
      <c r="A67">
        <f>+MAX($A$8:A66)+1</f>
        <v>59</v>
      </c>
      <c r="B67" t="s">
        <v>448</v>
      </c>
      <c r="C67" t="s">
        <v>449</v>
      </c>
      <c r="D67" t="s">
        <v>43</v>
      </c>
      <c r="E67" s="28">
        <v>525</v>
      </c>
      <c r="F67" s="13">
        <v>0.32313750000000002</v>
      </c>
      <c r="G67" s="14">
        <f t="shared" si="2"/>
        <v>1.4E-3</v>
      </c>
      <c r="H67" s="14"/>
      <c r="I67" s="15" t="s">
        <v>322</v>
      </c>
      <c r="K67" s="89"/>
      <c r="L67" s="48"/>
    </row>
    <row r="68" spans="1:13" ht="12.75" customHeight="1" x14ac:dyDescent="0.2">
      <c r="A68">
        <f>+MAX($A$8:A67)+1</f>
        <v>60</v>
      </c>
      <c r="B68" t="s">
        <v>366</v>
      </c>
      <c r="C68" t="s">
        <v>367</v>
      </c>
      <c r="D68" t="s">
        <v>368</v>
      </c>
      <c r="E68" s="28">
        <v>158</v>
      </c>
      <c r="F68" s="13">
        <v>0.26275399999999999</v>
      </c>
      <c r="G68" s="14">
        <f t="shared" si="2"/>
        <v>1.1000000000000001E-3</v>
      </c>
      <c r="H68" s="14"/>
      <c r="I68" s="15" t="s">
        <v>322</v>
      </c>
      <c r="K68" s="89"/>
      <c r="L68" s="48"/>
    </row>
    <row r="69" spans="1:13" ht="12.75" customHeight="1" x14ac:dyDescent="0.2">
      <c r="A69">
        <f>+MAX($A$8:A68)+1</f>
        <v>61</v>
      </c>
      <c r="B69" t="s">
        <v>482</v>
      </c>
      <c r="C69" t="s">
        <v>483</v>
      </c>
      <c r="D69" t="s">
        <v>9</v>
      </c>
      <c r="E69" s="28">
        <v>541</v>
      </c>
      <c r="F69" s="13">
        <v>0.244532</v>
      </c>
      <c r="G69" s="14">
        <f t="shared" si="2"/>
        <v>1E-3</v>
      </c>
      <c r="H69" s="14"/>
      <c r="I69" s="15" t="s">
        <v>322</v>
      </c>
      <c r="K69" s="89"/>
      <c r="L69" s="48"/>
    </row>
    <row r="70" spans="1:13" ht="12.75" customHeight="1" x14ac:dyDescent="0.2">
      <c r="A70">
        <f>+MAX($A$8:A69)+1</f>
        <v>62</v>
      </c>
      <c r="B70" t="s">
        <v>284</v>
      </c>
      <c r="C70" t="s">
        <v>70</v>
      </c>
      <c r="D70" t="s">
        <v>26</v>
      </c>
      <c r="E70" s="28">
        <v>1012</v>
      </c>
      <c r="F70" s="13">
        <v>0.118404</v>
      </c>
      <c r="G70" s="14">
        <f t="shared" si="2"/>
        <v>5.0000000000000001E-4</v>
      </c>
      <c r="H70" s="14"/>
      <c r="I70" s="15" t="s">
        <v>322</v>
      </c>
      <c r="K70" s="89"/>
      <c r="L70" s="48"/>
    </row>
    <row r="71" spans="1:13" ht="12.75" customHeight="1" x14ac:dyDescent="0.2">
      <c r="A71">
        <f>+MAX($A$8:A70)+1</f>
        <v>63</v>
      </c>
      <c r="B71" t="s">
        <v>203</v>
      </c>
      <c r="C71" t="s">
        <v>73</v>
      </c>
      <c r="D71" t="s">
        <v>34</v>
      </c>
      <c r="E71" s="28">
        <v>2661</v>
      </c>
      <c r="F71" s="13">
        <v>9.8457000000000003E-2</v>
      </c>
      <c r="G71" s="14">
        <f t="shared" si="2"/>
        <v>4.0000000000000002E-4</v>
      </c>
      <c r="H71" s="14"/>
      <c r="I71" s="15" t="s">
        <v>322</v>
      </c>
      <c r="K71" s="89"/>
      <c r="L71" s="48"/>
    </row>
    <row r="72" spans="1:13" ht="12.75" customHeight="1" x14ac:dyDescent="0.2">
      <c r="B72" s="18" t="s">
        <v>82</v>
      </c>
      <c r="C72" s="18"/>
      <c r="D72" s="18"/>
      <c r="E72" s="19">
        <f>SUM(E9:E71)</f>
        <v>21098</v>
      </c>
      <c r="F72" s="19">
        <f>SUM(F9:F71)</f>
        <v>52.245219499999976</v>
      </c>
      <c r="G72" s="20">
        <f>SUM(G9:G71)</f>
        <v>0.21970000000000012</v>
      </c>
      <c r="H72" s="20"/>
      <c r="I72" s="21"/>
      <c r="J72" s="35"/>
    </row>
    <row r="73" spans="1:13" ht="12.75" customHeight="1" x14ac:dyDescent="0.2">
      <c r="F73" s="13"/>
      <c r="G73" s="14"/>
      <c r="H73" s="14"/>
      <c r="I73" s="15"/>
      <c r="M73" s="54">
        <f>+SUM($L$9:L71)</f>
        <v>1</v>
      </c>
    </row>
    <row r="74" spans="1:13" ht="12.75" customHeight="1" x14ac:dyDescent="0.2">
      <c r="B74" s="16" t="s">
        <v>515</v>
      </c>
      <c r="C74" s="16"/>
      <c r="F74" s="13"/>
      <c r="G74" s="14"/>
      <c r="H74" s="14"/>
      <c r="I74" s="15"/>
    </row>
    <row r="75" spans="1:13" s="65" customFormat="1" ht="12.75" customHeight="1" x14ac:dyDescent="0.2">
      <c r="A75" s="65">
        <f>+MAX($A$8:A74)+1</f>
        <v>64</v>
      </c>
      <c r="B75" s="65" t="s">
        <v>556</v>
      </c>
      <c r="C75" s="65" t="s">
        <v>557</v>
      </c>
      <c r="D75" s="65" t="s">
        <v>22</v>
      </c>
      <c r="E75" s="74">
        <v>2800</v>
      </c>
      <c r="F75" s="75">
        <v>24.693200000000001</v>
      </c>
      <c r="G75" s="76">
        <f>+ROUND(F75/VLOOKUP("Grand Total",$B$4:$F$375,5,0),4)</f>
        <v>0.10390000000000001</v>
      </c>
      <c r="H75" s="76"/>
      <c r="I75" s="88" t="s">
        <v>322</v>
      </c>
      <c r="J75" s="73"/>
      <c r="K75" s="89"/>
      <c r="L75" s="102"/>
    </row>
    <row r="76" spans="1:13" s="77" customFormat="1" ht="12.75" customHeight="1" x14ac:dyDescent="0.2">
      <c r="A76" s="77">
        <f>+A75+1</f>
        <v>65</v>
      </c>
      <c r="B76" s="77" t="s">
        <v>556</v>
      </c>
      <c r="C76" s="120" t="s">
        <v>704</v>
      </c>
      <c r="D76" s="77" t="s">
        <v>288</v>
      </c>
      <c r="E76" s="74">
        <v>-2800</v>
      </c>
      <c r="F76" s="79">
        <v>-24.383800000000001</v>
      </c>
      <c r="G76" s="127"/>
      <c r="H76" s="127">
        <f>+ROUND(F76/VLOOKUP("Grand Total",$B$4:$F$375,5,0),4)</f>
        <v>-0.1026</v>
      </c>
      <c r="I76" s="103">
        <v>43342</v>
      </c>
      <c r="J76" s="73"/>
      <c r="K76" s="105"/>
      <c r="L76" s="128"/>
    </row>
    <row r="77" spans="1:13" s="65" customFormat="1" ht="12.75" customHeight="1" x14ac:dyDescent="0.2">
      <c r="A77" s="77">
        <f t="shared" ref="A77:A88" si="3">+A76+1</f>
        <v>66</v>
      </c>
      <c r="B77" s="65" t="s">
        <v>223</v>
      </c>
      <c r="C77" s="65" t="s">
        <v>107</v>
      </c>
      <c r="D77" s="65" t="s">
        <v>13</v>
      </c>
      <c r="E77" s="74">
        <v>7200</v>
      </c>
      <c r="F77" s="75">
        <v>19.9008</v>
      </c>
      <c r="G77" s="76">
        <f>+ROUND(F77/VLOOKUP("Grand Total",$B$4:$F$375,5,0),4)</f>
        <v>8.3799999999999999E-2</v>
      </c>
      <c r="H77" s="76"/>
      <c r="I77" s="88" t="s">
        <v>322</v>
      </c>
      <c r="J77" s="73"/>
      <c r="K77" s="89"/>
      <c r="L77" s="102"/>
    </row>
    <row r="78" spans="1:13" s="77" customFormat="1" ht="12.75" customHeight="1" x14ac:dyDescent="0.2">
      <c r="A78" s="77">
        <f t="shared" si="3"/>
        <v>67</v>
      </c>
      <c r="B78" s="77" t="s">
        <v>223</v>
      </c>
      <c r="C78" s="120" t="s">
        <v>704</v>
      </c>
      <c r="D78" s="77" t="s">
        <v>288</v>
      </c>
      <c r="E78" s="74">
        <v>-7200</v>
      </c>
      <c r="F78" s="79">
        <v>-19.965599999999998</v>
      </c>
      <c r="G78" s="127"/>
      <c r="H78" s="127">
        <f>+ROUND(F78/VLOOKUP("Grand Total",$B$4:$F$375,5,0),4)</f>
        <v>-8.4000000000000005E-2</v>
      </c>
      <c r="I78" s="103">
        <v>43342</v>
      </c>
      <c r="J78" s="73"/>
      <c r="K78" s="105"/>
      <c r="L78" s="128"/>
    </row>
    <row r="79" spans="1:13" s="65" customFormat="1" ht="12.75" customHeight="1" x14ac:dyDescent="0.2">
      <c r="A79" s="77">
        <f t="shared" si="3"/>
        <v>68</v>
      </c>
      <c r="B79" s="65" t="s">
        <v>306</v>
      </c>
      <c r="C79" s="65" t="s">
        <v>307</v>
      </c>
      <c r="D79" s="65" t="s">
        <v>22</v>
      </c>
      <c r="E79" s="74">
        <v>1500</v>
      </c>
      <c r="F79" s="75">
        <v>19.455749999999998</v>
      </c>
      <c r="G79" s="76">
        <f>+ROUND(F79/VLOOKUP("Grand Total",$B$4:$F$375,5,0),4)</f>
        <v>8.1900000000000001E-2</v>
      </c>
      <c r="H79" s="76"/>
      <c r="I79" s="88" t="s">
        <v>322</v>
      </c>
      <c r="J79" s="73"/>
      <c r="K79" s="89"/>
      <c r="L79" s="102"/>
    </row>
    <row r="80" spans="1:13" s="77" customFormat="1" ht="12.75" customHeight="1" x14ac:dyDescent="0.2">
      <c r="A80" s="77">
        <f t="shared" si="3"/>
        <v>69</v>
      </c>
      <c r="B80" s="77" t="s">
        <v>306</v>
      </c>
      <c r="C80" s="120" t="s">
        <v>704</v>
      </c>
      <c r="D80" s="77" t="s">
        <v>288</v>
      </c>
      <c r="E80" s="74">
        <v>-1500</v>
      </c>
      <c r="F80" s="79">
        <v>-19.4085</v>
      </c>
      <c r="G80" s="127"/>
      <c r="H80" s="127">
        <f>+ROUND(F80/VLOOKUP("Grand Total",$B$4:$F$375,5,0),4)</f>
        <v>-8.1699999999999995E-2</v>
      </c>
      <c r="I80" s="103">
        <v>43342</v>
      </c>
      <c r="J80" s="73"/>
      <c r="K80" s="105"/>
      <c r="L80" s="128"/>
    </row>
    <row r="81" spans="1:13" s="65" customFormat="1" ht="12.75" customHeight="1" x14ac:dyDescent="0.2">
      <c r="A81" s="77">
        <f t="shared" si="3"/>
        <v>70</v>
      </c>
      <c r="B81" s="65" t="s">
        <v>213</v>
      </c>
      <c r="C81" s="65" t="s">
        <v>77</v>
      </c>
      <c r="D81" s="65" t="s">
        <v>28</v>
      </c>
      <c r="E81" s="74">
        <v>6300</v>
      </c>
      <c r="F81" s="75">
        <v>17.942399999999999</v>
      </c>
      <c r="G81" s="76">
        <f>+ROUND(F81/VLOOKUP("Grand Total",$B$4:$F$375,5,0),4)</f>
        <v>7.5499999999999998E-2</v>
      </c>
      <c r="H81" s="76"/>
      <c r="I81" s="88" t="s">
        <v>322</v>
      </c>
      <c r="J81" s="73"/>
      <c r="K81" s="89"/>
      <c r="L81" s="102"/>
    </row>
    <row r="82" spans="1:13" s="77" customFormat="1" ht="12.75" customHeight="1" x14ac:dyDescent="0.2">
      <c r="A82" s="77">
        <f t="shared" si="3"/>
        <v>71</v>
      </c>
      <c r="B82" s="77" t="s">
        <v>213</v>
      </c>
      <c r="C82" s="120" t="s">
        <v>704</v>
      </c>
      <c r="D82" s="77" t="s">
        <v>288</v>
      </c>
      <c r="E82" s="74">
        <v>-6300</v>
      </c>
      <c r="F82" s="79">
        <v>-18.033750000000001</v>
      </c>
      <c r="G82" s="127"/>
      <c r="H82" s="127">
        <f>+ROUND(F82/VLOOKUP("Grand Total",$B$4:$F$375,5,0),4)</f>
        <v>-7.5899999999999995E-2</v>
      </c>
      <c r="I82" s="103">
        <v>43342</v>
      </c>
      <c r="J82" s="73"/>
      <c r="K82" s="105"/>
      <c r="L82" s="128"/>
    </row>
    <row r="83" spans="1:13" s="65" customFormat="1" ht="12.75" customHeight="1" x14ac:dyDescent="0.2">
      <c r="A83" s="77">
        <f t="shared" si="3"/>
        <v>72</v>
      </c>
      <c r="B83" s="65" t="s">
        <v>233</v>
      </c>
      <c r="C83" s="65" t="s">
        <v>117</v>
      </c>
      <c r="D83" s="65" t="s">
        <v>102</v>
      </c>
      <c r="E83" s="74">
        <v>2122</v>
      </c>
      <c r="F83" s="75">
        <v>11.947921000000001</v>
      </c>
      <c r="G83" s="76">
        <f>+ROUND(F83/VLOOKUP("Grand Total",$B$4:$F$375,5,0),4)</f>
        <v>5.0299999999999997E-2</v>
      </c>
      <c r="H83" s="76"/>
      <c r="I83" s="88" t="s">
        <v>322</v>
      </c>
      <c r="J83" s="73"/>
      <c r="K83" s="89"/>
      <c r="L83" s="102"/>
    </row>
    <row r="84" spans="1:13" s="77" customFormat="1" ht="12.75" customHeight="1" x14ac:dyDescent="0.2">
      <c r="A84" s="77">
        <f t="shared" si="3"/>
        <v>73</v>
      </c>
      <c r="B84" s="77" t="s">
        <v>233</v>
      </c>
      <c r="C84" s="120" t="s">
        <v>704</v>
      </c>
      <c r="D84" s="77" t="s">
        <v>288</v>
      </c>
      <c r="E84" s="74">
        <v>-2122</v>
      </c>
      <c r="F84" s="79">
        <v>-12.007337</v>
      </c>
      <c r="G84" s="127"/>
      <c r="H84" s="127">
        <f>+ROUND(F84/VLOOKUP("Grand Total",$B$4:$F$375,5,0),4)</f>
        <v>-5.0500000000000003E-2</v>
      </c>
      <c r="I84" s="103">
        <v>43342</v>
      </c>
      <c r="J84" s="73"/>
      <c r="K84" s="105"/>
      <c r="L84" s="128"/>
    </row>
    <row r="85" spans="1:13" s="65" customFormat="1" ht="12.75" customHeight="1" x14ac:dyDescent="0.2">
      <c r="A85" s="77">
        <f t="shared" si="3"/>
        <v>74</v>
      </c>
      <c r="B85" s="65" t="s">
        <v>221</v>
      </c>
      <c r="C85" s="65" t="s">
        <v>105</v>
      </c>
      <c r="D85" s="65" t="s">
        <v>21</v>
      </c>
      <c r="E85" s="74">
        <v>500</v>
      </c>
      <c r="F85" s="75">
        <v>10.638999999999999</v>
      </c>
      <c r="G85" s="76">
        <f>+ROUND(F85/VLOOKUP("Grand Total",$B$4:$F$375,5,0),4)</f>
        <v>4.48E-2</v>
      </c>
      <c r="H85" s="76"/>
      <c r="I85" s="88" t="s">
        <v>322</v>
      </c>
      <c r="J85" s="73"/>
      <c r="K85" s="89"/>
      <c r="L85" s="102"/>
    </row>
    <row r="86" spans="1:13" s="77" customFormat="1" ht="12.75" customHeight="1" x14ac:dyDescent="0.2">
      <c r="A86" s="77">
        <f t="shared" si="3"/>
        <v>75</v>
      </c>
      <c r="B86" s="77" t="s">
        <v>221</v>
      </c>
      <c r="C86" s="120" t="s">
        <v>704</v>
      </c>
      <c r="D86" s="77" t="s">
        <v>288</v>
      </c>
      <c r="E86" s="74">
        <v>-500</v>
      </c>
      <c r="F86" s="79">
        <v>-10.679</v>
      </c>
      <c r="G86" s="127"/>
      <c r="H86" s="127">
        <f>+ROUND(F86/VLOOKUP("Grand Total",$B$4:$F$375,5,0),4)</f>
        <v>-4.4900000000000002E-2</v>
      </c>
      <c r="I86" s="103">
        <v>43342</v>
      </c>
      <c r="J86" s="73"/>
      <c r="K86" s="105"/>
      <c r="L86" s="128"/>
    </row>
    <row r="87" spans="1:13" s="65" customFormat="1" ht="12.75" customHeight="1" x14ac:dyDescent="0.2">
      <c r="A87" s="77">
        <f t="shared" si="3"/>
        <v>76</v>
      </c>
      <c r="B87" s="65" t="s">
        <v>267</v>
      </c>
      <c r="C87" s="65" t="s">
        <v>165</v>
      </c>
      <c r="D87" s="65" t="s">
        <v>98</v>
      </c>
      <c r="E87" s="74">
        <v>1000</v>
      </c>
      <c r="F87" s="75">
        <v>7.7229999999999999</v>
      </c>
      <c r="G87" s="76">
        <f>+ROUND(F87/VLOOKUP("Grand Total",$B$4:$F$375,5,0),4)</f>
        <v>3.2500000000000001E-2</v>
      </c>
      <c r="H87" s="76"/>
      <c r="I87" s="88" t="s">
        <v>322</v>
      </c>
      <c r="J87" s="73"/>
      <c r="K87" s="89"/>
      <c r="L87" s="102"/>
    </row>
    <row r="88" spans="1:13" s="77" customFormat="1" ht="12.75" customHeight="1" x14ac:dyDescent="0.2">
      <c r="A88" s="77">
        <f t="shared" si="3"/>
        <v>77</v>
      </c>
      <c r="B88" s="77" t="s">
        <v>267</v>
      </c>
      <c r="C88" s="120" t="s">
        <v>704</v>
      </c>
      <c r="D88" s="77" t="s">
        <v>288</v>
      </c>
      <c r="E88" s="74">
        <v>-1000</v>
      </c>
      <c r="F88" s="79">
        <v>-7.7590000000000003</v>
      </c>
      <c r="G88" s="127"/>
      <c r="H88" s="127">
        <f>+ROUND(F88/VLOOKUP("Grand Total",$B$4:$F$375,5,0),4)</f>
        <v>-3.27E-2</v>
      </c>
      <c r="I88" s="103">
        <v>43342</v>
      </c>
      <c r="J88" s="73"/>
      <c r="K88" s="105"/>
      <c r="L88" s="128"/>
    </row>
    <row r="89" spans="1:13" ht="12.75" customHeight="1" x14ac:dyDescent="0.2">
      <c r="B89" s="18" t="s">
        <v>82</v>
      </c>
      <c r="C89" s="18"/>
      <c r="D89" s="18"/>
      <c r="E89" s="29">
        <f>+E75+E77+E79+E81+E83+E85+E87</f>
        <v>21422</v>
      </c>
      <c r="F89" s="125">
        <f>+F75+F77+F79+F81+F83+F85+F87</f>
        <v>112.30207100000001</v>
      </c>
      <c r="G89" s="122">
        <f>+G75+G77+G79+G81+G83+G85+G87</f>
        <v>0.47270000000000001</v>
      </c>
      <c r="H89" s="123">
        <f>SUM(H76:H88)</f>
        <v>-0.47229999999999994</v>
      </c>
      <c r="I89" s="21"/>
      <c r="J89" s="35"/>
    </row>
    <row r="90" spans="1:13" ht="12.75" customHeight="1" x14ac:dyDescent="0.2">
      <c r="F90" s="28"/>
      <c r="G90" s="28"/>
      <c r="H90" s="28"/>
      <c r="I90" s="15"/>
      <c r="M90" s="54"/>
    </row>
    <row r="91" spans="1:13" ht="12.75" customHeight="1" x14ac:dyDescent="0.2">
      <c r="B91" s="16" t="s">
        <v>89</v>
      </c>
      <c r="C91" s="16"/>
      <c r="F91" s="13"/>
      <c r="G91" s="14"/>
      <c r="H91" s="14"/>
      <c r="I91" s="15"/>
    </row>
    <row r="92" spans="1:13" ht="12.75" customHeight="1" x14ac:dyDescent="0.2">
      <c r="A92">
        <f>+MAX($A$8:A91)+1</f>
        <v>78</v>
      </c>
      <c r="B92" t="s">
        <v>294</v>
      </c>
      <c r="C92" t="s">
        <v>270</v>
      </c>
      <c r="D92" t="s">
        <v>285</v>
      </c>
      <c r="E92" s="28">
        <v>1549.4143999999999</v>
      </c>
      <c r="F92" s="13">
        <v>45.308781600000003</v>
      </c>
      <c r="G92" s="14">
        <f>+ROUND(F92/VLOOKUP("Grand Total",$B$4:$F$375,5,0),4)</f>
        <v>0.19070000000000001</v>
      </c>
      <c r="H92" s="14"/>
      <c r="I92" s="15" t="s">
        <v>322</v>
      </c>
      <c r="K92" s="17"/>
      <c r="L92" s="37"/>
    </row>
    <row r="93" spans="1:13" ht="12.75" customHeight="1" x14ac:dyDescent="0.2">
      <c r="A93">
        <f>+MAX($A$8:A92)+1</f>
        <v>79</v>
      </c>
      <c r="B93" t="s">
        <v>380</v>
      </c>
      <c r="C93" t="s">
        <v>308</v>
      </c>
      <c r="D93" t="s">
        <v>285</v>
      </c>
      <c r="E93" s="28">
        <v>1402.9568999999999</v>
      </c>
      <c r="F93" s="13">
        <v>24.228912699999999</v>
      </c>
      <c r="G93" s="14">
        <f>+ROUND(F93/VLOOKUP("Grand Total",$B$4:$F$375,5,0),4)</f>
        <v>0.10199999999999999</v>
      </c>
      <c r="H93" s="14"/>
      <c r="I93" s="15" t="s">
        <v>322</v>
      </c>
      <c r="K93" s="89"/>
      <c r="L93" s="48"/>
    </row>
    <row r="94" spans="1:13" ht="12.75" customHeight="1" x14ac:dyDescent="0.2">
      <c r="B94" s="18" t="s">
        <v>82</v>
      </c>
      <c r="C94" s="18"/>
      <c r="D94" s="18"/>
      <c r="E94" s="29"/>
      <c r="F94" s="19">
        <f>SUM(F92:F93)</f>
        <v>69.537694299999998</v>
      </c>
      <c r="G94" s="20">
        <f>SUM(G92:G93)</f>
        <v>0.29270000000000002</v>
      </c>
      <c r="H94" s="20"/>
      <c r="I94" s="21"/>
      <c r="J94" s="35"/>
    </row>
    <row r="95" spans="1:13" ht="12.75" customHeight="1" x14ac:dyDescent="0.2">
      <c r="F95" s="13"/>
      <c r="G95" s="14"/>
      <c r="H95" s="14"/>
      <c r="I95" s="15"/>
      <c r="M95" s="54"/>
    </row>
    <row r="96" spans="1:13" ht="12.75" customHeight="1" x14ac:dyDescent="0.2">
      <c r="B96" s="16" t="s">
        <v>91</v>
      </c>
      <c r="C96" s="16"/>
      <c r="F96" s="13"/>
      <c r="G96" s="14"/>
      <c r="H96" s="14"/>
      <c r="I96" s="15"/>
    </row>
    <row r="97" spans="2:13" ht="12.75" customHeight="1" x14ac:dyDescent="0.2">
      <c r="B97" s="16" t="s">
        <v>658</v>
      </c>
      <c r="C97" s="16"/>
      <c r="F97" s="13">
        <v>9.9839999999999998E-2</v>
      </c>
      <c r="G97" s="14">
        <f>+ROUND(F97/VLOOKUP("Grand Total",$B$4:$F$375,5,0),4)</f>
        <v>4.0000000000000002E-4</v>
      </c>
      <c r="H97" s="14"/>
      <c r="I97" s="15">
        <v>43313</v>
      </c>
    </row>
    <row r="98" spans="2:13" ht="12.75" customHeight="1" x14ac:dyDescent="0.2">
      <c r="B98" s="16" t="s">
        <v>92</v>
      </c>
      <c r="C98" s="16"/>
      <c r="F98" s="44">
        <f>+F100-SUMIF($B$5:B96,"Total",$F$5:F96)-VLOOKUP(B97,$B$7:F98,5,0)</f>
        <v>3.4303346000000094</v>
      </c>
      <c r="G98" s="14">
        <f>+ROUND(F98/VLOOKUP("Grand Total",$B$4:$F$375,5,0),4)+0.01%</f>
        <v>1.4499999999999999E-2</v>
      </c>
      <c r="H98" s="14"/>
      <c r="I98" s="15"/>
      <c r="K98" s="14"/>
      <c r="M98" s="54"/>
    </row>
    <row r="99" spans="2:13" ht="12.75" customHeight="1" x14ac:dyDescent="0.2">
      <c r="B99" s="18" t="s">
        <v>82</v>
      </c>
      <c r="C99" s="18"/>
      <c r="D99" s="18"/>
      <c r="E99" s="29"/>
      <c r="F99" s="50">
        <f>SUM(F97:F98)</f>
        <v>3.5301746000000094</v>
      </c>
      <c r="G99" s="20">
        <f>SUM(G97:G98)</f>
        <v>1.4899999999999998E-2</v>
      </c>
      <c r="H99" s="20"/>
      <c r="I99" s="21"/>
    </row>
    <row r="100" spans="2:13" ht="12.75" customHeight="1" x14ac:dyDescent="0.2">
      <c r="B100" s="22" t="s">
        <v>93</v>
      </c>
      <c r="C100" s="22"/>
      <c r="D100" s="22"/>
      <c r="E100" s="30"/>
      <c r="F100" s="23">
        <v>237.61515939999998</v>
      </c>
      <c r="G100" s="24">
        <f>+SUMIF($B$5:B99,"Total",$G$5:G99)</f>
        <v>1</v>
      </c>
      <c r="H100" s="24"/>
      <c r="I100" s="25"/>
    </row>
    <row r="101" spans="2:13" ht="12.75" customHeight="1" x14ac:dyDescent="0.2">
      <c r="J101" s="35"/>
    </row>
    <row r="102" spans="2:13" ht="12.75" customHeight="1" x14ac:dyDescent="0.2">
      <c r="J102" s="35"/>
    </row>
    <row r="103" spans="2:13" ht="12.75" customHeight="1" x14ac:dyDescent="0.2"/>
    <row r="104" spans="2:13" ht="12.75" customHeight="1" x14ac:dyDescent="0.2">
      <c r="B104" s="16"/>
      <c r="C104" s="16"/>
    </row>
    <row r="105" spans="2:13" ht="12.75" customHeight="1" x14ac:dyDescent="0.2">
      <c r="B105" s="16"/>
      <c r="C105" s="16"/>
    </row>
    <row r="106" spans="2:13" ht="12.75" customHeight="1" x14ac:dyDescent="0.2">
      <c r="B106" s="16"/>
      <c r="C106" s="16"/>
    </row>
    <row r="107" spans="2:13" ht="12.75" customHeight="1" x14ac:dyDescent="0.2">
      <c r="B107" s="16"/>
      <c r="C107" s="16"/>
    </row>
    <row r="108" spans="2:13" ht="12.75" customHeight="1" x14ac:dyDescent="0.2">
      <c r="B108" s="16"/>
      <c r="C108" s="16"/>
    </row>
    <row r="109" spans="2:13" ht="12.75" customHeight="1" x14ac:dyDescent="0.2"/>
    <row r="110" spans="2:13" ht="12.75" customHeight="1" x14ac:dyDescent="0.2"/>
    <row r="111" spans="2:13" ht="12.75" customHeight="1" x14ac:dyDescent="0.2"/>
    <row r="112" spans="2:1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</sheetData>
  <sortState ref="K9:L35">
    <sortCondition descending="1" ref="L9:L35"/>
  </sortState>
  <mergeCells count="1">
    <mergeCell ref="B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M149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.5703125" customWidth="1"/>
    <col min="4" max="4" width="21.5703125" bestFit="1" customWidth="1"/>
    <col min="5" max="5" width="12.42578125" style="28" bestFit="1" customWidth="1"/>
    <col min="6" max="6" width="22.7109375" bestFit="1" customWidth="1"/>
    <col min="7" max="7" width="14" bestFit="1" customWidth="1"/>
    <col min="8" max="8" width="14" customWidth="1"/>
    <col min="9" max="9" width="13.42578125" customWidth="1"/>
    <col min="10" max="10" width="15" style="33" customWidth="1"/>
    <col min="11" max="11" width="21" customWidth="1"/>
    <col min="12" max="12" width="8.28515625" style="36" bestFit="1" customWidth="1"/>
    <col min="13" max="13" width="13.42578125" bestFit="1" customWidth="1"/>
    <col min="14" max="14" width="10.140625" bestFit="1" customWidth="1"/>
    <col min="18" max="18" width="10.140625" bestFit="1" customWidth="1"/>
  </cols>
  <sheetData>
    <row r="1" spans="1:13" ht="18.75" x14ac:dyDescent="0.2">
      <c r="A1" s="93" t="s">
        <v>343</v>
      </c>
      <c r="B1" s="129" t="s">
        <v>291</v>
      </c>
      <c r="C1" s="130"/>
      <c r="D1" s="130"/>
      <c r="E1" s="130"/>
      <c r="F1" s="130"/>
      <c r="G1" s="130"/>
      <c r="H1" s="66"/>
      <c r="I1" s="66"/>
    </row>
    <row r="2" spans="1:13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  <c r="I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  <c r="I3" s="6"/>
    </row>
    <row r="4" spans="1:13" ht="25.5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126" t="s">
        <v>705</v>
      </c>
      <c r="I4" s="32" t="s">
        <v>6</v>
      </c>
      <c r="J4" s="34"/>
    </row>
    <row r="5" spans="1:13" ht="12.75" customHeight="1" x14ac:dyDescent="0.2">
      <c r="B5" s="16"/>
      <c r="F5" s="13"/>
      <c r="G5" s="14"/>
      <c r="H5" s="14"/>
      <c r="I5" s="15"/>
    </row>
    <row r="6" spans="1:13" ht="12.75" customHeight="1" x14ac:dyDescent="0.2">
      <c r="B6" s="16"/>
      <c r="F6" s="13"/>
      <c r="G6" s="14"/>
      <c r="H6" s="14"/>
      <c r="I6" s="15"/>
    </row>
    <row r="7" spans="1:13" ht="12.75" customHeight="1" x14ac:dyDescent="0.2">
      <c r="B7" s="16" t="s">
        <v>8</v>
      </c>
      <c r="C7" s="16"/>
      <c r="F7" s="13"/>
      <c r="G7" s="14"/>
      <c r="H7" s="14"/>
      <c r="I7" s="15"/>
      <c r="K7" s="17" t="s">
        <v>509</v>
      </c>
      <c r="L7" s="37" t="s">
        <v>11</v>
      </c>
    </row>
    <row r="8" spans="1:13" ht="12.75" customHeight="1" x14ac:dyDescent="0.2">
      <c r="B8" s="16" t="s">
        <v>515</v>
      </c>
      <c r="C8" s="16"/>
      <c r="F8" s="13"/>
      <c r="G8" s="14"/>
      <c r="H8" s="14"/>
      <c r="I8" s="15"/>
      <c r="K8" s="105" t="s">
        <v>22</v>
      </c>
      <c r="L8" s="102">
        <f t="shared" ref="L8:L27" si="0">SUMIFS($G$5:$G$351,$D$5:$D$351,K8)</f>
        <v>0.15540000000000001</v>
      </c>
    </row>
    <row r="9" spans="1:13" s="77" customFormat="1" ht="12.75" customHeight="1" x14ac:dyDescent="0.2">
      <c r="A9" s="77">
        <f>+MAX($A$7:A8)+1</f>
        <v>1</v>
      </c>
      <c r="B9" s="77" t="s">
        <v>556</v>
      </c>
      <c r="C9" s="77" t="s">
        <v>557</v>
      </c>
      <c r="D9" s="77" t="s">
        <v>22</v>
      </c>
      <c r="E9" s="74">
        <v>10500</v>
      </c>
      <c r="F9" s="79">
        <v>92.599500000000006</v>
      </c>
      <c r="G9" s="76">
        <f>+ROUND(F9/VLOOKUP("Grand Total",$B$4:$F$251,5,0),4)</f>
        <v>7.17E-2</v>
      </c>
      <c r="H9" s="76"/>
      <c r="I9" s="103"/>
      <c r="J9" s="104"/>
      <c r="K9" s="105" t="s">
        <v>21</v>
      </c>
      <c r="L9" s="102">
        <f t="shared" si="0"/>
        <v>0.14200000000000002</v>
      </c>
      <c r="M9" s="75"/>
    </row>
    <row r="10" spans="1:13" s="77" customFormat="1" ht="12.75" customHeight="1" x14ac:dyDescent="0.2">
      <c r="A10" s="77">
        <f>+A9+1</f>
        <v>2</v>
      </c>
      <c r="B10" s="77" t="s">
        <v>556</v>
      </c>
      <c r="C10" s="120" t="s">
        <v>704</v>
      </c>
      <c r="D10" s="77" t="s">
        <v>288</v>
      </c>
      <c r="E10" s="74">
        <v>-10500</v>
      </c>
      <c r="F10" s="79">
        <v>-91.439250000000001</v>
      </c>
      <c r="G10" s="76"/>
      <c r="H10" s="127">
        <f>+ROUND(F10/VLOOKUP("Grand Total",$B$4:$F$251,5,0),4)</f>
        <v>-7.0800000000000002E-2</v>
      </c>
      <c r="I10" s="103">
        <v>43342</v>
      </c>
      <c r="J10" s="104"/>
      <c r="K10" s="105" t="s">
        <v>285</v>
      </c>
      <c r="L10" s="102">
        <f t="shared" si="0"/>
        <v>8.6800000000000002E-2</v>
      </c>
      <c r="M10" s="75"/>
    </row>
    <row r="11" spans="1:13" s="77" customFormat="1" ht="12.75" customHeight="1" x14ac:dyDescent="0.2">
      <c r="A11" s="77">
        <f t="shared" ref="A11:A58" si="1">+A10+1</f>
        <v>3</v>
      </c>
      <c r="B11" s="77" t="s">
        <v>219</v>
      </c>
      <c r="C11" s="77" t="s">
        <v>100</v>
      </c>
      <c r="D11" s="77" t="s">
        <v>21</v>
      </c>
      <c r="E11" s="74">
        <v>11200</v>
      </c>
      <c r="F11" s="79">
        <v>92.332800000000006</v>
      </c>
      <c r="G11" s="76">
        <f>+ROUND(F11/VLOOKUP("Grand Total",$B$4:$F$251,5,0),4)</f>
        <v>7.1499999999999994E-2</v>
      </c>
      <c r="H11" s="76"/>
      <c r="I11" s="103"/>
      <c r="J11" s="104"/>
      <c r="K11" s="105" t="s">
        <v>9</v>
      </c>
      <c r="L11" s="102">
        <f t="shared" si="0"/>
        <v>6.88E-2</v>
      </c>
      <c r="M11" s="75"/>
    </row>
    <row r="12" spans="1:13" s="77" customFormat="1" ht="12.75" customHeight="1" x14ac:dyDescent="0.2">
      <c r="A12" s="77">
        <f t="shared" si="1"/>
        <v>4</v>
      </c>
      <c r="B12" s="77" t="s">
        <v>219</v>
      </c>
      <c r="C12" s="120" t="s">
        <v>704</v>
      </c>
      <c r="D12" s="77" t="s">
        <v>288</v>
      </c>
      <c r="E12" s="74">
        <v>-11200</v>
      </c>
      <c r="F12" s="79">
        <v>-92.467200000000005</v>
      </c>
      <c r="G12" s="76"/>
      <c r="H12" s="127">
        <f>+ROUND(F12/VLOOKUP("Grand Total",$B$4:$F$251,5,0),4)</f>
        <v>-7.1599999999999997E-2</v>
      </c>
      <c r="I12" s="103">
        <v>43342</v>
      </c>
      <c r="J12" s="104"/>
      <c r="K12" s="105" t="s">
        <v>152</v>
      </c>
      <c r="L12" s="102">
        <f t="shared" si="0"/>
        <v>6.1499999999999999E-2</v>
      </c>
      <c r="M12" s="75"/>
    </row>
    <row r="13" spans="1:13" s="77" customFormat="1" ht="12.75" customHeight="1" x14ac:dyDescent="0.2">
      <c r="A13" s="77">
        <f t="shared" si="1"/>
        <v>5</v>
      </c>
      <c r="B13" s="77" t="s">
        <v>198</v>
      </c>
      <c r="C13" s="77" t="s">
        <v>63</v>
      </c>
      <c r="D13" s="77" t="s">
        <v>32</v>
      </c>
      <c r="E13" s="74">
        <v>17000</v>
      </c>
      <c r="F13" s="79">
        <v>66.402000000000001</v>
      </c>
      <c r="G13" s="76">
        <f>+ROUND(F13/VLOOKUP("Grand Total",$B$4:$F$251,5,0),4)</f>
        <v>5.1400000000000001E-2</v>
      </c>
      <c r="H13" s="76"/>
      <c r="I13" s="103"/>
      <c r="J13" s="104"/>
      <c r="K13" s="105" t="s">
        <v>32</v>
      </c>
      <c r="L13" s="102">
        <f t="shared" si="0"/>
        <v>5.1400000000000001E-2</v>
      </c>
      <c r="M13" s="75"/>
    </row>
    <row r="14" spans="1:13" s="77" customFormat="1" ht="12.75" customHeight="1" x14ac:dyDescent="0.2">
      <c r="A14" s="77">
        <f t="shared" si="1"/>
        <v>6</v>
      </c>
      <c r="B14" s="77" t="s">
        <v>198</v>
      </c>
      <c r="C14" s="120" t="s">
        <v>704</v>
      </c>
      <c r="D14" s="77" t="s">
        <v>288</v>
      </c>
      <c r="E14" s="74">
        <v>-17000</v>
      </c>
      <c r="F14" s="79">
        <v>-66.078999999999994</v>
      </c>
      <c r="G14" s="76"/>
      <c r="H14" s="127">
        <f>+ROUND(F14/VLOOKUP("Grand Total",$B$4:$F$251,5,0),4)</f>
        <v>-5.1200000000000002E-2</v>
      </c>
      <c r="I14" s="103">
        <v>43342</v>
      </c>
      <c r="J14" s="104"/>
      <c r="K14" s="105" t="s">
        <v>19</v>
      </c>
      <c r="L14" s="102">
        <f t="shared" si="0"/>
        <v>4.1600000000000005E-2</v>
      </c>
      <c r="M14" s="75"/>
    </row>
    <row r="15" spans="1:13" s="77" customFormat="1" ht="12.75" customHeight="1" x14ac:dyDescent="0.2">
      <c r="A15" s="77">
        <f t="shared" si="1"/>
        <v>7</v>
      </c>
      <c r="B15" s="77" t="s">
        <v>295</v>
      </c>
      <c r="C15" s="77" t="s">
        <v>296</v>
      </c>
      <c r="D15" s="77" t="s">
        <v>22</v>
      </c>
      <c r="E15" s="74">
        <v>118800</v>
      </c>
      <c r="F15" s="79">
        <v>55.539000000000001</v>
      </c>
      <c r="G15" s="76">
        <f>+ROUND(F15/VLOOKUP("Grand Total",$B$4:$F$251,5,0),4)</f>
        <v>4.2999999999999997E-2</v>
      </c>
      <c r="H15" s="76"/>
      <c r="I15" s="103"/>
      <c r="J15" s="104"/>
      <c r="K15" s="105" t="s">
        <v>261</v>
      </c>
      <c r="L15" s="102">
        <f t="shared" si="0"/>
        <v>3.8199999999999998E-2</v>
      </c>
      <c r="M15" s="75"/>
    </row>
    <row r="16" spans="1:13" s="77" customFormat="1" ht="12.75" customHeight="1" x14ac:dyDescent="0.2">
      <c r="A16" s="77">
        <f t="shared" si="1"/>
        <v>8</v>
      </c>
      <c r="B16" s="77" t="s">
        <v>295</v>
      </c>
      <c r="C16" s="120" t="s">
        <v>704</v>
      </c>
      <c r="D16" s="77" t="s">
        <v>288</v>
      </c>
      <c r="E16" s="74">
        <v>-118800</v>
      </c>
      <c r="F16" s="79">
        <v>-55.717199999999998</v>
      </c>
      <c r="G16" s="76"/>
      <c r="H16" s="127">
        <f>+ROUND(F16/VLOOKUP("Grand Total",$B$4:$F$251,5,0),4)</f>
        <v>-4.3099999999999999E-2</v>
      </c>
      <c r="I16" s="103">
        <v>43342</v>
      </c>
      <c r="J16" s="104"/>
      <c r="K16" s="105" t="s">
        <v>34</v>
      </c>
      <c r="L16" s="102">
        <f t="shared" si="0"/>
        <v>3.7400000000000003E-2</v>
      </c>
      <c r="M16" s="75"/>
    </row>
    <row r="17" spans="1:13" s="77" customFormat="1" ht="12.75" customHeight="1" x14ac:dyDescent="0.2">
      <c r="A17" s="77">
        <f t="shared" si="1"/>
        <v>9</v>
      </c>
      <c r="B17" s="77" t="s">
        <v>179</v>
      </c>
      <c r="C17" s="77" t="s">
        <v>10</v>
      </c>
      <c r="D17" s="77" t="s">
        <v>9</v>
      </c>
      <c r="E17" s="74">
        <v>16500</v>
      </c>
      <c r="F17" s="79">
        <v>50.201250000000002</v>
      </c>
      <c r="G17" s="76">
        <f>+ROUND(F17/VLOOKUP("Grand Total",$B$4:$F$251,5,0),4)</f>
        <v>3.8899999999999997E-2</v>
      </c>
      <c r="H17" s="76"/>
      <c r="I17" s="103"/>
      <c r="J17" s="104"/>
      <c r="K17" s="105" t="s">
        <v>723</v>
      </c>
      <c r="L17" s="102">
        <f t="shared" si="0"/>
        <v>3.6299999999999999E-2</v>
      </c>
      <c r="M17" s="75"/>
    </row>
    <row r="18" spans="1:13" s="77" customFormat="1" ht="12.75" customHeight="1" x14ac:dyDescent="0.2">
      <c r="A18" s="77">
        <f t="shared" si="1"/>
        <v>10</v>
      </c>
      <c r="B18" s="77" t="s">
        <v>179</v>
      </c>
      <c r="C18" s="120" t="s">
        <v>704</v>
      </c>
      <c r="D18" s="77" t="s">
        <v>288</v>
      </c>
      <c r="E18" s="74">
        <v>-16500</v>
      </c>
      <c r="F18" s="79">
        <v>-50.094000000000001</v>
      </c>
      <c r="G18" s="76"/>
      <c r="H18" s="127">
        <f>+ROUND(F18/VLOOKUP("Grand Total",$B$4:$F$251,5,0),4)</f>
        <v>-3.8800000000000001E-2</v>
      </c>
      <c r="I18" s="103">
        <v>43342</v>
      </c>
      <c r="J18" s="104"/>
      <c r="K18" s="105" t="s">
        <v>102</v>
      </c>
      <c r="L18" s="102">
        <f t="shared" si="0"/>
        <v>3.5999999999999997E-2</v>
      </c>
      <c r="M18" s="75"/>
    </row>
    <row r="19" spans="1:13" s="77" customFormat="1" ht="12.75" customHeight="1" x14ac:dyDescent="0.2">
      <c r="A19" s="77">
        <f t="shared" si="1"/>
        <v>11</v>
      </c>
      <c r="B19" s="77" t="s">
        <v>199</v>
      </c>
      <c r="C19" s="77" t="s">
        <v>59</v>
      </c>
      <c r="D19" s="77" t="s">
        <v>21</v>
      </c>
      <c r="E19" s="74">
        <v>8000</v>
      </c>
      <c r="F19" s="79">
        <v>47.323999999999998</v>
      </c>
      <c r="G19" s="76">
        <f>+ROUND(F19/VLOOKUP("Grand Total",$B$4:$F$251,5,0),4)</f>
        <v>3.6600000000000001E-2</v>
      </c>
      <c r="H19" s="76"/>
      <c r="I19" s="103"/>
      <c r="J19" s="104"/>
      <c r="K19" s="105" t="s">
        <v>17</v>
      </c>
      <c r="L19" s="102">
        <f t="shared" si="0"/>
        <v>3.1699999999999999E-2</v>
      </c>
      <c r="M19" s="75"/>
    </row>
    <row r="20" spans="1:13" s="77" customFormat="1" ht="12.75" customHeight="1" x14ac:dyDescent="0.2">
      <c r="A20" s="77">
        <f t="shared" si="1"/>
        <v>12</v>
      </c>
      <c r="B20" s="77" t="s">
        <v>199</v>
      </c>
      <c r="C20" s="120" t="s">
        <v>704</v>
      </c>
      <c r="D20" s="77" t="s">
        <v>288</v>
      </c>
      <c r="E20" s="74">
        <v>-8000</v>
      </c>
      <c r="F20" s="79">
        <v>-47.508000000000003</v>
      </c>
      <c r="G20" s="76"/>
      <c r="H20" s="127">
        <f>+ROUND(F20/VLOOKUP("Grand Total",$B$4:$F$251,5,0),4)</f>
        <v>-3.6799999999999999E-2</v>
      </c>
      <c r="I20" s="103">
        <v>43342</v>
      </c>
      <c r="J20" s="104"/>
      <c r="K20" s="105" t="s">
        <v>463</v>
      </c>
      <c r="L20" s="102">
        <f t="shared" si="0"/>
        <v>3.0700000000000002E-2</v>
      </c>
      <c r="M20" s="75"/>
    </row>
    <row r="21" spans="1:13" s="77" customFormat="1" ht="12.75" customHeight="1" x14ac:dyDescent="0.2">
      <c r="A21" s="77">
        <f t="shared" si="1"/>
        <v>13</v>
      </c>
      <c r="B21" s="77" t="s">
        <v>721</v>
      </c>
      <c r="C21" s="77" t="s">
        <v>722</v>
      </c>
      <c r="D21" s="77" t="s">
        <v>723</v>
      </c>
      <c r="E21" s="74">
        <v>24000</v>
      </c>
      <c r="F21" s="79">
        <v>46.908000000000001</v>
      </c>
      <c r="G21" s="76">
        <f>+ROUND(F21/VLOOKUP("Grand Total",$B$4:$F$251,5,0),4)</f>
        <v>3.6299999999999999E-2</v>
      </c>
      <c r="H21" s="76"/>
      <c r="I21" s="103"/>
      <c r="J21" s="104"/>
      <c r="K21" s="105" t="s">
        <v>459</v>
      </c>
      <c r="L21" s="102">
        <f t="shared" si="0"/>
        <v>3.0599999999999999E-2</v>
      </c>
      <c r="M21" s="75"/>
    </row>
    <row r="22" spans="1:13" s="77" customFormat="1" ht="12.75" customHeight="1" x14ac:dyDescent="0.2">
      <c r="A22" s="77">
        <f t="shared" si="1"/>
        <v>14</v>
      </c>
      <c r="B22" s="77" t="s">
        <v>721</v>
      </c>
      <c r="C22" s="120" t="s">
        <v>704</v>
      </c>
      <c r="D22" s="77" t="s">
        <v>288</v>
      </c>
      <c r="E22" s="74">
        <v>-24000</v>
      </c>
      <c r="F22" s="79">
        <v>-47.292000000000002</v>
      </c>
      <c r="G22" s="76"/>
      <c r="H22" s="127">
        <f>+ROUND(F22/VLOOKUP("Grand Total",$B$4:$F$251,5,0),4)</f>
        <v>-3.6600000000000001E-2</v>
      </c>
      <c r="I22" s="103">
        <v>43342</v>
      </c>
      <c r="J22" s="104"/>
      <c r="K22" s="105" t="s">
        <v>30</v>
      </c>
      <c r="L22" s="102">
        <f t="shared" si="0"/>
        <v>2.7199999999999998E-2</v>
      </c>
      <c r="M22" s="75"/>
    </row>
    <row r="23" spans="1:13" s="77" customFormat="1" ht="12.75" customHeight="1" x14ac:dyDescent="0.2">
      <c r="A23" s="77">
        <f t="shared" si="1"/>
        <v>15</v>
      </c>
      <c r="B23" s="77" t="s">
        <v>470</v>
      </c>
      <c r="C23" s="77" t="s">
        <v>471</v>
      </c>
      <c r="D23" s="77" t="s">
        <v>102</v>
      </c>
      <c r="E23" s="74">
        <v>60000</v>
      </c>
      <c r="F23" s="79">
        <v>46.5</v>
      </c>
      <c r="G23" s="76">
        <f>+ROUND(F23/VLOOKUP("Grand Total",$B$4:$F$251,5,0),4)</f>
        <v>3.5999999999999997E-2</v>
      </c>
      <c r="H23" s="76"/>
      <c r="I23" s="103"/>
      <c r="J23" s="104"/>
      <c r="K23" s="105" t="s">
        <v>35</v>
      </c>
      <c r="L23" s="102">
        <f t="shared" si="0"/>
        <v>1.15E-2</v>
      </c>
      <c r="M23" s="75"/>
    </row>
    <row r="24" spans="1:13" s="77" customFormat="1" ht="12.75" customHeight="1" x14ac:dyDescent="0.2">
      <c r="A24" s="77">
        <f t="shared" si="1"/>
        <v>16</v>
      </c>
      <c r="B24" s="77" t="s">
        <v>470</v>
      </c>
      <c r="C24" s="120" t="s">
        <v>704</v>
      </c>
      <c r="D24" s="77" t="s">
        <v>288</v>
      </c>
      <c r="E24" s="74">
        <v>-60000</v>
      </c>
      <c r="F24" s="79">
        <v>-46.74</v>
      </c>
      <c r="G24" s="76"/>
      <c r="H24" s="127">
        <f>+ROUND(F24/VLOOKUP("Grand Total",$B$4:$F$251,5,0),4)</f>
        <v>-3.6200000000000003E-2</v>
      </c>
      <c r="I24" s="103">
        <v>43342</v>
      </c>
      <c r="J24" s="104"/>
      <c r="K24" s="105" t="s">
        <v>45</v>
      </c>
      <c r="L24" s="102">
        <f t="shared" si="0"/>
        <v>1.06E-2</v>
      </c>
      <c r="M24" s="75"/>
    </row>
    <row r="25" spans="1:13" s="77" customFormat="1" ht="12.75" customHeight="1" x14ac:dyDescent="0.2">
      <c r="A25" s="77">
        <f t="shared" si="1"/>
        <v>17</v>
      </c>
      <c r="B25" s="77" t="s">
        <v>365</v>
      </c>
      <c r="C25" s="77" t="s">
        <v>66</v>
      </c>
      <c r="D25" s="77" t="s">
        <v>21</v>
      </c>
      <c r="E25" s="74">
        <v>7700</v>
      </c>
      <c r="F25" s="79">
        <v>43.774500000000003</v>
      </c>
      <c r="G25" s="76">
        <f>+ROUND(F25/VLOOKUP("Grand Total",$B$4:$F$251,5,0),4)</f>
        <v>3.39E-2</v>
      </c>
      <c r="H25" s="76"/>
      <c r="I25" s="103"/>
      <c r="J25" s="104"/>
      <c r="K25" s="105" t="s">
        <v>101</v>
      </c>
      <c r="L25" s="102">
        <f t="shared" si="0"/>
        <v>7.0000000000000001E-3</v>
      </c>
      <c r="M25" s="75"/>
    </row>
    <row r="26" spans="1:13" s="77" customFormat="1" ht="12.75" customHeight="1" x14ac:dyDescent="0.2">
      <c r="A26" s="77">
        <f t="shared" si="1"/>
        <v>18</v>
      </c>
      <c r="B26" s="77" t="s">
        <v>365</v>
      </c>
      <c r="C26" s="120" t="s">
        <v>704</v>
      </c>
      <c r="D26" s="77" t="s">
        <v>288</v>
      </c>
      <c r="E26" s="74">
        <v>-7700</v>
      </c>
      <c r="F26" s="79">
        <v>-43.851500000000001</v>
      </c>
      <c r="G26" s="76"/>
      <c r="H26" s="127">
        <f>+ROUND(F26/VLOOKUP("Grand Total",$B$4:$F$251,5,0),4)</f>
        <v>-3.4000000000000002E-2</v>
      </c>
      <c r="I26" s="103">
        <v>43342</v>
      </c>
      <c r="J26" s="104"/>
      <c r="K26" s="105" t="s">
        <v>98</v>
      </c>
      <c r="L26" s="102">
        <f t="shared" si="0"/>
        <v>6.1999999999999998E-3</v>
      </c>
      <c r="M26" s="75"/>
    </row>
    <row r="27" spans="1:13" s="77" customFormat="1" ht="12.75" customHeight="1" x14ac:dyDescent="0.2">
      <c r="A27" s="77">
        <f t="shared" si="1"/>
        <v>19</v>
      </c>
      <c r="B27" s="77" t="s">
        <v>505</v>
      </c>
      <c r="C27" s="77" t="s">
        <v>506</v>
      </c>
      <c r="D27" s="77" t="s">
        <v>34</v>
      </c>
      <c r="E27" s="74">
        <v>4400</v>
      </c>
      <c r="F27" s="79">
        <v>41.560200000000002</v>
      </c>
      <c r="G27" s="76">
        <f>+ROUND(F27/VLOOKUP("Grand Total",$B$4:$F$251,5,0),4)</f>
        <v>3.2199999999999999E-2</v>
      </c>
      <c r="H27" s="76"/>
      <c r="I27" s="103"/>
      <c r="J27" s="104"/>
      <c r="K27" s="105" t="s">
        <v>24</v>
      </c>
      <c r="L27" s="102">
        <f t="shared" si="0"/>
        <v>5.4999999999999997E-3</v>
      </c>
      <c r="M27" s="75"/>
    </row>
    <row r="28" spans="1:13" s="77" customFormat="1" ht="12.75" customHeight="1" x14ac:dyDescent="0.2">
      <c r="A28" s="77">
        <f t="shared" si="1"/>
        <v>20</v>
      </c>
      <c r="B28" s="77" t="s">
        <v>505</v>
      </c>
      <c r="C28" s="120" t="s">
        <v>704</v>
      </c>
      <c r="D28" s="77" t="s">
        <v>288</v>
      </c>
      <c r="E28" s="74">
        <v>-4400</v>
      </c>
      <c r="F28" s="79">
        <v>-41.8264</v>
      </c>
      <c r="G28" s="76"/>
      <c r="H28" s="127">
        <f>+ROUND(F28/VLOOKUP("Grand Total",$B$4:$F$251,5,0),4)</f>
        <v>-3.2399999999999998E-2</v>
      </c>
      <c r="I28" s="103">
        <v>43342</v>
      </c>
      <c r="J28" s="104"/>
      <c r="K28" s="14" t="s">
        <v>62</v>
      </c>
      <c r="L28" s="48">
        <f>+SUMIFS($G$5:$G$998,$B$5:$B$998,"CBLO / Reverse Repo")+SUMIFS($G$5:$G$998,$B$5:$B$998,"Net Receivable/Payable")</f>
        <v>8.3600000000000008E-2</v>
      </c>
      <c r="M28" s="75"/>
    </row>
    <row r="29" spans="1:13" s="77" customFormat="1" ht="12.75" customHeight="1" x14ac:dyDescent="0.2">
      <c r="A29" s="77">
        <f t="shared" si="1"/>
        <v>21</v>
      </c>
      <c r="B29" s="77" t="s">
        <v>277</v>
      </c>
      <c r="C29" s="77" t="s">
        <v>65</v>
      </c>
      <c r="D29" s="77" t="s">
        <v>17</v>
      </c>
      <c r="E29" s="74">
        <v>35000</v>
      </c>
      <c r="F29" s="79">
        <v>40.967500000000001</v>
      </c>
      <c r="G29" s="76">
        <f>+ROUND(F29/VLOOKUP("Grand Total",$B$4:$F$251,5,0),4)</f>
        <v>3.1699999999999999E-2</v>
      </c>
      <c r="H29" s="76"/>
      <c r="I29" s="103"/>
      <c r="J29" s="104"/>
      <c r="K29" s="105"/>
      <c r="L29" s="102"/>
      <c r="M29" s="75"/>
    </row>
    <row r="30" spans="1:13" s="77" customFormat="1" ht="12.75" customHeight="1" x14ac:dyDescent="0.2">
      <c r="A30" s="77">
        <f t="shared" si="1"/>
        <v>22</v>
      </c>
      <c r="B30" s="77" t="s">
        <v>277</v>
      </c>
      <c r="C30" s="120" t="s">
        <v>704</v>
      </c>
      <c r="D30" s="77" t="s">
        <v>288</v>
      </c>
      <c r="E30" s="74">
        <v>-35000</v>
      </c>
      <c r="F30" s="79">
        <v>-41.177500000000002</v>
      </c>
      <c r="G30" s="76"/>
      <c r="H30" s="127">
        <f>+ROUND(F30/VLOOKUP("Grand Total",$B$4:$F$251,5,0),4)</f>
        <v>-3.1899999999999998E-2</v>
      </c>
      <c r="I30" s="103">
        <v>43342</v>
      </c>
      <c r="J30" s="104"/>
      <c r="K30" s="105"/>
      <c r="L30" s="102"/>
      <c r="M30" s="75"/>
    </row>
    <row r="31" spans="1:13" s="77" customFormat="1" ht="12.75" customHeight="1" x14ac:dyDescent="0.2">
      <c r="A31" s="77">
        <f t="shared" si="1"/>
        <v>23</v>
      </c>
      <c r="B31" s="77" t="s">
        <v>228</v>
      </c>
      <c r="C31" s="77" t="s">
        <v>444</v>
      </c>
      <c r="D31" s="77" t="s">
        <v>9</v>
      </c>
      <c r="E31" s="74">
        <v>10500</v>
      </c>
      <c r="F31" s="79">
        <v>38.634749999999997</v>
      </c>
      <c r="G31" s="76">
        <f>+ROUND(F31/VLOOKUP("Grand Total",$B$4:$F$251,5,0),4)</f>
        <v>2.9899999999999999E-2</v>
      </c>
      <c r="H31" s="76"/>
      <c r="I31" s="103"/>
      <c r="J31" s="104"/>
      <c r="K31" s="105"/>
      <c r="L31" s="102"/>
      <c r="M31" s="75"/>
    </row>
    <row r="32" spans="1:13" s="77" customFormat="1" ht="12.75" customHeight="1" x14ac:dyDescent="0.2">
      <c r="A32" s="77">
        <f t="shared" si="1"/>
        <v>24</v>
      </c>
      <c r="B32" s="77" t="s">
        <v>228</v>
      </c>
      <c r="C32" s="120" t="s">
        <v>704</v>
      </c>
      <c r="D32" s="77" t="s">
        <v>288</v>
      </c>
      <c r="E32" s="74">
        <v>-10500</v>
      </c>
      <c r="F32" s="79">
        <v>-38.839500000000001</v>
      </c>
      <c r="G32" s="76"/>
      <c r="H32" s="127">
        <f>+ROUND(F32/VLOOKUP("Grand Total",$B$4:$F$251,5,0),4)</f>
        <v>-3.0099999999999998E-2</v>
      </c>
      <c r="I32" s="103">
        <v>43342</v>
      </c>
      <c r="J32" s="104"/>
      <c r="K32" s="105"/>
      <c r="L32" s="102"/>
      <c r="M32" s="75"/>
    </row>
    <row r="33" spans="1:13" s="77" customFormat="1" ht="12.75" customHeight="1" x14ac:dyDescent="0.2">
      <c r="A33" s="77">
        <f t="shared" si="1"/>
        <v>25</v>
      </c>
      <c r="B33" s="77" t="s">
        <v>202</v>
      </c>
      <c r="C33" s="77" t="s">
        <v>71</v>
      </c>
      <c r="D33" s="77" t="s">
        <v>30</v>
      </c>
      <c r="E33" s="74">
        <v>17500</v>
      </c>
      <c r="F33" s="79">
        <v>35.157499999999999</v>
      </c>
      <c r="G33" s="76">
        <f>+ROUND(F33/VLOOKUP("Grand Total",$B$4:$F$251,5,0),4)</f>
        <v>2.7199999999999998E-2</v>
      </c>
      <c r="H33" s="76"/>
      <c r="I33" s="103"/>
      <c r="J33" s="104"/>
      <c r="K33" s="105"/>
      <c r="L33" s="102"/>
      <c r="M33" s="75"/>
    </row>
    <row r="34" spans="1:13" s="77" customFormat="1" ht="12.75" customHeight="1" x14ac:dyDescent="0.2">
      <c r="A34" s="77">
        <f t="shared" si="1"/>
        <v>26</v>
      </c>
      <c r="B34" s="77" t="s">
        <v>202</v>
      </c>
      <c r="C34" s="120" t="s">
        <v>704</v>
      </c>
      <c r="D34" s="77" t="s">
        <v>288</v>
      </c>
      <c r="E34" s="74">
        <v>-17500</v>
      </c>
      <c r="F34" s="79">
        <v>-34.825000000000003</v>
      </c>
      <c r="G34" s="76"/>
      <c r="H34" s="127">
        <f>+ROUND(F34/VLOOKUP("Grand Total",$B$4:$F$251,5,0),4)</f>
        <v>-2.7E-2</v>
      </c>
      <c r="I34" s="103">
        <v>43342</v>
      </c>
      <c r="J34" s="104"/>
      <c r="K34" s="105"/>
      <c r="L34" s="102"/>
      <c r="M34" s="75"/>
    </row>
    <row r="35" spans="1:13" s="77" customFormat="1" ht="12.75" customHeight="1" x14ac:dyDescent="0.2">
      <c r="A35" s="77">
        <f t="shared" si="1"/>
        <v>27</v>
      </c>
      <c r="B35" s="77" t="s">
        <v>186</v>
      </c>
      <c r="C35" s="77" t="s">
        <v>42</v>
      </c>
      <c r="D35" s="77" t="s">
        <v>22</v>
      </c>
      <c r="E35" s="74">
        <v>4500</v>
      </c>
      <c r="F35" s="79">
        <v>27.022500000000001</v>
      </c>
      <c r="G35" s="76">
        <f>+ROUND(F35/VLOOKUP("Grand Total",$B$4:$F$251,5,0),4)</f>
        <v>2.0899999999999998E-2</v>
      </c>
      <c r="H35" s="76"/>
      <c r="I35" s="103"/>
      <c r="J35" s="104"/>
      <c r="K35" s="105"/>
      <c r="L35" s="102"/>
      <c r="M35" s="75"/>
    </row>
    <row r="36" spans="1:13" s="77" customFormat="1" ht="12.75" customHeight="1" x14ac:dyDescent="0.2">
      <c r="A36" s="77">
        <f t="shared" si="1"/>
        <v>28</v>
      </c>
      <c r="B36" s="77" t="s">
        <v>186</v>
      </c>
      <c r="C36" s="120" t="s">
        <v>704</v>
      </c>
      <c r="D36" s="77" t="s">
        <v>288</v>
      </c>
      <c r="E36" s="74">
        <v>-4500</v>
      </c>
      <c r="F36" s="79">
        <v>-27.164249999999999</v>
      </c>
      <c r="G36" s="76"/>
      <c r="H36" s="127">
        <f>+ROUND(F36/VLOOKUP("Grand Total",$B$4:$F$251,5,0),4)</f>
        <v>-2.1000000000000001E-2</v>
      </c>
      <c r="I36" s="103">
        <v>43342</v>
      </c>
      <c r="J36" s="104"/>
      <c r="K36" s="105"/>
      <c r="L36" s="102"/>
      <c r="M36" s="75"/>
    </row>
    <row r="37" spans="1:13" s="77" customFormat="1" ht="12.75" customHeight="1" x14ac:dyDescent="0.2">
      <c r="A37" s="77">
        <f t="shared" si="1"/>
        <v>29</v>
      </c>
      <c r="B37" s="77" t="s">
        <v>403</v>
      </c>
      <c r="C37" s="77" t="s">
        <v>404</v>
      </c>
      <c r="D37" s="77" t="s">
        <v>19</v>
      </c>
      <c r="E37" s="74">
        <v>2200</v>
      </c>
      <c r="F37" s="79">
        <v>20.417100000000001</v>
      </c>
      <c r="G37" s="76">
        <f>+ROUND(F37/VLOOKUP("Grand Total",$B$4:$F$251,5,0),4)</f>
        <v>1.5800000000000002E-2</v>
      </c>
      <c r="H37" s="76"/>
      <c r="I37" s="103"/>
      <c r="J37" s="104"/>
      <c r="K37" s="105"/>
      <c r="L37" s="102"/>
      <c r="M37" s="75"/>
    </row>
    <row r="38" spans="1:13" s="77" customFormat="1" ht="12.75" customHeight="1" x14ac:dyDescent="0.2">
      <c r="A38" s="77">
        <f t="shared" si="1"/>
        <v>30</v>
      </c>
      <c r="B38" s="77" t="s">
        <v>403</v>
      </c>
      <c r="C38" s="120" t="s">
        <v>704</v>
      </c>
      <c r="D38" s="77" t="s">
        <v>288</v>
      </c>
      <c r="E38" s="74">
        <v>-2200</v>
      </c>
      <c r="F38" s="79">
        <v>-20.4787</v>
      </c>
      <c r="G38" s="76"/>
      <c r="H38" s="127">
        <f>+ROUND(F38/VLOOKUP("Grand Total",$B$4:$F$251,5,0),4)</f>
        <v>-1.5900000000000001E-2</v>
      </c>
      <c r="I38" s="103">
        <v>43342</v>
      </c>
      <c r="J38" s="104"/>
      <c r="K38" s="105"/>
      <c r="L38" s="102"/>
      <c r="M38" s="75"/>
    </row>
    <row r="39" spans="1:13" s="77" customFormat="1" ht="12.75" customHeight="1" x14ac:dyDescent="0.2">
      <c r="A39" s="77">
        <f t="shared" si="1"/>
        <v>31</v>
      </c>
      <c r="B39" s="77" t="s">
        <v>180</v>
      </c>
      <c r="C39" s="77" t="s">
        <v>20</v>
      </c>
      <c r="D39" s="77" t="s">
        <v>19</v>
      </c>
      <c r="E39" s="74">
        <v>7500</v>
      </c>
      <c r="F39" s="79">
        <v>19.807500000000001</v>
      </c>
      <c r="G39" s="76">
        <f>+ROUND(F39/VLOOKUP("Grand Total",$B$4:$F$251,5,0),4)</f>
        <v>1.5299999999999999E-2</v>
      </c>
      <c r="H39" s="76"/>
      <c r="I39" s="103"/>
      <c r="J39" s="104"/>
      <c r="K39" s="105"/>
      <c r="L39" s="102"/>
      <c r="M39" s="75"/>
    </row>
    <row r="40" spans="1:13" s="77" customFormat="1" ht="12.75" customHeight="1" x14ac:dyDescent="0.2">
      <c r="A40" s="77">
        <f t="shared" si="1"/>
        <v>32</v>
      </c>
      <c r="B40" s="77" t="s">
        <v>180</v>
      </c>
      <c r="C40" s="120" t="s">
        <v>704</v>
      </c>
      <c r="D40" s="77" t="s">
        <v>288</v>
      </c>
      <c r="E40" s="74">
        <v>-7500</v>
      </c>
      <c r="F40" s="79">
        <v>-19.87125</v>
      </c>
      <c r="G40" s="76"/>
      <c r="H40" s="127">
        <f>+ROUND(F40/VLOOKUP("Grand Total",$B$4:$F$251,5,0),4)</f>
        <v>-1.54E-2</v>
      </c>
      <c r="I40" s="103">
        <v>43342</v>
      </c>
      <c r="J40" s="104"/>
      <c r="K40" s="105"/>
      <c r="L40" s="102"/>
      <c r="M40" s="75"/>
    </row>
    <row r="41" spans="1:13" s="77" customFormat="1" ht="12.75" customHeight="1" x14ac:dyDescent="0.2">
      <c r="A41" s="77">
        <f t="shared" si="1"/>
        <v>33</v>
      </c>
      <c r="B41" s="77" t="s">
        <v>205</v>
      </c>
      <c r="C41" s="77" t="s">
        <v>206</v>
      </c>
      <c r="D41" s="77" t="s">
        <v>35</v>
      </c>
      <c r="E41" s="74">
        <v>4800</v>
      </c>
      <c r="F41" s="79">
        <v>14.832000000000001</v>
      </c>
      <c r="G41" s="76">
        <f>+ROUND(F41/VLOOKUP("Grand Total",$B$4:$F$251,5,0),4)</f>
        <v>1.15E-2</v>
      </c>
      <c r="H41" s="76"/>
      <c r="I41" s="103"/>
      <c r="J41" s="104"/>
      <c r="K41" s="105"/>
      <c r="L41" s="102"/>
      <c r="M41" s="75"/>
    </row>
    <row r="42" spans="1:13" s="77" customFormat="1" ht="12.75" customHeight="1" x14ac:dyDescent="0.2">
      <c r="A42" s="77">
        <f t="shared" si="1"/>
        <v>34</v>
      </c>
      <c r="B42" s="77" t="s">
        <v>205</v>
      </c>
      <c r="C42" s="120" t="s">
        <v>704</v>
      </c>
      <c r="D42" s="77" t="s">
        <v>288</v>
      </c>
      <c r="E42" s="74">
        <v>-4800</v>
      </c>
      <c r="F42" s="79">
        <v>-14.88</v>
      </c>
      <c r="G42" s="76"/>
      <c r="H42" s="127">
        <f>+ROUND(F42/VLOOKUP("Grand Total",$B$4:$F$251,5,0),4)</f>
        <v>-1.15E-2</v>
      </c>
      <c r="I42" s="103">
        <v>43342</v>
      </c>
      <c r="J42" s="104"/>
      <c r="K42" s="105"/>
      <c r="L42" s="102"/>
      <c r="M42" s="75"/>
    </row>
    <row r="43" spans="1:13" s="77" customFormat="1" ht="12.75" customHeight="1" x14ac:dyDescent="0.2">
      <c r="A43" s="77">
        <f t="shared" si="1"/>
        <v>35</v>
      </c>
      <c r="B43" s="77" t="s">
        <v>257</v>
      </c>
      <c r="C43" s="77" t="s">
        <v>162</v>
      </c>
      <c r="D43" s="77" t="s">
        <v>45</v>
      </c>
      <c r="E43" s="74">
        <v>6000</v>
      </c>
      <c r="F43" s="79">
        <v>13.749000000000001</v>
      </c>
      <c r="G43" s="76">
        <f>+ROUND(F43/VLOOKUP("Grand Total",$B$4:$F$251,5,0),4)</f>
        <v>1.06E-2</v>
      </c>
      <c r="H43" s="76"/>
      <c r="I43" s="103"/>
      <c r="J43" s="104"/>
      <c r="K43" s="105"/>
      <c r="L43" s="102"/>
      <c r="M43" s="75"/>
    </row>
    <row r="44" spans="1:13" s="77" customFormat="1" ht="12.75" customHeight="1" x14ac:dyDescent="0.2">
      <c r="A44" s="77">
        <f t="shared" si="1"/>
        <v>36</v>
      </c>
      <c r="B44" s="77" t="s">
        <v>257</v>
      </c>
      <c r="C44" s="120" t="s">
        <v>704</v>
      </c>
      <c r="D44" s="77" t="s">
        <v>288</v>
      </c>
      <c r="E44" s="74">
        <v>-6000</v>
      </c>
      <c r="F44" s="79">
        <v>-13.833</v>
      </c>
      <c r="G44" s="76"/>
      <c r="H44" s="127">
        <f>+ROUND(F44/VLOOKUP("Grand Total",$B$4:$F$251,5,0),4)</f>
        <v>-1.0699999999999999E-2</v>
      </c>
      <c r="I44" s="103">
        <v>43342</v>
      </c>
      <c r="J44" s="104"/>
      <c r="K44" s="105"/>
      <c r="L44" s="102"/>
      <c r="M44" s="75"/>
    </row>
    <row r="45" spans="1:13" s="77" customFormat="1" ht="12.75" customHeight="1" x14ac:dyDescent="0.2">
      <c r="A45" s="77">
        <f t="shared" si="1"/>
        <v>37</v>
      </c>
      <c r="B45" s="77" t="s">
        <v>183</v>
      </c>
      <c r="C45" s="77" t="s">
        <v>37</v>
      </c>
      <c r="D45" s="77" t="s">
        <v>19</v>
      </c>
      <c r="E45" s="74">
        <v>500</v>
      </c>
      <c r="F45" s="79">
        <v>13.500249999999999</v>
      </c>
      <c r="G45" s="76">
        <f>+ROUND(F45/VLOOKUP("Grand Total",$B$4:$F$251,5,0),4)</f>
        <v>1.0500000000000001E-2</v>
      </c>
      <c r="H45" s="76"/>
      <c r="I45" s="103"/>
      <c r="J45" s="104"/>
      <c r="K45" s="105"/>
      <c r="L45" s="102"/>
      <c r="M45" s="75"/>
    </row>
    <row r="46" spans="1:13" s="77" customFormat="1" ht="12.75" customHeight="1" x14ac:dyDescent="0.2">
      <c r="A46" s="77">
        <f t="shared" si="1"/>
        <v>38</v>
      </c>
      <c r="B46" s="77" t="s">
        <v>183</v>
      </c>
      <c r="C46" s="120" t="s">
        <v>704</v>
      </c>
      <c r="D46" s="77" t="s">
        <v>288</v>
      </c>
      <c r="E46" s="74">
        <v>-500</v>
      </c>
      <c r="F46" s="79">
        <v>-13.574</v>
      </c>
      <c r="G46" s="76"/>
      <c r="H46" s="127">
        <f>+ROUND(F46/VLOOKUP("Grand Total",$B$4:$F$251,5,0),4)</f>
        <v>-1.0500000000000001E-2</v>
      </c>
      <c r="I46" s="103">
        <v>43342</v>
      </c>
      <c r="J46" s="104"/>
      <c r="K46" s="105"/>
      <c r="L46" s="102"/>
      <c r="M46" s="75"/>
    </row>
    <row r="47" spans="1:13" s="77" customFormat="1" ht="12.75" customHeight="1" x14ac:dyDescent="0.2">
      <c r="A47" s="77">
        <f t="shared" si="1"/>
        <v>39</v>
      </c>
      <c r="B47" s="77" t="s">
        <v>306</v>
      </c>
      <c r="C47" s="77" t="s">
        <v>307</v>
      </c>
      <c r="D47" s="77" t="s">
        <v>22</v>
      </c>
      <c r="E47" s="74">
        <v>1000</v>
      </c>
      <c r="F47" s="79">
        <v>12.970499999999999</v>
      </c>
      <c r="G47" s="76">
        <f>+ROUND(F47/VLOOKUP("Grand Total",$B$4:$F$251,5,0),4)</f>
        <v>0.01</v>
      </c>
      <c r="H47" s="76"/>
      <c r="I47" s="103"/>
      <c r="J47" s="104"/>
      <c r="K47" s="105"/>
      <c r="L47" s="102"/>
      <c r="M47" s="75"/>
    </row>
    <row r="48" spans="1:13" s="77" customFormat="1" ht="12.75" customHeight="1" x14ac:dyDescent="0.2">
      <c r="A48" s="77">
        <f t="shared" si="1"/>
        <v>40</v>
      </c>
      <c r="B48" s="77" t="s">
        <v>306</v>
      </c>
      <c r="C48" s="120" t="s">
        <v>704</v>
      </c>
      <c r="D48" s="77" t="s">
        <v>288</v>
      </c>
      <c r="E48" s="74">
        <v>-1000</v>
      </c>
      <c r="F48" s="79">
        <v>-12.939</v>
      </c>
      <c r="G48" s="76"/>
      <c r="H48" s="127">
        <f>+ROUND(F48/VLOOKUP("Grand Total",$B$4:$F$251,5,0),4)</f>
        <v>-0.01</v>
      </c>
      <c r="I48" s="103">
        <v>43342</v>
      </c>
      <c r="J48" s="104"/>
      <c r="K48" s="105"/>
      <c r="L48" s="102"/>
      <c r="M48" s="75"/>
    </row>
    <row r="49" spans="1:13" s="77" customFormat="1" ht="12.75" customHeight="1" x14ac:dyDescent="0.2">
      <c r="A49" s="77">
        <f t="shared" si="1"/>
        <v>41</v>
      </c>
      <c r="B49" s="77" t="s">
        <v>493</v>
      </c>
      <c r="C49" s="77" t="s">
        <v>494</v>
      </c>
      <c r="D49" s="77" t="s">
        <v>22</v>
      </c>
      <c r="E49" s="74">
        <v>3000</v>
      </c>
      <c r="F49" s="79">
        <v>12.6585</v>
      </c>
      <c r="G49" s="76">
        <f>+ROUND(F49/VLOOKUP("Grand Total",$B$4:$F$251,5,0),4)</f>
        <v>9.7999999999999997E-3</v>
      </c>
      <c r="H49" s="76"/>
      <c r="I49" s="103"/>
      <c r="J49" s="104"/>
      <c r="K49" s="89"/>
      <c r="L49" s="102"/>
      <c r="M49" s="75"/>
    </row>
    <row r="50" spans="1:13" s="77" customFormat="1" ht="12.75" customHeight="1" x14ac:dyDescent="0.2">
      <c r="A50" s="77">
        <f t="shared" si="1"/>
        <v>42</v>
      </c>
      <c r="B50" s="77" t="s">
        <v>493</v>
      </c>
      <c r="C50" s="120" t="s">
        <v>704</v>
      </c>
      <c r="D50" s="77" t="s">
        <v>288</v>
      </c>
      <c r="E50" s="74">
        <v>-3000</v>
      </c>
      <c r="F50" s="79">
        <v>-12.680999999999999</v>
      </c>
      <c r="G50" s="76"/>
      <c r="H50" s="127">
        <f>+ROUND(F50/VLOOKUP("Grand Total",$B$4:$F$251,5,0),4)</f>
        <v>-9.7999999999999997E-3</v>
      </c>
      <c r="I50" s="103">
        <v>43342</v>
      </c>
      <c r="J50" s="104"/>
      <c r="K50" s="105"/>
      <c r="L50" s="102"/>
      <c r="M50" s="75"/>
    </row>
    <row r="51" spans="1:13" s="77" customFormat="1" ht="12.75" customHeight="1" x14ac:dyDescent="0.2">
      <c r="A51" s="77">
        <f t="shared" si="1"/>
        <v>43</v>
      </c>
      <c r="B51" s="77" t="s">
        <v>396</v>
      </c>
      <c r="C51" s="77" t="s">
        <v>397</v>
      </c>
      <c r="D51" s="77" t="s">
        <v>101</v>
      </c>
      <c r="E51" s="74">
        <v>1000</v>
      </c>
      <c r="F51" s="79">
        <v>8.9785000000000004</v>
      </c>
      <c r="G51" s="76">
        <f>+ROUND(F51/VLOOKUP("Grand Total",$B$4:$F$251,5,0),4)</f>
        <v>7.0000000000000001E-3</v>
      </c>
      <c r="H51" s="76"/>
      <c r="I51" s="103"/>
      <c r="J51" s="104"/>
      <c r="K51" s="105"/>
      <c r="L51" s="102"/>
      <c r="M51" s="75"/>
    </row>
    <row r="52" spans="1:13" s="77" customFormat="1" ht="12.75" customHeight="1" x14ac:dyDescent="0.2">
      <c r="A52" s="77">
        <f t="shared" si="1"/>
        <v>44</v>
      </c>
      <c r="B52" s="77" t="s">
        <v>396</v>
      </c>
      <c r="C52" s="120" t="s">
        <v>704</v>
      </c>
      <c r="D52" s="77" t="s">
        <v>288</v>
      </c>
      <c r="E52" s="74">
        <v>-1000</v>
      </c>
      <c r="F52" s="79">
        <v>-9.0295000000000005</v>
      </c>
      <c r="G52" s="76"/>
      <c r="H52" s="127">
        <f>+ROUND(F52/VLOOKUP("Grand Total",$B$4:$F$251,5,0),4)</f>
        <v>-7.0000000000000001E-3</v>
      </c>
      <c r="I52" s="103">
        <v>43342</v>
      </c>
      <c r="J52" s="104"/>
      <c r="K52" s="105"/>
      <c r="L52" s="102"/>
      <c r="M52" s="75"/>
    </row>
    <row r="53" spans="1:13" s="77" customFormat="1" ht="12.75" customHeight="1" x14ac:dyDescent="0.2">
      <c r="A53" s="77">
        <f t="shared" si="1"/>
        <v>45</v>
      </c>
      <c r="B53" s="77" t="s">
        <v>558</v>
      </c>
      <c r="C53" s="77" t="s">
        <v>559</v>
      </c>
      <c r="D53" s="77" t="s">
        <v>98</v>
      </c>
      <c r="E53" s="74">
        <v>17000</v>
      </c>
      <c r="F53" s="79">
        <v>8.0325000000000006</v>
      </c>
      <c r="G53" s="76">
        <f>+ROUND(F53/VLOOKUP("Grand Total",$B$4:$F$251,5,0),4)</f>
        <v>6.1999999999999998E-3</v>
      </c>
      <c r="H53" s="76"/>
      <c r="I53" s="103"/>
      <c r="J53" s="104"/>
      <c r="K53" s="105"/>
      <c r="L53" s="102"/>
      <c r="M53" s="75"/>
    </row>
    <row r="54" spans="1:13" s="77" customFormat="1" ht="12.75" customHeight="1" x14ac:dyDescent="0.2">
      <c r="A54" s="77">
        <f t="shared" si="1"/>
        <v>46</v>
      </c>
      <c r="B54" s="77" t="s">
        <v>558</v>
      </c>
      <c r="C54" s="120" t="s">
        <v>704</v>
      </c>
      <c r="D54" s="77" t="s">
        <v>288</v>
      </c>
      <c r="E54" s="74">
        <v>-17000</v>
      </c>
      <c r="F54" s="79">
        <v>-8.0835000000000008</v>
      </c>
      <c r="G54" s="76"/>
      <c r="H54" s="127">
        <f>+ROUND(F54/VLOOKUP("Grand Total",$B$4:$F$251,5,0),4)</f>
        <v>-6.3E-3</v>
      </c>
      <c r="I54" s="103">
        <v>43342</v>
      </c>
      <c r="J54" s="104"/>
      <c r="K54" s="105"/>
      <c r="L54" s="102"/>
      <c r="M54" s="75"/>
    </row>
    <row r="55" spans="1:13" s="77" customFormat="1" ht="12.75" customHeight="1" x14ac:dyDescent="0.2">
      <c r="A55" s="77">
        <f t="shared" si="1"/>
        <v>47</v>
      </c>
      <c r="B55" s="77" t="s">
        <v>185</v>
      </c>
      <c r="C55" s="77" t="s">
        <v>44</v>
      </c>
      <c r="D55" s="77" t="s">
        <v>24</v>
      </c>
      <c r="E55" s="74">
        <v>2400</v>
      </c>
      <c r="F55" s="79">
        <v>7.1448</v>
      </c>
      <c r="G55" s="76">
        <f>+ROUND(F55/VLOOKUP("Grand Total",$B$4:$F$251,5,0),4)</f>
        <v>5.4999999999999997E-3</v>
      </c>
      <c r="H55" s="76"/>
      <c r="I55" s="103"/>
      <c r="J55" s="104"/>
      <c r="K55" s="105"/>
      <c r="L55" s="102"/>
      <c r="M55" s="75"/>
    </row>
    <row r="56" spans="1:13" s="77" customFormat="1" ht="12.75" customHeight="1" x14ac:dyDescent="0.2">
      <c r="A56" s="77">
        <f t="shared" si="1"/>
        <v>48</v>
      </c>
      <c r="B56" s="77" t="s">
        <v>185</v>
      </c>
      <c r="C56" s="120" t="s">
        <v>704</v>
      </c>
      <c r="D56" s="77" t="s">
        <v>288</v>
      </c>
      <c r="E56" s="74">
        <v>-2400</v>
      </c>
      <c r="F56" s="79">
        <v>-7.17</v>
      </c>
      <c r="G56" s="76"/>
      <c r="H56" s="127">
        <f>+ROUND(F56/VLOOKUP("Grand Total",$B$4:$F$251,5,0),4)</f>
        <v>-5.5999999999999999E-3</v>
      </c>
      <c r="I56" s="103">
        <v>43342</v>
      </c>
      <c r="J56" s="104"/>
      <c r="K56" s="105"/>
      <c r="L56" s="102"/>
      <c r="M56" s="75"/>
    </row>
    <row r="57" spans="1:13" s="77" customFormat="1" ht="12.75" customHeight="1" x14ac:dyDescent="0.2">
      <c r="A57" s="77">
        <f t="shared" si="1"/>
        <v>49</v>
      </c>
      <c r="B57" s="77" t="s">
        <v>466</v>
      </c>
      <c r="C57" s="77" t="s">
        <v>467</v>
      </c>
      <c r="D57" s="77" t="s">
        <v>34</v>
      </c>
      <c r="E57" s="74">
        <v>9000</v>
      </c>
      <c r="F57" s="79">
        <v>6.7095000000000002</v>
      </c>
      <c r="G57" s="76">
        <f>+ROUND(F57/VLOOKUP("Grand Total",$B$4:$F$251,5,0),4)</f>
        <v>5.1999999999999998E-3</v>
      </c>
      <c r="H57" s="76"/>
      <c r="I57" s="103"/>
      <c r="J57" s="104"/>
      <c r="K57" s="105"/>
      <c r="L57" s="102"/>
      <c r="M57" s="75"/>
    </row>
    <row r="58" spans="1:13" s="77" customFormat="1" ht="12.75" customHeight="1" x14ac:dyDescent="0.2">
      <c r="A58" s="77">
        <f t="shared" si="1"/>
        <v>50</v>
      </c>
      <c r="B58" s="77" t="s">
        <v>466</v>
      </c>
      <c r="C58" s="120" t="s">
        <v>704</v>
      </c>
      <c r="D58" s="77" t="s">
        <v>288</v>
      </c>
      <c r="E58" s="74">
        <v>-9000</v>
      </c>
      <c r="F58" s="79">
        <v>-6.7275</v>
      </c>
      <c r="G58" s="76"/>
      <c r="H58" s="127">
        <f>+ROUND(F58/VLOOKUP("Grand Total",$B$4:$F$251,5,0),4)</f>
        <v>-5.1999999999999998E-3</v>
      </c>
      <c r="I58" s="103">
        <v>43342</v>
      </c>
      <c r="J58" s="104"/>
      <c r="K58" s="105"/>
      <c r="L58" s="102"/>
      <c r="M58" s="75"/>
    </row>
    <row r="59" spans="1:13" ht="12.75" customHeight="1" x14ac:dyDescent="0.2">
      <c r="B59" s="18" t="s">
        <v>82</v>
      </c>
      <c r="C59" s="18"/>
      <c r="D59" s="18"/>
      <c r="E59" s="19">
        <f>+E9+E11+E13+E15+E17+E19+E21+E23+E25+E27+E29+E31+E33+E35+E37+E39+E41+E43+E45+E47+E49+E51+E53+E55+E57</f>
        <v>400000</v>
      </c>
      <c r="F59" s="19">
        <f>+F9+F11+F13+F15+F17+F19+F21+F23+F25+F27+F29+F31+F33+F35+F37+F39+F41+F43+F45+F47+F49+F51+F53+F55+F57</f>
        <v>863.72365000000036</v>
      </c>
      <c r="G59" s="20">
        <f>+G9+G11+G13+G15+G17+G19+G21+G23+G25+G27+G29+G31+G33+G35+G37+G39+G41+G43+G45+G47+G49+G51+G53+G55+G57</f>
        <v>0.66859999999999997</v>
      </c>
      <c r="H59" s="123">
        <f>SUM(H9:H58)</f>
        <v>-0.6694</v>
      </c>
      <c r="I59" s="21"/>
      <c r="J59" s="55"/>
      <c r="K59" s="46"/>
      <c r="L59" s="48"/>
    </row>
    <row r="60" spans="1:13" s="46" customFormat="1" ht="12.75" customHeight="1" x14ac:dyDescent="0.2">
      <c r="B60" s="67"/>
      <c r="C60" s="67"/>
      <c r="D60" s="67"/>
      <c r="E60" s="68"/>
      <c r="F60" s="69"/>
      <c r="G60" s="70"/>
      <c r="H60" s="70"/>
      <c r="I60" s="33"/>
      <c r="K60" s="14"/>
      <c r="L60" s="48"/>
    </row>
    <row r="61" spans="1:13" ht="12.75" customHeight="1" x14ac:dyDescent="0.2">
      <c r="B61" s="16" t="s">
        <v>88</v>
      </c>
      <c r="C61" s="16"/>
      <c r="F61" s="13"/>
      <c r="G61" s="14"/>
      <c r="H61" s="14"/>
      <c r="I61" s="33"/>
      <c r="J61"/>
      <c r="K61" s="36"/>
      <c r="L61"/>
    </row>
    <row r="62" spans="1:13" ht="12.75" customHeight="1" x14ac:dyDescent="0.2">
      <c r="B62" s="16" t="s">
        <v>273</v>
      </c>
      <c r="C62" s="16"/>
      <c r="F62" s="13"/>
      <c r="G62" s="14"/>
      <c r="H62" s="14"/>
      <c r="I62" s="33"/>
      <c r="J62"/>
      <c r="K62" s="36"/>
      <c r="L62"/>
    </row>
    <row r="63" spans="1:13" ht="12.75" customHeight="1" x14ac:dyDescent="0.2">
      <c r="A63">
        <f>+MAX($A$7:A62)+1</f>
        <v>51</v>
      </c>
      <c r="B63" s="65" t="s">
        <v>520</v>
      </c>
      <c r="C63" t="s">
        <v>521</v>
      </c>
      <c r="D63" t="s">
        <v>152</v>
      </c>
      <c r="E63" s="28">
        <v>10</v>
      </c>
      <c r="F63" s="13">
        <v>49.694899999999997</v>
      </c>
      <c r="G63" s="14">
        <f>+ROUND(F63/VLOOKUP("Grand Total",$B$4:$F$277,5,0),4)</f>
        <v>3.85E-2</v>
      </c>
      <c r="H63" s="14"/>
      <c r="I63" s="15">
        <v>43347</v>
      </c>
      <c r="J63"/>
      <c r="K63" s="36"/>
      <c r="L63"/>
    </row>
    <row r="64" spans="1:13" ht="12.75" customHeight="1" x14ac:dyDescent="0.2">
      <c r="A64">
        <f>+MAX($A$7:A63)+1</f>
        <v>52</v>
      </c>
      <c r="B64" s="65" t="s">
        <v>534</v>
      </c>
      <c r="C64" t="s">
        <v>683</v>
      </c>
      <c r="D64" t="s">
        <v>261</v>
      </c>
      <c r="E64" s="28">
        <v>10</v>
      </c>
      <c r="F64" s="13">
        <v>49.318100000000001</v>
      </c>
      <c r="G64" s="14">
        <f>+ROUND(F64/VLOOKUP("Grand Total",$B$4:$F$277,5,0),4)</f>
        <v>3.8199999999999998E-2</v>
      </c>
      <c r="H64" s="14"/>
      <c r="I64" s="15">
        <v>43367</v>
      </c>
      <c r="J64"/>
      <c r="K64" s="36"/>
      <c r="L64"/>
    </row>
    <row r="65" spans="1:12" ht="12.75" customHeight="1" x14ac:dyDescent="0.2">
      <c r="A65">
        <f>+MAX($A$7:A64)+1</f>
        <v>53</v>
      </c>
      <c r="B65" s="65" t="s">
        <v>262</v>
      </c>
      <c r="C65" t="s">
        <v>456</v>
      </c>
      <c r="D65" t="s">
        <v>463</v>
      </c>
      <c r="E65" s="28">
        <v>8</v>
      </c>
      <c r="F65" s="13">
        <v>39.679119999999998</v>
      </c>
      <c r="G65" s="14">
        <f>+ROUND(F65/VLOOKUP("Grand Total",$B$4:$F$277,5,0),4)</f>
        <v>3.0700000000000002E-2</v>
      </c>
      <c r="H65" s="14"/>
      <c r="I65" s="15">
        <v>43350</v>
      </c>
      <c r="J65"/>
      <c r="K65" s="36"/>
      <c r="L65"/>
    </row>
    <row r="66" spans="1:12" ht="12.75" customHeight="1" x14ac:dyDescent="0.2">
      <c r="A66">
        <f>+MAX($A$7:A65)+1</f>
        <v>54</v>
      </c>
      <c r="B66" s="65" t="s">
        <v>458</v>
      </c>
      <c r="C66" t="s">
        <v>685</v>
      </c>
      <c r="D66" t="s">
        <v>459</v>
      </c>
      <c r="E66" s="28">
        <v>8</v>
      </c>
      <c r="F66" s="13">
        <v>39.477960000000003</v>
      </c>
      <c r="G66" s="14">
        <f>+ROUND(F66/VLOOKUP("Grand Total",$B$4:$F$277,5,0),4)</f>
        <v>3.0599999999999999E-2</v>
      </c>
      <c r="H66" s="14"/>
      <c r="I66" s="15">
        <v>43362</v>
      </c>
      <c r="J66"/>
      <c r="K66" s="36"/>
      <c r="L66"/>
    </row>
    <row r="67" spans="1:12" ht="12.75" customHeight="1" x14ac:dyDescent="0.2">
      <c r="A67">
        <f>+MAX($A$7:A66)+1</f>
        <v>55</v>
      </c>
      <c r="B67" s="65" t="s">
        <v>514</v>
      </c>
      <c r="C67" t="s">
        <v>698</v>
      </c>
      <c r="D67" t="s">
        <v>152</v>
      </c>
      <c r="E67" s="28">
        <v>6</v>
      </c>
      <c r="F67" s="13">
        <v>29.668859999999999</v>
      </c>
      <c r="G67" s="14">
        <f>+ROUND(F67/VLOOKUP("Grand Total",$B$4:$F$277,5,0),4)</f>
        <v>2.3E-2</v>
      </c>
      <c r="H67" s="14"/>
      <c r="I67" s="15">
        <v>43362</v>
      </c>
      <c r="J67"/>
      <c r="K67" s="36"/>
      <c r="L67"/>
    </row>
    <row r="68" spans="1:12" ht="12.75" customHeight="1" x14ac:dyDescent="0.2">
      <c r="B68" s="18" t="s">
        <v>82</v>
      </c>
      <c r="C68" s="18"/>
      <c r="D68" s="18"/>
      <c r="E68" s="29"/>
      <c r="F68" s="19">
        <f>SUM(F63:F67)</f>
        <v>207.83893999999998</v>
      </c>
      <c r="G68" s="20">
        <f>SUM(G63:G67)</f>
        <v>0.16099999999999998</v>
      </c>
      <c r="H68" s="20"/>
      <c r="I68" s="21"/>
      <c r="J68"/>
      <c r="K68" s="36"/>
      <c r="L68"/>
    </row>
    <row r="69" spans="1:12" s="46" customFormat="1" ht="12.75" customHeight="1" x14ac:dyDescent="0.2">
      <c r="B69" s="67"/>
      <c r="C69" s="67"/>
      <c r="D69" s="67"/>
      <c r="E69" s="68"/>
      <c r="F69" s="69"/>
      <c r="G69" s="70"/>
      <c r="H69" s="70"/>
      <c r="I69" s="33"/>
      <c r="K69" s="48"/>
    </row>
    <row r="70" spans="1:12" ht="12.75" customHeight="1" x14ac:dyDescent="0.2">
      <c r="B70" s="16" t="s">
        <v>89</v>
      </c>
      <c r="C70" s="16"/>
      <c r="F70" s="13"/>
      <c r="G70" s="14"/>
      <c r="H70" s="14"/>
      <c r="I70" s="33"/>
      <c r="J70"/>
      <c r="K70" s="36"/>
      <c r="L70"/>
    </row>
    <row r="71" spans="1:12" ht="12.75" customHeight="1" x14ac:dyDescent="0.2">
      <c r="A71">
        <f>+MAX($A$7:A70)+1</f>
        <v>56</v>
      </c>
      <c r="B71" t="s">
        <v>380</v>
      </c>
      <c r="C71" t="s">
        <v>308</v>
      </c>
      <c r="D71" t="s">
        <v>285</v>
      </c>
      <c r="E71" s="28">
        <v>6489.9966000000004</v>
      </c>
      <c r="F71" s="13">
        <v>112.08153390000001</v>
      </c>
      <c r="G71" s="14">
        <f>+ROUND(F71/VLOOKUP("Grand Total",$B$4:$F$286,5,0),4)</f>
        <v>8.6800000000000002E-2</v>
      </c>
      <c r="H71" s="14"/>
      <c r="I71" s="33" t="s">
        <v>322</v>
      </c>
      <c r="J71"/>
      <c r="K71" s="36"/>
      <c r="L71"/>
    </row>
    <row r="72" spans="1:12" ht="12.75" customHeight="1" x14ac:dyDescent="0.2">
      <c r="B72" s="18" t="s">
        <v>82</v>
      </c>
      <c r="C72" s="18"/>
      <c r="D72" s="18"/>
      <c r="E72" s="29"/>
      <c r="F72" s="19">
        <f>SUM(F71)</f>
        <v>112.08153390000001</v>
      </c>
      <c r="G72" s="20">
        <f>SUM(G71)</f>
        <v>8.6800000000000002E-2</v>
      </c>
      <c r="H72" s="20"/>
      <c r="I72" s="21"/>
      <c r="J72"/>
      <c r="K72" s="36"/>
      <c r="L72"/>
    </row>
    <row r="73" spans="1:12" s="46" customFormat="1" ht="12.75" customHeight="1" x14ac:dyDescent="0.2">
      <c r="B73" s="67"/>
      <c r="C73" s="67"/>
      <c r="D73" s="67"/>
      <c r="E73" s="68"/>
      <c r="F73" s="69"/>
      <c r="G73" s="70"/>
      <c r="H73" s="70"/>
      <c r="I73" s="33"/>
      <c r="K73" s="48"/>
    </row>
    <row r="74" spans="1:12" ht="12.75" customHeight="1" x14ac:dyDescent="0.2">
      <c r="B74" s="16" t="s">
        <v>91</v>
      </c>
      <c r="C74" s="16"/>
      <c r="F74" s="13"/>
      <c r="G74" s="14"/>
      <c r="H74" s="14"/>
      <c r="I74" s="15"/>
      <c r="J74" s="56"/>
      <c r="K74" s="46"/>
      <c r="L74" s="74"/>
    </row>
    <row r="75" spans="1:12" ht="12.75" customHeight="1" x14ac:dyDescent="0.2">
      <c r="A75" s="94" t="s">
        <v>321</v>
      </c>
      <c r="B75" s="16" t="s">
        <v>658</v>
      </c>
      <c r="C75" s="16"/>
      <c r="F75" s="13">
        <v>29.3523</v>
      </c>
      <c r="G75" s="14">
        <f>+ROUND(F75/VLOOKUP("Grand Total",$B$4:$F$251,5,0),4)</f>
        <v>2.2700000000000001E-2</v>
      </c>
      <c r="H75" s="14"/>
      <c r="I75" s="15">
        <v>43313</v>
      </c>
      <c r="J75" s="56"/>
      <c r="K75" s="46"/>
      <c r="L75" s="74"/>
    </row>
    <row r="76" spans="1:12" ht="12.75" customHeight="1" x14ac:dyDescent="0.2">
      <c r="B76" s="16" t="s">
        <v>92</v>
      </c>
      <c r="C76" s="16"/>
      <c r="F76" s="44">
        <f>+F78-SUMIF($B$5:B74,"Total",$F$5:F74)-VLOOKUP(B75,$B$7:F76,5,0)</f>
        <v>78.251875000000396</v>
      </c>
      <c r="G76" s="45">
        <f>+ROUND(F76/VLOOKUP("Grand Total",$B$4:$F$251,5,0),4)+0.03%</f>
        <v>6.0900000000000003E-2</v>
      </c>
      <c r="H76" s="45"/>
      <c r="I76" s="15"/>
      <c r="J76" s="56"/>
      <c r="K76" s="46"/>
      <c r="L76" s="74"/>
    </row>
    <row r="77" spans="1:12" ht="12.75" customHeight="1" x14ac:dyDescent="0.2">
      <c r="B77" s="18" t="s">
        <v>82</v>
      </c>
      <c r="C77" s="18"/>
      <c r="D77" s="18"/>
      <c r="E77" s="29"/>
      <c r="F77" s="19">
        <f>SUM(F75:F76)</f>
        <v>107.6041750000004</v>
      </c>
      <c r="G77" s="20">
        <f>SUM(G75:G76)</f>
        <v>8.3600000000000008E-2</v>
      </c>
      <c r="H77" s="20"/>
      <c r="I77" s="21"/>
      <c r="J77" s="55"/>
      <c r="K77" s="46"/>
      <c r="L77" s="74"/>
    </row>
    <row r="78" spans="1:12" ht="12.75" customHeight="1" x14ac:dyDescent="0.2">
      <c r="B78" s="22" t="s">
        <v>93</v>
      </c>
      <c r="C78" s="22"/>
      <c r="D78" s="22"/>
      <c r="E78" s="30"/>
      <c r="F78" s="23">
        <v>1291.2482989000009</v>
      </c>
      <c r="G78" s="24">
        <f>+SUMIF($B$5:B77,"Total",$G$5:G77)</f>
        <v>0.99999999999999989</v>
      </c>
      <c r="H78" s="24"/>
      <c r="I78" s="25"/>
      <c r="J78" s="39"/>
      <c r="K78" s="46"/>
      <c r="L78" s="74"/>
    </row>
    <row r="79" spans="1:12" ht="12.75" customHeight="1" x14ac:dyDescent="0.2">
      <c r="F79" s="40"/>
      <c r="K79" s="46"/>
      <c r="L79" s="74"/>
    </row>
    <row r="80" spans="1:12" ht="12.75" customHeight="1" x14ac:dyDescent="0.2">
      <c r="B80" s="16" t="s">
        <v>499</v>
      </c>
      <c r="C80" s="16"/>
      <c r="K80" s="46"/>
      <c r="L80" s="74"/>
    </row>
    <row r="81" spans="2:12" ht="12.75" customHeight="1" x14ac:dyDescent="0.2">
      <c r="B81" s="16" t="s">
        <v>171</v>
      </c>
      <c r="C81" s="16"/>
      <c r="G81" s="14"/>
      <c r="H81" s="14"/>
    </row>
    <row r="82" spans="2:12" ht="12.75" customHeight="1" x14ac:dyDescent="0.2">
      <c r="B82" s="16"/>
      <c r="C82" s="16"/>
    </row>
    <row r="83" spans="2:12" ht="12.75" customHeight="1" x14ac:dyDescent="0.2">
      <c r="B83" s="16"/>
      <c r="C83" s="16"/>
      <c r="K83" s="46"/>
      <c r="L83" s="48"/>
    </row>
    <row r="84" spans="2:12" x14ac:dyDescent="0.2">
      <c r="E84"/>
      <c r="F84" s="99"/>
      <c r="J84"/>
      <c r="K84" s="46"/>
      <c r="L84" s="48"/>
    </row>
    <row r="85" spans="2:12" x14ac:dyDescent="0.2">
      <c r="E85"/>
      <c r="J85"/>
    </row>
    <row r="86" spans="2:12" x14ac:dyDescent="0.2">
      <c r="E86"/>
      <c r="J86"/>
    </row>
    <row r="87" spans="2:12" x14ac:dyDescent="0.2">
      <c r="E87"/>
      <c r="J87"/>
    </row>
    <row r="88" spans="2:12" x14ac:dyDescent="0.2">
      <c r="E88"/>
      <c r="J88"/>
      <c r="K88" s="36"/>
      <c r="L88"/>
    </row>
    <row r="89" spans="2:12" x14ac:dyDescent="0.2">
      <c r="E89"/>
      <c r="J89"/>
      <c r="K89" s="36"/>
      <c r="L89"/>
    </row>
    <row r="90" spans="2:12" x14ac:dyDescent="0.2">
      <c r="E90"/>
      <c r="J90"/>
      <c r="K90" s="36"/>
      <c r="L90"/>
    </row>
    <row r="91" spans="2:12" x14ac:dyDescent="0.2">
      <c r="E91"/>
      <c r="J91"/>
      <c r="K91" s="36"/>
      <c r="L91"/>
    </row>
    <row r="92" spans="2:12" x14ac:dyDescent="0.2">
      <c r="E92"/>
      <c r="J92"/>
      <c r="K92" s="36"/>
      <c r="L92"/>
    </row>
    <row r="93" spans="2:12" x14ac:dyDescent="0.2">
      <c r="E93"/>
      <c r="J93"/>
      <c r="K93" s="36"/>
      <c r="L93"/>
    </row>
    <row r="94" spans="2:12" x14ac:dyDescent="0.2">
      <c r="E94"/>
      <c r="J94"/>
      <c r="K94" s="36"/>
      <c r="L94"/>
    </row>
    <row r="95" spans="2:12" x14ac:dyDescent="0.2">
      <c r="E95"/>
      <c r="J95"/>
      <c r="K95" s="36"/>
      <c r="L95"/>
    </row>
    <row r="96" spans="2:12" x14ac:dyDescent="0.2">
      <c r="E96"/>
      <c r="J96"/>
      <c r="K96" s="36"/>
      <c r="L96"/>
    </row>
    <row r="97" spans="5:12" x14ac:dyDescent="0.2">
      <c r="E97"/>
      <c r="J97"/>
      <c r="K97" s="36"/>
      <c r="L97"/>
    </row>
    <row r="98" spans="5:12" x14ac:dyDescent="0.2">
      <c r="E98"/>
      <c r="J98"/>
      <c r="K98" s="36"/>
      <c r="L98"/>
    </row>
    <row r="99" spans="5:12" x14ac:dyDescent="0.2">
      <c r="E99"/>
      <c r="J99"/>
      <c r="K99" s="36"/>
      <c r="L99"/>
    </row>
    <row r="100" spans="5:12" x14ac:dyDescent="0.2">
      <c r="E100"/>
      <c r="J100"/>
      <c r="K100" s="36"/>
      <c r="L100"/>
    </row>
    <row r="101" spans="5:12" x14ac:dyDescent="0.2">
      <c r="E101"/>
      <c r="J101"/>
    </row>
    <row r="102" spans="5:12" x14ac:dyDescent="0.2">
      <c r="E102"/>
      <c r="J102"/>
    </row>
    <row r="103" spans="5:12" x14ac:dyDescent="0.2">
      <c r="E103"/>
      <c r="J103"/>
    </row>
    <row r="104" spans="5:12" x14ac:dyDescent="0.2">
      <c r="E104"/>
      <c r="J104"/>
    </row>
    <row r="105" spans="5:12" x14ac:dyDescent="0.2">
      <c r="E105"/>
      <c r="J105"/>
    </row>
    <row r="106" spans="5:12" x14ac:dyDescent="0.2">
      <c r="E106"/>
      <c r="J106"/>
    </row>
    <row r="107" spans="5:12" x14ac:dyDescent="0.2">
      <c r="E107"/>
      <c r="J107"/>
    </row>
    <row r="108" spans="5:12" x14ac:dyDescent="0.2">
      <c r="E108"/>
      <c r="J108"/>
    </row>
    <row r="109" spans="5:12" x14ac:dyDescent="0.2">
      <c r="E109"/>
      <c r="J109"/>
    </row>
    <row r="110" spans="5:12" x14ac:dyDescent="0.2">
      <c r="E110"/>
      <c r="J110"/>
    </row>
    <row r="111" spans="5:12" x14ac:dyDescent="0.2">
      <c r="E111"/>
      <c r="J111"/>
    </row>
    <row r="112" spans="5:12" x14ac:dyDescent="0.2">
      <c r="E112"/>
      <c r="J112"/>
      <c r="L112"/>
    </row>
    <row r="113" spans="5:12" x14ac:dyDescent="0.2">
      <c r="E113"/>
      <c r="J113"/>
      <c r="L113"/>
    </row>
    <row r="114" spans="5:12" x14ac:dyDescent="0.2">
      <c r="E114"/>
      <c r="J114"/>
      <c r="L114"/>
    </row>
    <row r="115" spans="5:12" x14ac:dyDescent="0.2">
      <c r="E115"/>
      <c r="J115"/>
      <c r="L115"/>
    </row>
    <row r="116" spans="5:12" x14ac:dyDescent="0.2">
      <c r="E116"/>
      <c r="J116"/>
      <c r="L116"/>
    </row>
    <row r="117" spans="5:12" x14ac:dyDescent="0.2">
      <c r="E117"/>
      <c r="J117"/>
      <c r="L117"/>
    </row>
    <row r="118" spans="5:12" x14ac:dyDescent="0.2">
      <c r="E118"/>
      <c r="J118"/>
      <c r="L118"/>
    </row>
    <row r="119" spans="5:12" x14ac:dyDescent="0.2">
      <c r="E119"/>
      <c r="J119"/>
      <c r="L119"/>
    </row>
    <row r="120" spans="5:12" x14ac:dyDescent="0.2">
      <c r="E120"/>
      <c r="J120"/>
      <c r="L120"/>
    </row>
    <row r="121" spans="5:12" x14ac:dyDescent="0.2">
      <c r="E121"/>
      <c r="J121"/>
      <c r="L121"/>
    </row>
    <row r="122" spans="5:12" x14ac:dyDescent="0.2">
      <c r="L122"/>
    </row>
    <row r="123" spans="5:12" x14ac:dyDescent="0.2">
      <c r="L123"/>
    </row>
    <row r="124" spans="5:12" x14ac:dyDescent="0.2">
      <c r="L124"/>
    </row>
    <row r="125" spans="5:12" x14ac:dyDescent="0.2">
      <c r="L125"/>
    </row>
    <row r="126" spans="5:12" x14ac:dyDescent="0.2">
      <c r="L126"/>
    </row>
    <row r="127" spans="5:12" x14ac:dyDescent="0.2">
      <c r="L127"/>
    </row>
    <row r="128" spans="5:12" x14ac:dyDescent="0.2">
      <c r="L128"/>
    </row>
    <row r="129" spans="5:12" x14ac:dyDescent="0.2">
      <c r="E129"/>
      <c r="J129"/>
      <c r="L129"/>
    </row>
    <row r="130" spans="5:12" x14ac:dyDescent="0.2">
      <c r="E130"/>
      <c r="J130"/>
      <c r="L130"/>
    </row>
    <row r="131" spans="5:12" x14ac:dyDescent="0.2">
      <c r="E131"/>
      <c r="J131"/>
      <c r="L131"/>
    </row>
    <row r="132" spans="5:12" x14ac:dyDescent="0.2">
      <c r="E132"/>
      <c r="J132"/>
      <c r="L132"/>
    </row>
    <row r="133" spans="5:12" x14ac:dyDescent="0.2">
      <c r="E133"/>
      <c r="J133"/>
      <c r="L133"/>
    </row>
    <row r="134" spans="5:12" x14ac:dyDescent="0.2">
      <c r="E134"/>
      <c r="J134"/>
      <c r="L134"/>
    </row>
    <row r="135" spans="5:12" x14ac:dyDescent="0.2">
      <c r="E135"/>
      <c r="J135"/>
      <c r="L135"/>
    </row>
    <row r="136" spans="5:12" x14ac:dyDescent="0.2">
      <c r="E136"/>
      <c r="J136"/>
      <c r="L136"/>
    </row>
    <row r="137" spans="5:12" x14ac:dyDescent="0.2">
      <c r="E137"/>
      <c r="J137"/>
      <c r="L137"/>
    </row>
    <row r="138" spans="5:12" x14ac:dyDescent="0.2">
      <c r="E138"/>
      <c r="J138"/>
      <c r="L138"/>
    </row>
    <row r="139" spans="5:12" x14ac:dyDescent="0.2">
      <c r="E139"/>
      <c r="J139"/>
      <c r="L139"/>
    </row>
    <row r="140" spans="5:12" x14ac:dyDescent="0.2">
      <c r="E140"/>
      <c r="J140"/>
      <c r="L140"/>
    </row>
    <row r="141" spans="5:12" x14ac:dyDescent="0.2">
      <c r="E141"/>
      <c r="J141"/>
      <c r="L141"/>
    </row>
    <row r="142" spans="5:12" x14ac:dyDescent="0.2">
      <c r="E142"/>
      <c r="J142"/>
      <c r="L142"/>
    </row>
    <row r="143" spans="5:12" x14ac:dyDescent="0.2">
      <c r="E143"/>
      <c r="J143"/>
      <c r="L143"/>
    </row>
    <row r="144" spans="5:12" x14ac:dyDescent="0.2">
      <c r="E144"/>
      <c r="J144"/>
      <c r="L144"/>
    </row>
    <row r="145" spans="5:12" x14ac:dyDescent="0.2">
      <c r="E145"/>
      <c r="J145"/>
      <c r="L145"/>
    </row>
    <row r="146" spans="5:12" x14ac:dyDescent="0.2">
      <c r="E146"/>
      <c r="J146"/>
      <c r="L146"/>
    </row>
    <row r="147" spans="5:12" x14ac:dyDescent="0.2">
      <c r="E147"/>
      <c r="J147"/>
      <c r="L147"/>
    </row>
    <row r="148" spans="5:12" x14ac:dyDescent="0.2">
      <c r="E148"/>
      <c r="J148"/>
      <c r="L148"/>
    </row>
    <row r="149" spans="5:12" x14ac:dyDescent="0.2">
      <c r="E149"/>
      <c r="J149"/>
      <c r="L149"/>
    </row>
  </sheetData>
  <sortState ref="K8:L28">
    <sortCondition descending="1" ref="L8:L28"/>
  </sortState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8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3" t="s">
        <v>324</v>
      </c>
      <c r="B1" s="129" t="s">
        <v>575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356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+MAX($A$8:A8)+1</f>
        <v>1</v>
      </c>
      <c r="B9" t="s">
        <v>176</v>
      </c>
      <c r="C9" t="s">
        <v>12</v>
      </c>
      <c r="D9" t="s">
        <v>9</v>
      </c>
      <c r="E9" s="28">
        <v>103268</v>
      </c>
      <c r="F9" s="13">
        <v>2250.72606</v>
      </c>
      <c r="G9" s="14">
        <f t="shared" ref="G9:G38" si="0">+ROUND(F9/VLOOKUP("Grand Total",$B$4:$F$268,5,0),4)</f>
        <v>7.1199999999999999E-2</v>
      </c>
      <c r="H9" s="15"/>
      <c r="J9" s="14" t="s">
        <v>9</v>
      </c>
      <c r="K9" s="48">
        <f t="shared" ref="K9:K25" si="1">SUMIFS($G$5:$G$301,$D$5:$D$301,J9)</f>
        <v>0.20180000000000001</v>
      </c>
    </row>
    <row r="10" spans="1:16" ht="12.75" customHeight="1" x14ac:dyDescent="0.2">
      <c r="A10">
        <f>+MAX($A$8:A9)+1</f>
        <v>2</v>
      </c>
      <c r="B10" t="s">
        <v>178</v>
      </c>
      <c r="C10" t="s">
        <v>29</v>
      </c>
      <c r="D10" t="s">
        <v>28</v>
      </c>
      <c r="E10" s="28">
        <v>155446</v>
      </c>
      <c r="F10" s="13">
        <v>1843.5895599999999</v>
      </c>
      <c r="G10" s="14">
        <f t="shared" si="0"/>
        <v>5.8299999999999998E-2</v>
      </c>
      <c r="H10" s="15"/>
      <c r="J10" s="14" t="s">
        <v>24</v>
      </c>
      <c r="K10" s="48">
        <f t="shared" si="1"/>
        <v>0.1275</v>
      </c>
    </row>
    <row r="11" spans="1:16" ht="12.75" customHeight="1" x14ac:dyDescent="0.2">
      <c r="A11">
        <f>+MAX($A$8:A10)+1</f>
        <v>3</v>
      </c>
      <c r="B11" t="s">
        <v>182</v>
      </c>
      <c r="C11" t="s">
        <v>25</v>
      </c>
      <c r="D11" t="s">
        <v>22</v>
      </c>
      <c r="E11" s="28">
        <v>74227</v>
      </c>
      <c r="F11" s="13">
        <v>1480.7173094999998</v>
      </c>
      <c r="G11" s="14">
        <f t="shared" si="0"/>
        <v>4.6899999999999997E-2</v>
      </c>
      <c r="H11" s="15"/>
      <c r="J11" s="14" t="s">
        <v>13</v>
      </c>
      <c r="K11" s="48">
        <f t="shared" si="1"/>
        <v>0.12190000000000001</v>
      </c>
      <c r="L11" s="36"/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216</v>
      </c>
      <c r="C12" t="s">
        <v>97</v>
      </c>
      <c r="D12" t="s">
        <v>24</v>
      </c>
      <c r="E12" s="28">
        <v>81582</v>
      </c>
      <c r="F12" s="13">
        <v>1412.7147030000001</v>
      </c>
      <c r="G12" s="14">
        <f t="shared" si="0"/>
        <v>4.4699999999999997E-2</v>
      </c>
      <c r="H12" s="15"/>
      <c r="J12" s="14" t="s">
        <v>19</v>
      </c>
      <c r="K12" s="48">
        <f t="shared" si="1"/>
        <v>7.6399999999999996E-2</v>
      </c>
      <c r="L12" s="36"/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177</v>
      </c>
      <c r="C13" t="s">
        <v>14</v>
      </c>
      <c r="D13" t="s">
        <v>13</v>
      </c>
      <c r="E13" s="28">
        <v>99900</v>
      </c>
      <c r="F13" s="13">
        <v>1363.7348999999999</v>
      </c>
      <c r="G13" s="14">
        <f t="shared" si="0"/>
        <v>4.3200000000000002E-2</v>
      </c>
      <c r="H13" s="15"/>
      <c r="J13" s="14" t="s">
        <v>22</v>
      </c>
      <c r="K13" s="48">
        <f t="shared" si="1"/>
        <v>6.88E-2</v>
      </c>
      <c r="L13" s="36"/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185</v>
      </c>
      <c r="C14" t="s">
        <v>44</v>
      </c>
      <c r="D14" t="s">
        <v>24</v>
      </c>
      <c r="E14" s="28">
        <v>450000</v>
      </c>
      <c r="F14" s="13">
        <v>1339.65</v>
      </c>
      <c r="G14" s="14">
        <f t="shared" si="0"/>
        <v>4.24E-2</v>
      </c>
      <c r="H14" s="15"/>
      <c r="J14" s="14" t="s">
        <v>285</v>
      </c>
      <c r="K14" s="48">
        <f t="shared" si="1"/>
        <v>6.3299999999999995E-2</v>
      </c>
      <c r="L14" s="36"/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179</v>
      </c>
      <c r="C15" t="s">
        <v>10</v>
      </c>
      <c r="D15" t="s">
        <v>9</v>
      </c>
      <c r="E15" s="28">
        <v>429708</v>
      </c>
      <c r="F15" s="13">
        <v>1307.3865900000001</v>
      </c>
      <c r="G15" s="14">
        <f t="shared" si="0"/>
        <v>4.1399999999999999E-2</v>
      </c>
      <c r="H15" s="15"/>
      <c r="J15" s="14" t="s">
        <v>28</v>
      </c>
      <c r="K15" s="48">
        <f t="shared" si="1"/>
        <v>5.8299999999999998E-2</v>
      </c>
      <c r="L15" s="36"/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187</v>
      </c>
      <c r="C16" t="s">
        <v>46</v>
      </c>
      <c r="D16" t="s">
        <v>24</v>
      </c>
      <c r="E16" s="28">
        <v>19500</v>
      </c>
      <c r="F16" s="13">
        <v>1275.729</v>
      </c>
      <c r="G16" s="14">
        <f t="shared" si="0"/>
        <v>4.0399999999999998E-2</v>
      </c>
      <c r="H16" s="15"/>
      <c r="J16" s="14" t="s">
        <v>127</v>
      </c>
      <c r="K16" s="48">
        <f t="shared" si="1"/>
        <v>4.4499999999999998E-2</v>
      </c>
      <c r="L16" s="36"/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196</v>
      </c>
      <c r="C17" t="s">
        <v>94</v>
      </c>
      <c r="D17" t="s">
        <v>9</v>
      </c>
      <c r="E17" s="28">
        <v>96900</v>
      </c>
      <c r="F17" s="13">
        <v>1266.3376499999999</v>
      </c>
      <c r="G17" s="14">
        <f t="shared" si="0"/>
        <v>4.0099999999999997E-2</v>
      </c>
      <c r="H17" s="15"/>
      <c r="J17" s="14" t="s">
        <v>21</v>
      </c>
      <c r="K17" s="48">
        <f t="shared" si="1"/>
        <v>4.0899999999999999E-2</v>
      </c>
      <c r="L17" s="36"/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193</v>
      </c>
      <c r="C18" t="s">
        <v>47</v>
      </c>
      <c r="D18" t="s">
        <v>19</v>
      </c>
      <c r="E18" s="28">
        <v>12150</v>
      </c>
      <c r="F18" s="13">
        <v>1156.7468249999999</v>
      </c>
      <c r="G18" s="14">
        <f t="shared" si="0"/>
        <v>3.6600000000000001E-2</v>
      </c>
      <c r="H18" s="15"/>
      <c r="J18" s="14" t="s">
        <v>17</v>
      </c>
      <c r="K18" s="48">
        <f t="shared" si="1"/>
        <v>3.39E-2</v>
      </c>
      <c r="L18" s="36"/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500</v>
      </c>
      <c r="C19" t="s">
        <v>121</v>
      </c>
      <c r="D19" t="s">
        <v>17</v>
      </c>
      <c r="E19" s="28">
        <v>6300</v>
      </c>
      <c r="F19" s="13">
        <v>1072.1403</v>
      </c>
      <c r="G19" s="14">
        <f t="shared" si="0"/>
        <v>3.39E-2</v>
      </c>
      <c r="H19" s="15"/>
      <c r="J19" s="14" t="s">
        <v>26</v>
      </c>
      <c r="K19" s="48">
        <f t="shared" si="1"/>
        <v>3.2500000000000001E-2</v>
      </c>
      <c r="L19" s="36"/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200</v>
      </c>
      <c r="C20" t="s">
        <v>18</v>
      </c>
      <c r="D20" t="s">
        <v>13</v>
      </c>
      <c r="E20" s="28">
        <v>53160</v>
      </c>
      <c r="F20" s="13">
        <v>1031.41032</v>
      </c>
      <c r="G20" s="14">
        <f t="shared" si="0"/>
        <v>3.2599999999999997E-2</v>
      </c>
      <c r="H20" s="15"/>
      <c r="J20" s="14" t="s">
        <v>303</v>
      </c>
      <c r="K20" s="48">
        <f t="shared" si="1"/>
        <v>2.3900000000000001E-2</v>
      </c>
      <c r="L20" s="36"/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209</v>
      </c>
      <c r="C21" t="s">
        <v>69</v>
      </c>
      <c r="D21" t="s">
        <v>26</v>
      </c>
      <c r="E21" s="28">
        <v>78900</v>
      </c>
      <c r="F21" s="13">
        <v>1027.5146999999999</v>
      </c>
      <c r="G21" s="14">
        <f t="shared" si="0"/>
        <v>3.2500000000000001E-2</v>
      </c>
      <c r="H21" s="15"/>
      <c r="J21" s="14" t="s">
        <v>39</v>
      </c>
      <c r="K21" s="48">
        <f t="shared" si="1"/>
        <v>2.3E-2</v>
      </c>
      <c r="L21" s="36"/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15</v>
      </c>
      <c r="C22" t="s">
        <v>16</v>
      </c>
      <c r="D22" t="s">
        <v>9</v>
      </c>
      <c r="E22" s="28">
        <v>333000</v>
      </c>
      <c r="F22" s="13">
        <v>977.35500000000002</v>
      </c>
      <c r="G22" s="14">
        <f t="shared" si="0"/>
        <v>3.09E-2</v>
      </c>
      <c r="H22" s="15"/>
      <c r="J22" s="14" t="s">
        <v>36</v>
      </c>
      <c r="K22" s="48">
        <f t="shared" si="1"/>
        <v>2.0299999999999999E-2</v>
      </c>
      <c r="L22" s="36"/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225</v>
      </c>
      <c r="C23" t="s">
        <v>108</v>
      </c>
      <c r="D23" t="s">
        <v>19</v>
      </c>
      <c r="E23" s="28">
        <v>27660</v>
      </c>
      <c r="F23" s="13">
        <v>911.24486999999999</v>
      </c>
      <c r="G23" s="14">
        <f t="shared" si="0"/>
        <v>2.8799999999999999E-2</v>
      </c>
      <c r="H23" s="15"/>
      <c r="J23" s="14" t="s">
        <v>98</v>
      </c>
      <c r="K23" s="48">
        <f t="shared" si="1"/>
        <v>1.8700000000000001E-2</v>
      </c>
      <c r="L23" s="36"/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189</v>
      </c>
      <c r="C24" t="s">
        <v>48</v>
      </c>
      <c r="D24" t="s">
        <v>21</v>
      </c>
      <c r="E24" s="28">
        <v>9900</v>
      </c>
      <c r="F24" s="13">
        <v>759.01319999999998</v>
      </c>
      <c r="G24" s="14">
        <f t="shared" si="0"/>
        <v>2.4E-2</v>
      </c>
      <c r="H24" s="15"/>
      <c r="J24" s="14" t="s">
        <v>45</v>
      </c>
      <c r="K24" s="48">
        <f t="shared" si="1"/>
        <v>1.8499999999999999E-2</v>
      </c>
      <c r="L24" s="36"/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512</v>
      </c>
      <c r="C25" t="s">
        <v>513</v>
      </c>
      <c r="D25" t="s">
        <v>303</v>
      </c>
      <c r="E25" s="28">
        <v>219000</v>
      </c>
      <c r="F25" s="13">
        <v>754.89300000000003</v>
      </c>
      <c r="G25" s="14">
        <f t="shared" si="0"/>
        <v>2.3900000000000001E-2</v>
      </c>
      <c r="H25" s="15"/>
      <c r="J25" s="14" t="s">
        <v>102</v>
      </c>
      <c r="K25" s="48">
        <f t="shared" si="1"/>
        <v>1.1299999999999999E-2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666</v>
      </c>
      <c r="C26" t="s">
        <v>667</v>
      </c>
      <c r="D26" t="s">
        <v>13</v>
      </c>
      <c r="E26" s="28">
        <v>786900</v>
      </c>
      <c r="F26" s="13">
        <v>753.06330000000003</v>
      </c>
      <c r="G26" s="14">
        <f t="shared" si="0"/>
        <v>2.3800000000000002E-2</v>
      </c>
      <c r="H26" s="15"/>
      <c r="J26" s="14" t="s">
        <v>62</v>
      </c>
      <c r="K26" s="48">
        <f>+SUMIFS($G$5:$G$998,$B$5:$B$998,"CBLO / Reverse Repo")+SUMIFS($G$5:$G$998,$B$5:$B$998,"Net Receivable/Payable")</f>
        <v>1.4500000000000001E-2</v>
      </c>
      <c r="L26" s="36"/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255</v>
      </c>
      <c r="C27" t="s">
        <v>148</v>
      </c>
      <c r="D27" t="s">
        <v>39</v>
      </c>
      <c r="E27" s="28">
        <v>44100</v>
      </c>
      <c r="F27" s="13">
        <v>727.65</v>
      </c>
      <c r="G27" s="14">
        <f t="shared" si="0"/>
        <v>2.3E-2</v>
      </c>
      <c r="H27" s="15"/>
      <c r="J27" s="14"/>
      <c r="K27" s="48"/>
      <c r="L27" s="54"/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279</v>
      </c>
      <c r="C28" t="s">
        <v>416</v>
      </c>
      <c r="D28" t="s">
        <v>127</v>
      </c>
      <c r="E28" s="28">
        <v>108000</v>
      </c>
      <c r="F28" s="13">
        <v>723.81600000000003</v>
      </c>
      <c r="G28" s="14">
        <f t="shared" si="0"/>
        <v>2.29E-2</v>
      </c>
      <c r="H28" s="15"/>
      <c r="K28" s="48"/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412</v>
      </c>
      <c r="C29" t="s">
        <v>413</v>
      </c>
      <c r="D29" t="s">
        <v>13</v>
      </c>
      <c r="E29" s="28">
        <v>48000</v>
      </c>
      <c r="F29" s="13">
        <v>704.04</v>
      </c>
      <c r="G29" s="14">
        <f t="shared" si="0"/>
        <v>2.23E-2</v>
      </c>
      <c r="H29" s="15"/>
      <c r="J29" s="14"/>
      <c r="K29" s="48"/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428</v>
      </c>
      <c r="C30" t="s">
        <v>429</v>
      </c>
      <c r="D30" t="s">
        <v>22</v>
      </c>
      <c r="E30" s="28">
        <v>9900</v>
      </c>
      <c r="F30" s="13">
        <v>690.7527</v>
      </c>
      <c r="G30" s="14">
        <f t="shared" si="0"/>
        <v>2.1899999999999999E-2</v>
      </c>
      <c r="H30" s="15"/>
      <c r="J30" s="14"/>
      <c r="K30" s="48"/>
      <c r="N30" s="36"/>
      <c r="P30" s="14"/>
    </row>
    <row r="31" spans="1:16" ht="12.75" customHeight="1" x14ac:dyDescent="0.2">
      <c r="A31">
        <f>+MAX($A$8:A30)+1</f>
        <v>23</v>
      </c>
      <c r="B31" t="s">
        <v>709</v>
      </c>
      <c r="C31" t="s">
        <v>710</v>
      </c>
      <c r="D31" t="s">
        <v>127</v>
      </c>
      <c r="E31" s="28">
        <v>388800</v>
      </c>
      <c r="F31" s="13">
        <v>682.7328</v>
      </c>
      <c r="G31" s="14">
        <f t="shared" si="0"/>
        <v>2.1600000000000001E-2</v>
      </c>
      <c r="H31" s="15"/>
      <c r="J31" s="14"/>
      <c r="K31" s="48"/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417</v>
      </c>
      <c r="C32" t="s">
        <v>418</v>
      </c>
      <c r="D32" t="s">
        <v>36</v>
      </c>
      <c r="E32" s="28">
        <v>219000</v>
      </c>
      <c r="F32" s="13">
        <v>641.23199999999997</v>
      </c>
      <c r="G32" s="14">
        <f t="shared" si="0"/>
        <v>2.0299999999999999E-2</v>
      </c>
      <c r="H32" s="15"/>
      <c r="J32" s="14"/>
      <c r="K32" s="48"/>
    </row>
    <row r="33" spans="1:11" ht="12.75" customHeight="1" x14ac:dyDescent="0.2">
      <c r="A33">
        <f>+MAX($A$8:A32)+1</f>
        <v>25</v>
      </c>
      <c r="B33" t="s">
        <v>230</v>
      </c>
      <c r="C33" t="s">
        <v>114</v>
      </c>
      <c r="D33" t="s">
        <v>98</v>
      </c>
      <c r="E33" s="28">
        <v>111900</v>
      </c>
      <c r="F33" s="13">
        <v>589.88085000000001</v>
      </c>
      <c r="G33" s="14">
        <f t="shared" si="0"/>
        <v>1.8700000000000001E-2</v>
      </c>
      <c r="H33" s="15"/>
    </row>
    <row r="34" spans="1:11" ht="12.75" customHeight="1" x14ac:dyDescent="0.2">
      <c r="A34">
        <f>+MAX($A$8:A33)+1</f>
        <v>26</v>
      </c>
      <c r="B34" t="s">
        <v>232</v>
      </c>
      <c r="C34" t="s">
        <v>115</v>
      </c>
      <c r="D34" t="s">
        <v>45</v>
      </c>
      <c r="E34" s="28">
        <v>156000</v>
      </c>
      <c r="F34" s="13">
        <v>585.23400000000004</v>
      </c>
      <c r="G34" s="14">
        <f t="shared" si="0"/>
        <v>1.8499999999999999E-2</v>
      </c>
      <c r="H34" s="15"/>
    </row>
    <row r="35" spans="1:11" ht="12.75" customHeight="1" x14ac:dyDescent="0.2">
      <c r="A35">
        <f>+MAX($A$8:A34)+1</f>
        <v>27</v>
      </c>
      <c r="B35" t="s">
        <v>228</v>
      </c>
      <c r="C35" t="s">
        <v>444</v>
      </c>
      <c r="D35" t="s">
        <v>9</v>
      </c>
      <c r="E35" s="28">
        <v>156000</v>
      </c>
      <c r="F35" s="13">
        <v>574.00199999999995</v>
      </c>
      <c r="G35" s="14">
        <f t="shared" si="0"/>
        <v>1.8200000000000001E-2</v>
      </c>
      <c r="H35" s="15"/>
    </row>
    <row r="36" spans="1:11" ht="12.75" customHeight="1" x14ac:dyDescent="0.2">
      <c r="A36">
        <f>+MAX($A$8:A35)+1</f>
        <v>28</v>
      </c>
      <c r="B36" t="s">
        <v>219</v>
      </c>
      <c r="C36" t="s">
        <v>100</v>
      </c>
      <c r="D36" t="s">
        <v>21</v>
      </c>
      <c r="E36" s="28">
        <v>64800</v>
      </c>
      <c r="F36" s="13">
        <v>534.21119999999996</v>
      </c>
      <c r="G36" s="14">
        <f t="shared" si="0"/>
        <v>1.6899999999999998E-2</v>
      </c>
      <c r="H36" s="15"/>
    </row>
    <row r="37" spans="1:11" ht="12.75" customHeight="1" x14ac:dyDescent="0.2">
      <c r="A37">
        <f>+MAX($A$8:A36)+1</f>
        <v>29</v>
      </c>
      <c r="B37" t="s">
        <v>369</v>
      </c>
      <c r="C37" t="s">
        <v>370</v>
      </c>
      <c r="D37" t="s">
        <v>102</v>
      </c>
      <c r="E37" s="28">
        <v>108000</v>
      </c>
      <c r="F37" s="13">
        <v>356.83199999999999</v>
      </c>
      <c r="G37" s="14">
        <f t="shared" si="0"/>
        <v>1.1299999999999999E-2</v>
      </c>
      <c r="H37" s="15"/>
    </row>
    <row r="38" spans="1:11" ht="12.75" customHeight="1" x14ac:dyDescent="0.2">
      <c r="A38">
        <f>+MAX($A$8:A37)+1</f>
        <v>30</v>
      </c>
      <c r="B38" s="1" t="s">
        <v>183</v>
      </c>
      <c r="C38" t="s">
        <v>37</v>
      </c>
      <c r="D38" t="s">
        <v>19</v>
      </c>
      <c r="E38" s="28">
        <v>12900</v>
      </c>
      <c r="F38" s="13">
        <v>348.30644999999998</v>
      </c>
      <c r="G38" s="14">
        <f t="shared" si="0"/>
        <v>1.0999999999999999E-2</v>
      </c>
      <c r="H38" s="15"/>
    </row>
    <row r="39" spans="1:11" ht="12.75" customHeight="1" x14ac:dyDescent="0.2">
      <c r="B39" s="18" t="s">
        <v>82</v>
      </c>
      <c r="C39" s="18"/>
      <c r="D39" s="18"/>
      <c r="E39" s="29"/>
      <c r="F39" s="19">
        <f>SUM(F9:F38)</f>
        <v>29142.657287500002</v>
      </c>
      <c r="G39" s="20">
        <f>SUM(G9:G38)</f>
        <v>0.92220000000000013</v>
      </c>
      <c r="H39" s="21"/>
      <c r="I39" s="35"/>
    </row>
    <row r="40" spans="1:11" s="46" customFormat="1" ht="12.75" customHeight="1" x14ac:dyDescent="0.2">
      <c r="B40" s="67"/>
      <c r="C40" s="67"/>
      <c r="D40" s="67"/>
      <c r="E40" s="68"/>
      <c r="F40" s="69"/>
      <c r="G40" s="70"/>
      <c r="H40" s="71"/>
      <c r="I40" s="35"/>
      <c r="K40" s="48"/>
    </row>
    <row r="41" spans="1:11" ht="12.75" customHeight="1" x14ac:dyDescent="0.2">
      <c r="B41" s="16" t="s">
        <v>89</v>
      </c>
      <c r="C41" s="16"/>
      <c r="F41" s="13"/>
      <c r="G41" s="14"/>
      <c r="H41" s="15"/>
      <c r="J41" s="17"/>
      <c r="K41" s="37"/>
    </row>
    <row r="42" spans="1:11" ht="12.75" customHeight="1" x14ac:dyDescent="0.2">
      <c r="A42">
        <f>+MAX($A$8:A41)+1</f>
        <v>31</v>
      </c>
      <c r="B42" t="s">
        <v>707</v>
      </c>
      <c r="C42" s="120" t="s">
        <v>708</v>
      </c>
      <c r="D42" t="s">
        <v>285</v>
      </c>
      <c r="E42" s="28">
        <v>115334.08130000001</v>
      </c>
      <c r="F42" s="13">
        <v>2000.4323872</v>
      </c>
      <c r="G42" s="14">
        <f>+ROUND(F42/VLOOKUP("Grand Total",$B$4:$F$268,5,0),4)</f>
        <v>6.3299999999999995E-2</v>
      </c>
      <c r="H42" s="15"/>
      <c r="J42" s="14"/>
      <c r="K42" s="48"/>
    </row>
    <row r="43" spans="1:11" ht="12.75" customHeight="1" x14ac:dyDescent="0.2">
      <c r="B43" s="18" t="s">
        <v>82</v>
      </c>
      <c r="C43" s="18"/>
      <c r="D43" s="18"/>
      <c r="E43" s="29"/>
      <c r="F43" s="19">
        <f>SUM(F42:F42)</f>
        <v>2000.4323872</v>
      </c>
      <c r="G43" s="20">
        <f>SUM(G42:G42)</f>
        <v>6.3299999999999995E-2</v>
      </c>
      <c r="H43" s="21"/>
      <c r="I43" s="35"/>
    </row>
    <row r="44" spans="1:11" s="46" customFormat="1" ht="12.75" customHeight="1" x14ac:dyDescent="0.2">
      <c r="B44" s="67"/>
      <c r="C44" s="67"/>
      <c r="D44" s="67"/>
      <c r="E44" s="68"/>
      <c r="F44" s="69"/>
      <c r="G44" s="70"/>
      <c r="H44" s="71"/>
      <c r="I44" s="35"/>
      <c r="K44" s="48"/>
    </row>
    <row r="45" spans="1:11" ht="12.75" customHeight="1" x14ac:dyDescent="0.2">
      <c r="B45" s="16" t="s">
        <v>91</v>
      </c>
      <c r="C45" s="16"/>
      <c r="F45" s="13"/>
      <c r="G45" s="14"/>
      <c r="H45" s="15"/>
      <c r="I45" s="35"/>
    </row>
    <row r="46" spans="1:11" ht="12.75" customHeight="1" x14ac:dyDescent="0.2">
      <c r="A46" s="94" t="s">
        <v>321</v>
      </c>
      <c r="B46" s="16" t="s">
        <v>658</v>
      </c>
      <c r="C46" s="16"/>
      <c r="F46" s="13">
        <v>476.22613000000001</v>
      </c>
      <c r="G46" s="14">
        <f>+ROUND(F46/VLOOKUP("Grand Total",$B$4:$F$268,5,0),4)</f>
        <v>1.5100000000000001E-2</v>
      </c>
      <c r="H46" s="15">
        <v>43313</v>
      </c>
    </row>
    <row r="47" spans="1:11" ht="12.75" customHeight="1" x14ac:dyDescent="0.2">
      <c r="B47" s="16" t="s">
        <v>92</v>
      </c>
      <c r="C47" s="16"/>
      <c r="F47" s="79">
        <v>-18.877990099997987</v>
      </c>
      <c r="G47" s="127">
        <f>+ROUND(F47/VLOOKUP("Grand Total",$B$4:$F$268,5,0),4)</f>
        <v>-5.9999999999999995E-4</v>
      </c>
      <c r="H47" s="15"/>
    </row>
    <row r="48" spans="1:11" ht="12.75" customHeight="1" x14ac:dyDescent="0.2">
      <c r="B48" s="18" t="s">
        <v>82</v>
      </c>
      <c r="C48" s="18"/>
      <c r="D48" s="18"/>
      <c r="E48" s="29"/>
      <c r="F48" s="19">
        <f>SUM(F46:F47)</f>
        <v>457.34813990000202</v>
      </c>
      <c r="G48" s="20">
        <f>SUM(G46:G47)</f>
        <v>1.4500000000000001E-2</v>
      </c>
      <c r="H48" s="21"/>
    </row>
    <row r="49" spans="2:11" ht="12.75" customHeight="1" x14ac:dyDescent="0.2">
      <c r="B49" s="22" t="s">
        <v>93</v>
      </c>
      <c r="C49" s="22"/>
      <c r="D49" s="22"/>
      <c r="E49" s="30"/>
      <c r="F49" s="23">
        <f>+SUMIF($B$5:B48,"Total",$F$5:F48)</f>
        <v>31600.437814600002</v>
      </c>
      <c r="G49" s="24">
        <f>+SUMIF($B$5:B48,"Total",$G$5:G48)</f>
        <v>1.0000000000000002</v>
      </c>
      <c r="H49" s="25"/>
    </row>
    <row r="50" spans="2:11" ht="12.75" customHeight="1" x14ac:dyDescent="0.2">
      <c r="I50"/>
      <c r="K50"/>
    </row>
    <row r="51" spans="2:11" ht="12.75" customHeight="1" x14ac:dyDescent="0.2">
      <c r="B51" s="16"/>
      <c r="C51" s="16"/>
      <c r="F51" s="13"/>
      <c r="G51" s="14"/>
      <c r="I51"/>
      <c r="K51"/>
    </row>
    <row r="52" spans="2:11" ht="12.75" customHeight="1" x14ac:dyDescent="0.2">
      <c r="B52" s="16"/>
      <c r="C52" s="16"/>
      <c r="F52" s="13"/>
      <c r="G52" s="14"/>
      <c r="I52"/>
      <c r="K52"/>
    </row>
    <row r="53" spans="2:11" ht="12.75" customHeight="1" x14ac:dyDescent="0.2">
      <c r="B53" s="16"/>
      <c r="C53" s="16"/>
      <c r="F53" s="13"/>
      <c r="G53" s="14"/>
      <c r="I53"/>
      <c r="K53"/>
    </row>
    <row r="54" spans="2:11" ht="12.75" customHeight="1" x14ac:dyDescent="0.2">
      <c r="I54"/>
      <c r="K54"/>
    </row>
    <row r="55" spans="2:11" ht="12.75" customHeight="1" x14ac:dyDescent="0.2">
      <c r="F55" s="13"/>
      <c r="I55"/>
      <c r="K55"/>
    </row>
    <row r="56" spans="2:11" ht="12.75" customHeight="1" x14ac:dyDescent="0.2">
      <c r="I56"/>
      <c r="K56"/>
    </row>
    <row r="57" spans="2:11" ht="12.75" customHeight="1" x14ac:dyDescent="0.2">
      <c r="I57"/>
      <c r="K57"/>
    </row>
    <row r="58" spans="2:11" ht="12.75" customHeight="1" x14ac:dyDescent="0.2">
      <c r="I58"/>
      <c r="K58"/>
    </row>
    <row r="59" spans="2:11" ht="12.75" customHeight="1" x14ac:dyDescent="0.2">
      <c r="I59"/>
      <c r="K59"/>
    </row>
    <row r="60" spans="2:11" ht="12.75" customHeight="1" x14ac:dyDescent="0.2">
      <c r="I60"/>
      <c r="K60"/>
    </row>
    <row r="61" spans="2:11" ht="12.75" customHeight="1" x14ac:dyDescent="0.2">
      <c r="I61"/>
      <c r="K61"/>
    </row>
    <row r="62" spans="2:11" ht="12.75" customHeight="1" x14ac:dyDescent="0.2">
      <c r="I62"/>
      <c r="K62"/>
    </row>
    <row r="63" spans="2:11" ht="12.75" customHeight="1" x14ac:dyDescent="0.2">
      <c r="I63"/>
      <c r="K63"/>
    </row>
    <row r="64" spans="2:11" ht="12.75" customHeight="1" x14ac:dyDescent="0.2">
      <c r="E64"/>
      <c r="I64"/>
      <c r="K64"/>
    </row>
    <row r="65" spans="5:11" ht="12.75" customHeight="1" x14ac:dyDescent="0.2">
      <c r="E65"/>
      <c r="I65"/>
      <c r="K65"/>
    </row>
    <row r="66" spans="5:11" ht="12.75" customHeight="1" x14ac:dyDescent="0.2">
      <c r="E66"/>
      <c r="I66"/>
      <c r="K66"/>
    </row>
    <row r="67" spans="5:11" ht="12.75" customHeight="1" x14ac:dyDescent="0.2">
      <c r="E67"/>
      <c r="I67"/>
      <c r="K67"/>
    </row>
    <row r="68" spans="5:11" ht="12.75" customHeight="1" x14ac:dyDescent="0.2">
      <c r="E68"/>
      <c r="I68"/>
      <c r="K68"/>
    </row>
    <row r="69" spans="5:11" ht="12.75" customHeight="1" x14ac:dyDescent="0.2">
      <c r="E69"/>
      <c r="I69"/>
      <c r="K69"/>
    </row>
    <row r="70" spans="5:11" ht="12.75" customHeight="1" x14ac:dyDescent="0.2">
      <c r="E70"/>
      <c r="I70"/>
      <c r="K70"/>
    </row>
    <row r="71" spans="5:11" ht="12.75" customHeight="1" x14ac:dyDescent="0.2">
      <c r="E71"/>
      <c r="I71"/>
      <c r="K71"/>
    </row>
    <row r="72" spans="5:11" ht="12.75" customHeight="1" x14ac:dyDescent="0.2">
      <c r="E72"/>
      <c r="I72"/>
      <c r="K72"/>
    </row>
    <row r="73" spans="5:11" ht="12.75" customHeight="1" x14ac:dyDescent="0.2">
      <c r="E73"/>
      <c r="I73"/>
      <c r="K73"/>
    </row>
    <row r="74" spans="5:11" ht="12.75" customHeight="1" x14ac:dyDescent="0.2">
      <c r="E74"/>
      <c r="I74"/>
      <c r="K74"/>
    </row>
    <row r="75" spans="5:11" ht="12.75" customHeight="1" x14ac:dyDescent="0.2">
      <c r="E75"/>
      <c r="I75"/>
      <c r="K75"/>
    </row>
    <row r="76" spans="5:11" ht="12.75" customHeight="1" x14ac:dyDescent="0.2">
      <c r="E76"/>
      <c r="I76"/>
      <c r="K76"/>
    </row>
    <row r="77" spans="5:11" ht="12.75" customHeight="1" x14ac:dyDescent="0.2">
      <c r="E77"/>
      <c r="I77"/>
      <c r="K77"/>
    </row>
    <row r="78" spans="5:11" ht="12.75" customHeight="1" x14ac:dyDescent="0.2">
      <c r="E78"/>
      <c r="I78"/>
      <c r="K78"/>
    </row>
    <row r="79" spans="5:11" ht="12.75" customHeight="1" x14ac:dyDescent="0.2">
      <c r="E79"/>
      <c r="I79"/>
      <c r="K79"/>
    </row>
    <row r="80" spans="5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</sheetData>
  <sortState ref="J9:K26">
    <sortCondition descending="1" ref="K9:K26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138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21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5703125" bestFit="1" customWidth="1"/>
    <col min="11" max="11" width="8" style="36" customWidth="1"/>
  </cols>
  <sheetData>
    <row r="1" spans="1:16" ht="18.75" x14ac:dyDescent="0.2">
      <c r="A1" s="93" t="s">
        <v>325</v>
      </c>
      <c r="B1" s="129" t="s">
        <v>124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356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+MAX($A$7:A8)+1</f>
        <v>1</v>
      </c>
      <c r="B9" t="s">
        <v>216</v>
      </c>
      <c r="C9" t="s">
        <v>97</v>
      </c>
      <c r="D9" t="s">
        <v>24</v>
      </c>
      <c r="E9" s="28">
        <v>75280</v>
      </c>
      <c r="F9" s="13">
        <v>1303.5861199999999</v>
      </c>
      <c r="G9" s="14">
        <f t="shared" ref="G9:G40" si="0">+ROUND(F9/VLOOKUP("Grand Total",$B$4:$F$305,5,0),4)</f>
        <v>8.0399999999999999E-2</v>
      </c>
      <c r="H9" s="15"/>
      <c r="J9" s="65" t="s">
        <v>24</v>
      </c>
      <c r="K9" s="102">
        <f t="shared" ref="K9:K36" si="1">SUMIFS($G$5:$G$329,$D$5:$D$329,J9)</f>
        <v>0.1734</v>
      </c>
    </row>
    <row r="10" spans="1:16" s="65" customFormat="1" ht="12.75" customHeight="1" x14ac:dyDescent="0.2">
      <c r="A10" s="65">
        <f>+MAX($A$7:A9)+1</f>
        <v>2</v>
      </c>
      <c r="B10" s="65" t="s">
        <v>185</v>
      </c>
      <c r="C10" s="65" t="s">
        <v>44</v>
      </c>
      <c r="D10" s="65" t="s">
        <v>24</v>
      </c>
      <c r="E10" s="84">
        <v>330108</v>
      </c>
      <c r="F10" s="85">
        <v>982.73151599999994</v>
      </c>
      <c r="G10" s="89">
        <f t="shared" si="0"/>
        <v>6.0600000000000001E-2</v>
      </c>
      <c r="H10" s="88"/>
      <c r="I10" s="73"/>
      <c r="J10" s="14" t="s">
        <v>13</v>
      </c>
      <c r="K10" s="102">
        <f t="shared" si="1"/>
        <v>0.1394</v>
      </c>
      <c r="L10" s="83"/>
      <c r="M10" s="89"/>
    </row>
    <row r="11" spans="1:16" ht="12.75" customHeight="1" x14ac:dyDescent="0.2">
      <c r="A11">
        <f>+MAX($A$7:A10)+1</f>
        <v>3</v>
      </c>
      <c r="B11" t="s">
        <v>178</v>
      </c>
      <c r="C11" t="s">
        <v>29</v>
      </c>
      <c r="D11" t="s">
        <v>28</v>
      </c>
      <c r="E11" s="28">
        <v>57690</v>
      </c>
      <c r="F11" s="13">
        <v>684.20339999999999</v>
      </c>
      <c r="G11" s="14">
        <f t="shared" si="0"/>
        <v>4.2200000000000001E-2</v>
      </c>
      <c r="H11" s="15"/>
      <c r="J11" s="14" t="s">
        <v>9</v>
      </c>
      <c r="K11" s="102">
        <f t="shared" si="1"/>
        <v>0.1116</v>
      </c>
      <c r="L11" s="36"/>
      <c r="M11" s="14"/>
      <c r="N11" s="36"/>
      <c r="P11" s="14"/>
    </row>
    <row r="12" spans="1:16" ht="12.75" customHeight="1" x14ac:dyDescent="0.2">
      <c r="A12">
        <f>+MAX($A$7:A11)+1</f>
        <v>4</v>
      </c>
      <c r="B12" t="s">
        <v>177</v>
      </c>
      <c r="C12" t="s">
        <v>14</v>
      </c>
      <c r="D12" t="s">
        <v>13</v>
      </c>
      <c r="E12" s="28">
        <v>47850</v>
      </c>
      <c r="F12" s="13">
        <v>653.20034999999996</v>
      </c>
      <c r="G12" s="14">
        <f t="shared" si="0"/>
        <v>4.0300000000000002E-2</v>
      </c>
      <c r="H12" s="15"/>
      <c r="J12" s="14" t="s">
        <v>19</v>
      </c>
      <c r="K12" s="102">
        <f t="shared" si="1"/>
        <v>8.6699999999999999E-2</v>
      </c>
      <c r="L12" s="36"/>
      <c r="M12" s="14"/>
      <c r="N12" s="36"/>
      <c r="P12" s="14"/>
    </row>
    <row r="13" spans="1:16" ht="12.75" customHeight="1" x14ac:dyDescent="0.2">
      <c r="A13">
        <f>+MAX($A$7:A12)+1</f>
        <v>5</v>
      </c>
      <c r="B13" t="s">
        <v>193</v>
      </c>
      <c r="C13" t="s">
        <v>47</v>
      </c>
      <c r="D13" t="s">
        <v>19</v>
      </c>
      <c r="E13" s="28">
        <v>6180</v>
      </c>
      <c r="F13" s="13">
        <v>588.36999000000003</v>
      </c>
      <c r="G13" s="14">
        <f t="shared" si="0"/>
        <v>3.6299999999999999E-2</v>
      </c>
      <c r="H13" s="15"/>
      <c r="J13" s="14" t="s">
        <v>28</v>
      </c>
      <c r="K13" s="102">
        <f t="shared" si="1"/>
        <v>6.1399999999999996E-2</v>
      </c>
      <c r="L13" s="36"/>
      <c r="M13" s="14"/>
      <c r="N13" s="36"/>
      <c r="P13" s="14"/>
    </row>
    <row r="14" spans="1:16" ht="12.75" customHeight="1" x14ac:dyDescent="0.2">
      <c r="A14">
        <f>+MAX($A$7:A13)+1</f>
        <v>6</v>
      </c>
      <c r="B14" t="s">
        <v>176</v>
      </c>
      <c r="C14" t="s">
        <v>12</v>
      </c>
      <c r="D14" t="s">
        <v>9</v>
      </c>
      <c r="E14" s="28">
        <v>24800</v>
      </c>
      <c r="F14" s="13">
        <v>540.51599999999996</v>
      </c>
      <c r="G14" s="14">
        <f t="shared" si="0"/>
        <v>3.3300000000000003E-2</v>
      </c>
      <c r="H14" s="15"/>
      <c r="J14" s="14" t="s">
        <v>127</v>
      </c>
      <c r="K14" s="102">
        <f t="shared" si="1"/>
        <v>4.5400000000000003E-2</v>
      </c>
      <c r="L14" s="36"/>
      <c r="M14" s="14"/>
      <c r="N14" s="36"/>
      <c r="P14" s="14"/>
    </row>
    <row r="15" spans="1:16" ht="12.75" customHeight="1" x14ac:dyDescent="0.2">
      <c r="A15">
        <f>+MAX($A$7:A14)+1</f>
        <v>7</v>
      </c>
      <c r="B15" t="s">
        <v>200</v>
      </c>
      <c r="C15" t="s">
        <v>18</v>
      </c>
      <c r="D15" t="s">
        <v>13</v>
      </c>
      <c r="E15" s="28">
        <v>24600</v>
      </c>
      <c r="F15" s="13">
        <v>477.28919999999999</v>
      </c>
      <c r="G15" s="14">
        <f t="shared" si="0"/>
        <v>2.9399999999999999E-2</v>
      </c>
      <c r="H15" s="15"/>
      <c r="J15" s="14" t="s">
        <v>45</v>
      </c>
      <c r="K15" s="102">
        <f t="shared" si="1"/>
        <v>4.3200000000000002E-2</v>
      </c>
      <c r="L15" s="36"/>
      <c r="M15" s="14"/>
      <c r="N15" s="36"/>
      <c r="P15" s="14"/>
    </row>
    <row r="16" spans="1:16" ht="12.75" customHeight="1" x14ac:dyDescent="0.2">
      <c r="A16">
        <f>+MAX($A$7:A15)+1</f>
        <v>8</v>
      </c>
      <c r="B16" t="s">
        <v>225</v>
      </c>
      <c r="C16" t="s">
        <v>108</v>
      </c>
      <c r="D16" t="s">
        <v>19</v>
      </c>
      <c r="E16" s="28">
        <v>13800</v>
      </c>
      <c r="F16" s="13">
        <v>454.63409999999999</v>
      </c>
      <c r="G16" s="14">
        <f t="shared" si="0"/>
        <v>2.8000000000000001E-2</v>
      </c>
      <c r="H16" s="15"/>
      <c r="J16" s="14" t="s">
        <v>36</v>
      </c>
      <c r="K16" s="102">
        <f t="shared" si="1"/>
        <v>4.2299999999999997E-2</v>
      </c>
      <c r="L16" s="36"/>
      <c r="M16" s="14"/>
      <c r="N16" s="36"/>
      <c r="P16" s="14"/>
    </row>
    <row r="17" spans="1:16" ht="12.75" customHeight="1" x14ac:dyDescent="0.2">
      <c r="A17">
        <f>+MAX($A$7:A16)+1</f>
        <v>9</v>
      </c>
      <c r="B17" t="s">
        <v>181</v>
      </c>
      <c r="C17" t="s">
        <v>23</v>
      </c>
      <c r="D17" t="s">
        <v>13</v>
      </c>
      <c r="E17" s="28">
        <v>45900</v>
      </c>
      <c r="F17" s="13">
        <v>442.98090000000002</v>
      </c>
      <c r="G17" s="14">
        <f t="shared" si="0"/>
        <v>2.7300000000000001E-2</v>
      </c>
      <c r="H17" s="15"/>
      <c r="J17" s="14" t="s">
        <v>17</v>
      </c>
      <c r="K17" s="102">
        <f t="shared" si="1"/>
        <v>4.2300000000000004E-2</v>
      </c>
      <c r="L17" s="36"/>
      <c r="M17" s="14"/>
      <c r="N17" s="36"/>
      <c r="P17" s="14"/>
    </row>
    <row r="18" spans="1:16" ht="12.75" customHeight="1" x14ac:dyDescent="0.2">
      <c r="A18">
        <f>+MAX($A$7:A17)+1</f>
        <v>10</v>
      </c>
      <c r="B18" t="s">
        <v>15</v>
      </c>
      <c r="C18" t="s">
        <v>16</v>
      </c>
      <c r="D18" t="s">
        <v>9</v>
      </c>
      <c r="E18" s="28">
        <v>130800</v>
      </c>
      <c r="F18" s="13">
        <v>383.89800000000002</v>
      </c>
      <c r="G18" s="14">
        <f t="shared" si="0"/>
        <v>2.3699999999999999E-2</v>
      </c>
      <c r="H18" s="15"/>
      <c r="J18" s="14" t="s">
        <v>39</v>
      </c>
      <c r="K18" s="102">
        <f t="shared" si="1"/>
        <v>3.3500000000000002E-2</v>
      </c>
      <c r="L18" s="36"/>
      <c r="M18" s="14"/>
      <c r="N18" s="36"/>
      <c r="P18" s="14"/>
    </row>
    <row r="19" spans="1:16" ht="12.75" customHeight="1" x14ac:dyDescent="0.2">
      <c r="A19">
        <f>+MAX($A$7:A18)+1</f>
        <v>11</v>
      </c>
      <c r="B19" t="s">
        <v>179</v>
      </c>
      <c r="C19" t="s">
        <v>10</v>
      </c>
      <c r="D19" t="s">
        <v>9</v>
      </c>
      <c r="E19" s="28">
        <v>126000</v>
      </c>
      <c r="F19" s="13">
        <v>383.35500000000002</v>
      </c>
      <c r="G19" s="14">
        <f t="shared" si="0"/>
        <v>2.3599999999999999E-2</v>
      </c>
      <c r="H19" s="15"/>
      <c r="J19" s="14" t="s">
        <v>41</v>
      </c>
      <c r="K19" s="102">
        <f t="shared" si="1"/>
        <v>2.0200000000000003E-2</v>
      </c>
      <c r="L19" s="36"/>
      <c r="M19" s="14"/>
      <c r="N19" s="36"/>
      <c r="P19" s="14"/>
    </row>
    <row r="20" spans="1:16" ht="12.75" customHeight="1" x14ac:dyDescent="0.2">
      <c r="A20">
        <f>+MAX($A$7:A19)+1</f>
        <v>12</v>
      </c>
      <c r="B20" t="s">
        <v>244</v>
      </c>
      <c r="C20" t="s">
        <v>79</v>
      </c>
      <c r="D20" t="s">
        <v>13</v>
      </c>
      <c r="E20" s="28">
        <v>54000</v>
      </c>
      <c r="F20" s="13">
        <v>380.34899999999999</v>
      </c>
      <c r="G20" s="14">
        <f t="shared" si="0"/>
        <v>2.35E-2</v>
      </c>
      <c r="H20" s="15"/>
      <c r="J20" s="14" t="s">
        <v>26</v>
      </c>
      <c r="K20" s="102">
        <f t="shared" si="1"/>
        <v>2.0199999999999999E-2</v>
      </c>
      <c r="L20" s="36"/>
      <c r="M20" s="14"/>
      <c r="N20" s="36"/>
      <c r="P20" s="14"/>
    </row>
    <row r="21" spans="1:16" ht="12.75" customHeight="1" x14ac:dyDescent="0.2">
      <c r="A21">
        <f>+MAX($A$7:A20)+1</f>
        <v>13</v>
      </c>
      <c r="B21" t="s">
        <v>239</v>
      </c>
      <c r="C21" t="s">
        <v>128</v>
      </c>
      <c r="D21" t="s">
        <v>17</v>
      </c>
      <c r="E21" s="28">
        <v>13569</v>
      </c>
      <c r="F21" s="13">
        <v>358.98146399999996</v>
      </c>
      <c r="G21" s="14">
        <f t="shared" si="0"/>
        <v>2.2100000000000002E-2</v>
      </c>
      <c r="H21" s="15"/>
      <c r="J21" s="14" t="s">
        <v>419</v>
      </c>
      <c r="K21" s="102">
        <f t="shared" si="1"/>
        <v>1.8799999999999997E-2</v>
      </c>
      <c r="L21" s="36"/>
      <c r="M21" s="14"/>
      <c r="N21" s="36"/>
      <c r="P21" s="14"/>
    </row>
    <row r="22" spans="1:16" ht="12.75" customHeight="1" x14ac:dyDescent="0.2">
      <c r="A22">
        <f>+MAX($A$7:A21)+1</f>
        <v>14</v>
      </c>
      <c r="B22" t="s">
        <v>188</v>
      </c>
      <c r="C22" t="s">
        <v>51</v>
      </c>
      <c r="D22" t="s">
        <v>17</v>
      </c>
      <c r="E22" s="28">
        <v>7800</v>
      </c>
      <c r="F22" s="13">
        <v>327.1164</v>
      </c>
      <c r="G22" s="14">
        <f t="shared" si="0"/>
        <v>2.0199999999999999E-2</v>
      </c>
      <c r="H22" s="15"/>
      <c r="J22" s="14" t="s">
        <v>102</v>
      </c>
      <c r="K22" s="102">
        <f t="shared" si="1"/>
        <v>1.67E-2</v>
      </c>
      <c r="L22" s="36"/>
      <c r="M22" s="14"/>
      <c r="N22" s="36"/>
      <c r="P22" s="14"/>
    </row>
    <row r="23" spans="1:16" ht="12.75" customHeight="1" x14ac:dyDescent="0.2">
      <c r="A23">
        <f>+MAX($A$7:A22)+1</f>
        <v>15</v>
      </c>
      <c r="B23" t="s">
        <v>486</v>
      </c>
      <c r="C23" t="s">
        <v>487</v>
      </c>
      <c r="D23" t="s">
        <v>13</v>
      </c>
      <c r="E23" s="28">
        <v>32400</v>
      </c>
      <c r="F23" s="13">
        <v>306.39060000000001</v>
      </c>
      <c r="G23" s="14">
        <f t="shared" si="0"/>
        <v>1.89E-2</v>
      </c>
      <c r="H23" s="15"/>
      <c r="J23" s="14" t="s">
        <v>21</v>
      </c>
      <c r="K23" s="102">
        <f t="shared" si="1"/>
        <v>1.54E-2</v>
      </c>
      <c r="L23" s="36"/>
      <c r="M23" s="14"/>
      <c r="N23" s="36"/>
      <c r="P23" s="14"/>
    </row>
    <row r="24" spans="1:16" ht="12.75" customHeight="1" x14ac:dyDescent="0.2">
      <c r="A24">
        <f>+MAX($A$7:A23)+1</f>
        <v>16</v>
      </c>
      <c r="B24" t="s">
        <v>232</v>
      </c>
      <c r="C24" t="s">
        <v>115</v>
      </c>
      <c r="D24" t="s">
        <v>45</v>
      </c>
      <c r="E24" s="28">
        <v>78690</v>
      </c>
      <c r="F24" s="13">
        <v>295.205535</v>
      </c>
      <c r="G24" s="14">
        <f t="shared" si="0"/>
        <v>1.8200000000000001E-2</v>
      </c>
      <c r="H24" s="15"/>
      <c r="J24" s="14" t="s">
        <v>22</v>
      </c>
      <c r="K24" s="102">
        <f t="shared" si="1"/>
        <v>1.24E-2</v>
      </c>
      <c r="L24" s="36"/>
      <c r="M24" s="14"/>
      <c r="N24" s="36"/>
      <c r="P24" s="14"/>
    </row>
    <row r="25" spans="1:16" ht="12.75" customHeight="1" x14ac:dyDescent="0.2">
      <c r="A25">
        <f>+MAX($A$7:A24)+1</f>
        <v>17</v>
      </c>
      <c r="B25" t="s">
        <v>240</v>
      </c>
      <c r="C25" t="s">
        <v>129</v>
      </c>
      <c r="D25" t="s">
        <v>24</v>
      </c>
      <c r="E25" s="28">
        <v>10080</v>
      </c>
      <c r="F25" s="13">
        <v>273.38472000000002</v>
      </c>
      <c r="G25" s="14">
        <f t="shared" si="0"/>
        <v>1.6899999999999998E-2</v>
      </c>
      <c r="H25" s="15"/>
      <c r="J25" s="14" t="s">
        <v>288</v>
      </c>
      <c r="K25" s="102">
        <f t="shared" si="1"/>
        <v>1.21E-2</v>
      </c>
      <c r="L25" s="36"/>
      <c r="M25" s="14"/>
      <c r="N25" s="36"/>
      <c r="P25" s="14"/>
    </row>
    <row r="26" spans="1:16" ht="12.75" customHeight="1" x14ac:dyDescent="0.2">
      <c r="A26">
        <f>+MAX($A$7:A25)+1</f>
        <v>18</v>
      </c>
      <c r="B26" t="s">
        <v>183</v>
      </c>
      <c r="C26" t="s">
        <v>37</v>
      </c>
      <c r="D26" t="s">
        <v>19</v>
      </c>
      <c r="E26" s="28">
        <v>9960</v>
      </c>
      <c r="F26" s="13">
        <v>268.92498000000001</v>
      </c>
      <c r="G26" s="14">
        <f t="shared" si="0"/>
        <v>1.66E-2</v>
      </c>
      <c r="H26" s="15"/>
      <c r="J26" s="14" t="s">
        <v>30</v>
      </c>
      <c r="K26" s="102">
        <f t="shared" si="1"/>
        <v>9.7999999999999997E-3</v>
      </c>
      <c r="L26" s="36"/>
      <c r="M26" s="14"/>
      <c r="N26" s="36"/>
      <c r="P26" s="14"/>
    </row>
    <row r="27" spans="1:16" ht="12.75" customHeight="1" x14ac:dyDescent="0.2">
      <c r="A27">
        <f>+MAX($A$7:A26)+1</f>
        <v>19</v>
      </c>
      <c r="B27" t="s">
        <v>237</v>
      </c>
      <c r="C27" t="s">
        <v>122</v>
      </c>
      <c r="D27" t="s">
        <v>24</v>
      </c>
      <c r="E27" s="28">
        <v>21900</v>
      </c>
      <c r="F27" s="13">
        <v>250.80975000000001</v>
      </c>
      <c r="G27" s="14">
        <f t="shared" si="0"/>
        <v>1.55E-2</v>
      </c>
      <c r="H27" s="15"/>
      <c r="J27" s="14" t="s">
        <v>34</v>
      </c>
      <c r="K27" s="102">
        <f t="shared" si="1"/>
        <v>9.7000000000000003E-3</v>
      </c>
      <c r="L27" s="36"/>
      <c r="M27" s="14"/>
      <c r="N27" s="36"/>
      <c r="P27" s="14"/>
    </row>
    <row r="28" spans="1:16" ht="12.75" customHeight="1" x14ac:dyDescent="0.2">
      <c r="A28">
        <f>+MAX($A$7:A27)+1</f>
        <v>20</v>
      </c>
      <c r="B28" t="s">
        <v>276</v>
      </c>
      <c r="C28" t="s">
        <v>74</v>
      </c>
      <c r="D28" t="s">
        <v>36</v>
      </c>
      <c r="E28" s="28">
        <v>73608</v>
      </c>
      <c r="F28" s="13">
        <v>250.2672</v>
      </c>
      <c r="G28" s="14">
        <f t="shared" si="0"/>
        <v>1.54E-2</v>
      </c>
      <c r="H28" s="15"/>
      <c r="J28" s="14" t="s">
        <v>126</v>
      </c>
      <c r="K28" s="102">
        <f t="shared" si="1"/>
        <v>8.9999999999999993E-3</v>
      </c>
      <c r="L28" s="36"/>
      <c r="M28" s="14"/>
      <c r="N28" s="36"/>
      <c r="P28" s="14"/>
    </row>
    <row r="29" spans="1:16" ht="12.75" customHeight="1" x14ac:dyDescent="0.2">
      <c r="A29">
        <f>+MAX($A$7:A28)+1</f>
        <v>21</v>
      </c>
      <c r="B29" t="s">
        <v>348</v>
      </c>
      <c r="C29" t="s">
        <v>349</v>
      </c>
      <c r="D29" t="s">
        <v>127</v>
      </c>
      <c r="E29" s="28">
        <v>19608</v>
      </c>
      <c r="F29" s="13">
        <v>240.09996000000001</v>
      </c>
      <c r="G29" s="14">
        <f t="shared" si="0"/>
        <v>1.4800000000000001E-2</v>
      </c>
      <c r="H29" s="15"/>
      <c r="J29" t="s">
        <v>43</v>
      </c>
      <c r="K29" s="102">
        <f t="shared" si="1"/>
        <v>8.9999999999999993E-3</v>
      </c>
      <c r="L29" s="36"/>
      <c r="M29" s="14"/>
      <c r="N29" s="36"/>
      <c r="P29" s="14"/>
    </row>
    <row r="30" spans="1:16" ht="12.75" customHeight="1" x14ac:dyDescent="0.2">
      <c r="A30">
        <f>+MAX($A$7:A29)+1</f>
        <v>22</v>
      </c>
      <c r="B30" t="s">
        <v>211</v>
      </c>
      <c r="C30" t="s">
        <v>472</v>
      </c>
      <c r="D30" t="s">
        <v>45</v>
      </c>
      <c r="E30" s="28">
        <v>78000</v>
      </c>
      <c r="F30" s="13">
        <v>237.08099999999999</v>
      </c>
      <c r="G30" s="14">
        <f t="shared" si="0"/>
        <v>1.46E-2</v>
      </c>
      <c r="H30" s="15"/>
      <c r="J30" s="14" t="s">
        <v>407</v>
      </c>
      <c r="K30" s="102">
        <f t="shared" si="1"/>
        <v>8.8999999999999999E-3</v>
      </c>
      <c r="L30" s="36"/>
      <c r="M30" s="14"/>
      <c r="N30" s="36"/>
      <c r="P30" s="14"/>
    </row>
    <row r="31" spans="1:16" ht="12.75" customHeight="1" x14ac:dyDescent="0.2">
      <c r="A31">
        <f>+MAX($A$7:A30)+1</f>
        <v>23</v>
      </c>
      <c r="B31" t="s">
        <v>255</v>
      </c>
      <c r="C31" t="s">
        <v>148</v>
      </c>
      <c r="D31" t="s">
        <v>39</v>
      </c>
      <c r="E31" s="28">
        <v>13500</v>
      </c>
      <c r="F31" s="13">
        <v>222.75</v>
      </c>
      <c r="G31" s="14">
        <f t="shared" si="0"/>
        <v>1.37E-2</v>
      </c>
      <c r="H31" s="15"/>
      <c r="J31" s="14" t="s">
        <v>35</v>
      </c>
      <c r="K31" s="102">
        <f t="shared" si="1"/>
        <v>8.2000000000000007E-3</v>
      </c>
      <c r="L31" s="36"/>
      <c r="M31" s="14"/>
      <c r="N31" s="36"/>
      <c r="P31" s="14"/>
    </row>
    <row r="32" spans="1:16" ht="12.75" customHeight="1" x14ac:dyDescent="0.2">
      <c r="A32">
        <f>+MAX($A$7:A31)+1</f>
        <v>24</v>
      </c>
      <c r="B32" t="s">
        <v>432</v>
      </c>
      <c r="C32" t="s">
        <v>433</v>
      </c>
      <c r="D32" t="s">
        <v>39</v>
      </c>
      <c r="E32" s="28">
        <v>4938</v>
      </c>
      <c r="F32" s="13">
        <v>212.17351500000001</v>
      </c>
      <c r="G32" s="14">
        <f t="shared" si="0"/>
        <v>1.3100000000000001E-2</v>
      </c>
      <c r="H32" s="15"/>
      <c r="J32" s="14" t="s">
        <v>101</v>
      </c>
      <c r="K32" s="102">
        <f t="shared" si="1"/>
        <v>6.6E-3</v>
      </c>
      <c r="M32" s="14"/>
      <c r="N32" s="36"/>
      <c r="P32" s="14"/>
    </row>
    <row r="33" spans="1:16" ht="12.75" customHeight="1" x14ac:dyDescent="0.2">
      <c r="A33">
        <f>+MAX($A$7:A32)+1</f>
        <v>25</v>
      </c>
      <c r="B33" t="s">
        <v>209</v>
      </c>
      <c r="C33" t="s">
        <v>69</v>
      </c>
      <c r="D33" t="s">
        <v>26</v>
      </c>
      <c r="E33" s="28">
        <v>15750</v>
      </c>
      <c r="F33" s="13">
        <v>205.11224999999999</v>
      </c>
      <c r="G33" s="14">
        <f t="shared" si="0"/>
        <v>1.26E-2</v>
      </c>
      <c r="H33" s="15"/>
      <c r="J33" s="14" t="s">
        <v>137</v>
      </c>
      <c r="K33" s="102">
        <f t="shared" si="1"/>
        <v>2.8E-3</v>
      </c>
      <c r="L33" s="54"/>
      <c r="N33" s="36"/>
      <c r="P33" s="14"/>
    </row>
    <row r="34" spans="1:16" ht="12.75" customHeight="1" x14ac:dyDescent="0.2">
      <c r="A34">
        <f>+MAX($A$7:A33)+1</f>
        <v>26</v>
      </c>
      <c r="B34" t="s">
        <v>278</v>
      </c>
      <c r="C34" t="s">
        <v>125</v>
      </c>
      <c r="D34" t="s">
        <v>22</v>
      </c>
      <c r="E34" s="28">
        <v>6900</v>
      </c>
      <c r="F34" s="13">
        <v>200.40360000000001</v>
      </c>
      <c r="G34" s="14">
        <f t="shared" si="0"/>
        <v>1.24E-2</v>
      </c>
      <c r="H34" s="15"/>
      <c r="J34" t="s">
        <v>285</v>
      </c>
      <c r="K34" s="102">
        <f t="shared" si="1"/>
        <v>1.4E-3</v>
      </c>
    </row>
    <row r="35" spans="1:16" ht="12.75" customHeight="1" x14ac:dyDescent="0.2">
      <c r="A35">
        <f>+MAX($A$7:A34)+1</f>
        <v>27</v>
      </c>
      <c r="B35" t="s">
        <v>218</v>
      </c>
      <c r="C35" t="s">
        <v>99</v>
      </c>
      <c r="D35" t="s">
        <v>9</v>
      </c>
      <c r="E35" s="28">
        <v>9900</v>
      </c>
      <c r="F35" s="13">
        <v>197.51984999999999</v>
      </c>
      <c r="G35" s="14">
        <f t="shared" si="0"/>
        <v>1.2200000000000001E-2</v>
      </c>
      <c r="H35" s="15"/>
      <c r="J35" s="14" t="s">
        <v>95</v>
      </c>
      <c r="K35" s="102">
        <f t="shared" si="1"/>
        <v>1.1999999999999999E-3</v>
      </c>
    </row>
    <row r="36" spans="1:16" ht="12.75" customHeight="1" x14ac:dyDescent="0.2">
      <c r="A36">
        <f>+MAX($A$7:A35)+1</f>
        <v>28</v>
      </c>
      <c r="B36" t="s">
        <v>266</v>
      </c>
      <c r="C36" t="s">
        <v>163</v>
      </c>
      <c r="D36" t="s">
        <v>36</v>
      </c>
      <c r="E36" s="28">
        <v>64800</v>
      </c>
      <c r="F36" s="13">
        <v>181.27799999999999</v>
      </c>
      <c r="G36" s="14">
        <f t="shared" si="0"/>
        <v>1.12E-2</v>
      </c>
      <c r="H36" s="15"/>
      <c r="J36" s="14" t="s">
        <v>32</v>
      </c>
      <c r="K36" s="102">
        <f t="shared" si="1"/>
        <v>0</v>
      </c>
    </row>
    <row r="37" spans="1:16" ht="12.75" customHeight="1" x14ac:dyDescent="0.2">
      <c r="A37">
        <f>+MAX($A$7:A36)+1</f>
        <v>29</v>
      </c>
      <c r="B37" t="s">
        <v>711</v>
      </c>
      <c r="C37" t="s">
        <v>670</v>
      </c>
      <c r="D37" t="s">
        <v>127</v>
      </c>
      <c r="E37" s="28">
        <v>21900</v>
      </c>
      <c r="F37" s="13">
        <v>181.27725000000001</v>
      </c>
      <c r="G37" s="14">
        <f t="shared" si="0"/>
        <v>1.12E-2</v>
      </c>
      <c r="H37" s="15"/>
      <c r="J37" s="14" t="s">
        <v>62</v>
      </c>
      <c r="K37" s="48">
        <f>+SUMIFS($G$5:$G$998,$B$5:$B$998,"CBLO / Reverse Repo")+SUMIFS($G$5:$G$998,$B$5:$B$998,"Net Receivable/Payable")</f>
        <v>3.8400000000000004E-2</v>
      </c>
    </row>
    <row r="38" spans="1:16" ht="12.75" customHeight="1" x14ac:dyDescent="0.2">
      <c r="A38">
        <f>+MAX($A$7:A37)+1</f>
        <v>30</v>
      </c>
      <c r="B38" t="s">
        <v>257</v>
      </c>
      <c r="C38" t="s">
        <v>162</v>
      </c>
      <c r="D38" t="s">
        <v>45</v>
      </c>
      <c r="E38" s="28">
        <v>73800</v>
      </c>
      <c r="F38" s="13">
        <v>169.11269999999999</v>
      </c>
      <c r="G38" s="14">
        <f t="shared" si="0"/>
        <v>1.04E-2</v>
      </c>
      <c r="H38" s="15"/>
    </row>
    <row r="39" spans="1:16" ht="12.75" customHeight="1" x14ac:dyDescent="0.2">
      <c r="A39">
        <f>+MAX($A$7:A38)+1</f>
        <v>31</v>
      </c>
      <c r="B39" t="s">
        <v>309</v>
      </c>
      <c r="C39" t="s">
        <v>310</v>
      </c>
      <c r="D39" t="s">
        <v>419</v>
      </c>
      <c r="E39" s="28">
        <v>540000</v>
      </c>
      <c r="F39" s="13">
        <v>169.02</v>
      </c>
      <c r="G39" s="14">
        <f t="shared" si="0"/>
        <v>1.04E-2</v>
      </c>
      <c r="H39" s="15"/>
    </row>
    <row r="40" spans="1:16" ht="12.75" customHeight="1" x14ac:dyDescent="0.2">
      <c r="A40">
        <f>+MAX($A$7:A39)+1</f>
        <v>32</v>
      </c>
      <c r="B40" t="s">
        <v>304</v>
      </c>
      <c r="C40" t="s">
        <v>538</v>
      </c>
      <c r="D40" t="s">
        <v>127</v>
      </c>
      <c r="E40" s="28">
        <v>64800</v>
      </c>
      <c r="F40" s="13">
        <v>165.3048</v>
      </c>
      <c r="G40" s="14">
        <f t="shared" si="0"/>
        <v>1.0200000000000001E-2</v>
      </c>
      <c r="H40" s="15"/>
    </row>
    <row r="41" spans="1:16" ht="12.75" customHeight="1" x14ac:dyDescent="0.2">
      <c r="A41">
        <f>+MAX($A$7:A40)+1</f>
        <v>33</v>
      </c>
      <c r="B41" t="s">
        <v>196</v>
      </c>
      <c r="C41" t="s">
        <v>94</v>
      </c>
      <c r="D41" t="s">
        <v>9</v>
      </c>
      <c r="E41" s="28">
        <v>12600</v>
      </c>
      <c r="F41" s="13">
        <v>164.66309999999999</v>
      </c>
      <c r="G41" s="14">
        <f t="shared" ref="G41:G67" si="2">+ROUND(F41/VLOOKUP("Grand Total",$B$4:$F$305,5,0),4)</f>
        <v>1.0200000000000001E-2</v>
      </c>
      <c r="H41" s="15"/>
    </row>
    <row r="42" spans="1:16" ht="12.75" customHeight="1" x14ac:dyDescent="0.2">
      <c r="A42">
        <f>+MAX($A$7:A41)+1</f>
        <v>34</v>
      </c>
      <c r="B42" t="s">
        <v>248</v>
      </c>
      <c r="C42" t="s">
        <v>139</v>
      </c>
      <c r="D42" t="s">
        <v>36</v>
      </c>
      <c r="E42" s="28">
        <v>207</v>
      </c>
      <c r="F42" s="13">
        <v>164.54502449999998</v>
      </c>
      <c r="G42" s="14">
        <f t="shared" si="2"/>
        <v>1.01E-2</v>
      </c>
      <c r="H42" s="15"/>
    </row>
    <row r="43" spans="1:16" ht="12.75" customHeight="1" x14ac:dyDescent="0.2">
      <c r="A43">
        <f>+MAX($A$7:A42)+1</f>
        <v>35</v>
      </c>
      <c r="B43" t="s">
        <v>299</v>
      </c>
      <c r="C43" t="s">
        <v>545</v>
      </c>
      <c r="D43" t="s">
        <v>30</v>
      </c>
      <c r="E43" s="28">
        <v>225000</v>
      </c>
      <c r="F43" s="13">
        <v>158.73750000000001</v>
      </c>
      <c r="G43" s="14">
        <f t="shared" si="2"/>
        <v>9.7999999999999997E-3</v>
      </c>
      <c r="H43" s="15"/>
    </row>
    <row r="44" spans="1:16" ht="12.75" customHeight="1" x14ac:dyDescent="0.2">
      <c r="A44">
        <f>+MAX($A$7:A43)+1</f>
        <v>36</v>
      </c>
      <c r="B44" t="s">
        <v>227</v>
      </c>
      <c r="C44" t="s">
        <v>111</v>
      </c>
      <c r="D44" t="s">
        <v>34</v>
      </c>
      <c r="E44" s="28">
        <v>101700</v>
      </c>
      <c r="F44" s="13">
        <v>157.48245</v>
      </c>
      <c r="G44" s="14">
        <f t="shared" si="2"/>
        <v>9.7000000000000003E-3</v>
      </c>
      <c r="H44" s="15"/>
    </row>
    <row r="45" spans="1:16" ht="12.75" customHeight="1" x14ac:dyDescent="0.2">
      <c r="A45">
        <f>+MAX($A$7:A44)+1</f>
        <v>37</v>
      </c>
      <c r="B45" t="s">
        <v>213</v>
      </c>
      <c r="C45" t="s">
        <v>77</v>
      </c>
      <c r="D45" t="s">
        <v>28</v>
      </c>
      <c r="E45" s="28">
        <v>54900</v>
      </c>
      <c r="F45" s="13">
        <v>156.3552</v>
      </c>
      <c r="G45" s="14">
        <f t="shared" si="2"/>
        <v>9.5999999999999992E-3</v>
      </c>
      <c r="H45" s="15"/>
    </row>
    <row r="46" spans="1:16" ht="12.75" customHeight="1" x14ac:dyDescent="0.2">
      <c r="A46">
        <f>+MAX($A$7:A45)+1</f>
        <v>38</v>
      </c>
      <c r="B46" t="s">
        <v>259</v>
      </c>
      <c r="C46" t="s">
        <v>161</v>
      </c>
      <c r="D46" t="s">
        <v>28</v>
      </c>
      <c r="E46" s="28">
        <v>94800</v>
      </c>
      <c r="F46" s="13">
        <v>155.8038</v>
      </c>
      <c r="G46" s="14">
        <f t="shared" si="2"/>
        <v>9.5999999999999992E-3</v>
      </c>
      <c r="H46" s="15"/>
    </row>
    <row r="47" spans="1:16" ht="12.75" customHeight="1" x14ac:dyDescent="0.2">
      <c r="A47">
        <f>+MAX($A$7:A46)+1</f>
        <v>39</v>
      </c>
      <c r="B47" t="s">
        <v>378</v>
      </c>
      <c r="C47" t="s">
        <v>379</v>
      </c>
      <c r="D47" t="s">
        <v>127</v>
      </c>
      <c r="E47" s="28">
        <v>108000</v>
      </c>
      <c r="F47" s="13">
        <v>149.148</v>
      </c>
      <c r="G47" s="14">
        <f t="shared" si="2"/>
        <v>9.1999999999999998E-3</v>
      </c>
      <c r="H47" s="15"/>
    </row>
    <row r="48" spans="1:16" ht="12.75" customHeight="1" x14ac:dyDescent="0.2">
      <c r="A48">
        <f>+MAX($A$7:A47)+1</f>
        <v>40</v>
      </c>
      <c r="B48" t="s">
        <v>214</v>
      </c>
      <c r="C48" t="s">
        <v>78</v>
      </c>
      <c r="D48" t="s">
        <v>43</v>
      </c>
      <c r="E48" s="28">
        <v>51900</v>
      </c>
      <c r="F48" s="13">
        <v>145.34594999999999</v>
      </c>
      <c r="G48" s="14">
        <f t="shared" si="2"/>
        <v>8.9999999999999993E-3</v>
      </c>
      <c r="H48" s="15"/>
    </row>
    <row r="49" spans="1:8" ht="12.75" customHeight="1" x14ac:dyDescent="0.2">
      <c r="A49">
        <f>+MAX($A$7:A48)+1</f>
        <v>41</v>
      </c>
      <c r="B49" t="s">
        <v>242</v>
      </c>
      <c r="C49" t="s">
        <v>131</v>
      </c>
      <c r="D49" t="s">
        <v>126</v>
      </c>
      <c r="E49" s="28">
        <v>18000</v>
      </c>
      <c r="F49" s="13">
        <v>145.15199999999999</v>
      </c>
      <c r="G49" s="14">
        <f t="shared" si="2"/>
        <v>8.9999999999999993E-3</v>
      </c>
      <c r="H49" s="15"/>
    </row>
    <row r="50" spans="1:8" ht="12.75" customHeight="1" x14ac:dyDescent="0.2">
      <c r="A50">
        <f>+MAX($A$7:A49)+1</f>
        <v>42</v>
      </c>
      <c r="B50" t="s">
        <v>195</v>
      </c>
      <c r="C50" t="s">
        <v>72</v>
      </c>
      <c r="D50" t="s">
        <v>407</v>
      </c>
      <c r="E50" s="28">
        <v>108000</v>
      </c>
      <c r="F50" s="13">
        <v>143.63999999999999</v>
      </c>
      <c r="G50" s="14">
        <f t="shared" si="2"/>
        <v>8.8999999999999999E-3</v>
      </c>
      <c r="H50" s="15"/>
    </row>
    <row r="51" spans="1:8" ht="12.75" customHeight="1" x14ac:dyDescent="0.2">
      <c r="A51">
        <f>+MAX($A$7:A50)+1</f>
        <v>43</v>
      </c>
      <c r="B51" t="s">
        <v>445</v>
      </c>
      <c r="C51" t="s">
        <v>395</v>
      </c>
      <c r="D51" t="s">
        <v>21</v>
      </c>
      <c r="E51" s="28">
        <v>54900</v>
      </c>
      <c r="F51" s="13">
        <v>142.27334999999999</v>
      </c>
      <c r="G51" s="14">
        <f t="shared" si="2"/>
        <v>8.8000000000000005E-3</v>
      </c>
      <c r="H51" s="15"/>
    </row>
    <row r="52" spans="1:8" ht="12.75" customHeight="1" x14ac:dyDescent="0.2">
      <c r="A52">
        <f>+MAX($A$7:A51)+1</f>
        <v>44</v>
      </c>
      <c r="B52" t="s">
        <v>671</v>
      </c>
      <c r="C52" t="s">
        <v>672</v>
      </c>
      <c r="D52" t="s">
        <v>102</v>
      </c>
      <c r="E52" s="28">
        <v>67800</v>
      </c>
      <c r="F52" s="13">
        <v>139.29509999999999</v>
      </c>
      <c r="G52" s="14">
        <f t="shared" si="2"/>
        <v>8.6E-3</v>
      </c>
      <c r="H52" s="15"/>
    </row>
    <row r="53" spans="1:8" ht="12.75" customHeight="1" x14ac:dyDescent="0.2">
      <c r="A53">
        <f>+MAX($A$7:A52)+1</f>
        <v>45</v>
      </c>
      <c r="B53" t="s">
        <v>286</v>
      </c>
      <c r="C53" t="s">
        <v>287</v>
      </c>
      <c r="D53" t="s">
        <v>9</v>
      </c>
      <c r="E53" s="28">
        <v>80949</v>
      </c>
      <c r="F53" s="13">
        <v>139.151331</v>
      </c>
      <c r="G53" s="14">
        <f t="shared" si="2"/>
        <v>8.6E-3</v>
      </c>
      <c r="H53" s="15"/>
    </row>
    <row r="54" spans="1:8" ht="12.75" customHeight="1" x14ac:dyDescent="0.2">
      <c r="A54">
        <f>+MAX($A$7:A53)+1</f>
        <v>46</v>
      </c>
      <c r="B54" t="s">
        <v>712</v>
      </c>
      <c r="C54" t="s">
        <v>713</v>
      </c>
      <c r="D54" t="s">
        <v>419</v>
      </c>
      <c r="E54" s="28">
        <v>39171</v>
      </c>
      <c r="F54" s="13">
        <v>136.5696915</v>
      </c>
      <c r="G54" s="14">
        <f t="shared" si="2"/>
        <v>8.3999999999999995E-3</v>
      </c>
      <c r="H54" s="15"/>
    </row>
    <row r="55" spans="1:8" ht="12.75" customHeight="1" x14ac:dyDescent="0.2">
      <c r="A55">
        <f>+MAX($A$7:A54)+1</f>
        <v>47</v>
      </c>
      <c r="B55" t="s">
        <v>668</v>
      </c>
      <c r="C55" t="s">
        <v>669</v>
      </c>
      <c r="D55" t="s">
        <v>35</v>
      </c>
      <c r="E55" s="28">
        <v>135000</v>
      </c>
      <c r="F55" s="13">
        <v>133.44749999999999</v>
      </c>
      <c r="G55" s="14">
        <f t="shared" si="2"/>
        <v>8.2000000000000007E-3</v>
      </c>
      <c r="H55" s="15"/>
    </row>
    <row r="56" spans="1:8" ht="12.75" customHeight="1" x14ac:dyDescent="0.2">
      <c r="A56">
        <f>+MAX($A$7:A55)+1</f>
        <v>48</v>
      </c>
      <c r="B56" t="s">
        <v>484</v>
      </c>
      <c r="C56" t="s">
        <v>485</v>
      </c>
      <c r="D56" t="s">
        <v>102</v>
      </c>
      <c r="E56" s="28">
        <v>158936</v>
      </c>
      <c r="F56" s="13">
        <v>131.20166800000001</v>
      </c>
      <c r="G56" s="14">
        <f t="shared" si="2"/>
        <v>8.0999999999999996E-3</v>
      </c>
      <c r="H56" s="15"/>
    </row>
    <row r="57" spans="1:8" ht="12.75" customHeight="1" x14ac:dyDescent="0.2">
      <c r="A57">
        <f>+MAX($A$7:A56)+1</f>
        <v>49</v>
      </c>
      <c r="B57" t="s">
        <v>408</v>
      </c>
      <c r="C57" t="s">
        <v>409</v>
      </c>
      <c r="D57" t="s">
        <v>41</v>
      </c>
      <c r="E57" s="28">
        <v>15000</v>
      </c>
      <c r="F57" s="13">
        <v>125.4075</v>
      </c>
      <c r="G57" s="14">
        <f t="shared" si="2"/>
        <v>7.7000000000000002E-3</v>
      </c>
      <c r="H57" s="15"/>
    </row>
    <row r="58" spans="1:8" ht="12.75" customHeight="1" x14ac:dyDescent="0.2">
      <c r="A58">
        <f>+MAX($A$7:A57)+1</f>
        <v>50</v>
      </c>
      <c r="B58" t="s">
        <v>208</v>
      </c>
      <c r="C58" t="s">
        <v>64</v>
      </c>
      <c r="D58" t="s">
        <v>26</v>
      </c>
      <c r="E58" s="28">
        <v>36900</v>
      </c>
      <c r="F58" s="13">
        <v>122.78475</v>
      </c>
      <c r="G58" s="14">
        <f t="shared" si="2"/>
        <v>7.6E-3</v>
      </c>
      <c r="H58" s="15"/>
    </row>
    <row r="59" spans="1:8" ht="12.75" customHeight="1" x14ac:dyDescent="0.2">
      <c r="A59">
        <f>+MAX($A$7:A58)+1</f>
        <v>51</v>
      </c>
      <c r="B59" t="s">
        <v>194</v>
      </c>
      <c r="C59" t="s">
        <v>53</v>
      </c>
      <c r="D59" t="s">
        <v>41</v>
      </c>
      <c r="E59" s="28">
        <v>7080</v>
      </c>
      <c r="F59" s="13">
        <v>122.57250000000001</v>
      </c>
      <c r="G59" s="14">
        <f t="shared" si="2"/>
        <v>7.6E-3</v>
      </c>
      <c r="H59" s="15"/>
    </row>
    <row r="60" spans="1:8" ht="12.75" customHeight="1" x14ac:dyDescent="0.2">
      <c r="A60">
        <f>+MAX($A$7:A59)+1</f>
        <v>52</v>
      </c>
      <c r="B60" t="s">
        <v>398</v>
      </c>
      <c r="C60" t="s">
        <v>399</v>
      </c>
      <c r="D60" t="s">
        <v>39</v>
      </c>
      <c r="E60" s="28">
        <v>40500</v>
      </c>
      <c r="F60" s="13">
        <v>109.35</v>
      </c>
      <c r="G60" s="14">
        <f t="shared" si="2"/>
        <v>6.7000000000000002E-3</v>
      </c>
      <c r="H60" s="15"/>
    </row>
    <row r="61" spans="1:8" ht="12.75" customHeight="1" x14ac:dyDescent="0.2">
      <c r="A61">
        <f>+MAX($A$7:A60)+1</f>
        <v>53</v>
      </c>
      <c r="B61" t="s">
        <v>501</v>
      </c>
      <c r="C61" t="s">
        <v>502</v>
      </c>
      <c r="D61" t="s">
        <v>101</v>
      </c>
      <c r="E61" s="28">
        <v>141300</v>
      </c>
      <c r="F61" s="13">
        <v>106.89345</v>
      </c>
      <c r="G61" s="14">
        <f t="shared" si="2"/>
        <v>6.6E-3</v>
      </c>
      <c r="H61" s="15"/>
    </row>
    <row r="62" spans="1:8" ht="12.75" customHeight="1" x14ac:dyDescent="0.2">
      <c r="A62">
        <f>+MAX($A$7:A61)+1</f>
        <v>54</v>
      </c>
      <c r="B62" t="s">
        <v>543</v>
      </c>
      <c r="C62" t="s">
        <v>544</v>
      </c>
      <c r="D62" t="s">
        <v>21</v>
      </c>
      <c r="E62" s="28">
        <v>27900</v>
      </c>
      <c r="F62" s="13">
        <v>106.42455</v>
      </c>
      <c r="G62" s="14">
        <f t="shared" si="2"/>
        <v>6.6E-3</v>
      </c>
      <c r="H62" s="15"/>
    </row>
    <row r="63" spans="1:8" ht="12.75" customHeight="1" x14ac:dyDescent="0.2">
      <c r="A63">
        <f>+MAX($A$7:A62)+1</f>
        <v>55</v>
      </c>
      <c r="B63" t="s">
        <v>301</v>
      </c>
      <c r="C63" t="s">
        <v>302</v>
      </c>
      <c r="D63" t="s">
        <v>19</v>
      </c>
      <c r="E63" s="28">
        <v>83700</v>
      </c>
      <c r="F63" s="13">
        <v>94.413600000000002</v>
      </c>
      <c r="G63" s="14">
        <f t="shared" si="2"/>
        <v>5.7999999999999996E-3</v>
      </c>
      <c r="H63" s="15"/>
    </row>
    <row r="64" spans="1:8" ht="12.75" customHeight="1" x14ac:dyDescent="0.2">
      <c r="A64">
        <f>+MAX($A$7:A63)+1</f>
        <v>56</v>
      </c>
      <c r="B64" t="s">
        <v>714</v>
      </c>
      <c r="C64" t="s">
        <v>715</v>
      </c>
      <c r="D64" t="s">
        <v>36</v>
      </c>
      <c r="E64" s="28">
        <v>9000</v>
      </c>
      <c r="F64" s="13">
        <v>90.738</v>
      </c>
      <c r="G64" s="14">
        <f t="shared" si="2"/>
        <v>5.5999999999999999E-3</v>
      </c>
      <c r="H64" s="15"/>
    </row>
    <row r="65" spans="1:11" ht="12.75" customHeight="1" x14ac:dyDescent="0.2">
      <c r="A65">
        <f>+MAX($A$7:A64)+1</f>
        <v>57</v>
      </c>
      <c r="B65" t="s">
        <v>350</v>
      </c>
      <c r="C65" t="s">
        <v>351</v>
      </c>
      <c r="D65" t="s">
        <v>41</v>
      </c>
      <c r="E65" s="28">
        <v>27000</v>
      </c>
      <c r="F65" s="13">
        <v>78.677999999999997</v>
      </c>
      <c r="G65" s="14">
        <f t="shared" si="2"/>
        <v>4.8999999999999998E-3</v>
      </c>
      <c r="H65" s="15"/>
    </row>
    <row r="66" spans="1:11" ht="12.75" customHeight="1" x14ac:dyDescent="0.2">
      <c r="A66">
        <f>+MAX($A$7:A65)+1</f>
        <v>58</v>
      </c>
      <c r="B66" t="s">
        <v>716</v>
      </c>
      <c r="C66" t="s">
        <v>717</v>
      </c>
      <c r="D66" t="s">
        <v>137</v>
      </c>
      <c r="E66" s="28">
        <v>3074</v>
      </c>
      <c r="F66" s="13">
        <v>45.627382000000004</v>
      </c>
      <c r="G66" s="14">
        <f t="shared" si="2"/>
        <v>2.8E-3</v>
      </c>
      <c r="H66" s="15"/>
    </row>
    <row r="67" spans="1:11" ht="12.75" customHeight="1" x14ac:dyDescent="0.2">
      <c r="A67">
        <f>+MAX($A$7:A66)+1</f>
        <v>59</v>
      </c>
      <c r="B67" t="s">
        <v>430</v>
      </c>
      <c r="C67" t="s">
        <v>431</v>
      </c>
      <c r="D67" t="s">
        <v>95</v>
      </c>
      <c r="E67" s="28">
        <v>9000</v>
      </c>
      <c r="F67" s="13">
        <v>18.814499999999999</v>
      </c>
      <c r="G67" s="14">
        <f t="shared" si="2"/>
        <v>1.1999999999999999E-3</v>
      </c>
      <c r="H67" s="15"/>
    </row>
    <row r="68" spans="1:11" ht="12.75" customHeight="1" x14ac:dyDescent="0.2">
      <c r="A68">
        <f>+MAX($A$7:A67)+1</f>
        <v>60</v>
      </c>
      <c r="B68" t="s">
        <v>387</v>
      </c>
      <c r="C68" s="120" t="s">
        <v>704</v>
      </c>
      <c r="D68" t="s">
        <v>36</v>
      </c>
      <c r="E68" s="28">
        <v>16500</v>
      </c>
      <c r="F68" s="13">
        <v>0</v>
      </c>
      <c r="G68" s="107" t="s">
        <v>443</v>
      </c>
      <c r="H68" s="15"/>
    </row>
    <row r="69" spans="1:11" ht="12.75" customHeight="1" x14ac:dyDescent="0.2">
      <c r="B69" s="18" t="s">
        <v>82</v>
      </c>
      <c r="C69" s="18"/>
      <c r="D69" s="18"/>
      <c r="E69" s="29"/>
      <c r="F69" s="19">
        <f>SUM(F9:F68)</f>
        <v>15371.843046999995</v>
      </c>
      <c r="G69" s="20">
        <f>SUM(G9:G68)</f>
        <v>0.9481000000000005</v>
      </c>
      <c r="H69" s="21"/>
      <c r="I69" s="49"/>
    </row>
    <row r="70" spans="1:11" ht="12.75" customHeight="1" x14ac:dyDescent="0.2">
      <c r="F70" s="13"/>
      <c r="G70" s="14"/>
      <c r="H70" s="15"/>
    </row>
    <row r="71" spans="1:11" ht="12.75" customHeight="1" x14ac:dyDescent="0.2">
      <c r="B71" s="16" t="s">
        <v>271</v>
      </c>
      <c r="C71" s="16"/>
      <c r="F71" s="13"/>
      <c r="G71" s="14"/>
      <c r="H71" s="15"/>
      <c r="J71" s="65"/>
    </row>
    <row r="72" spans="1:11" ht="12.75" customHeight="1" x14ac:dyDescent="0.2">
      <c r="A72">
        <f>+MAX($A$8:A71)+1</f>
        <v>61</v>
      </c>
      <c r="B72" s="65" t="s">
        <v>572</v>
      </c>
      <c r="C72" s="120" t="s">
        <v>704</v>
      </c>
      <c r="D72" t="s">
        <v>24</v>
      </c>
      <c r="E72" s="28">
        <v>50000</v>
      </c>
      <c r="F72" s="13">
        <v>0</v>
      </c>
      <c r="G72" s="107" t="s">
        <v>443</v>
      </c>
      <c r="H72" s="15"/>
    </row>
    <row r="73" spans="1:11" ht="12.75" customHeight="1" x14ac:dyDescent="0.2">
      <c r="A73">
        <f>+MAX($A$8:A72)+1</f>
        <v>62</v>
      </c>
      <c r="B73" s="65" t="s">
        <v>569</v>
      </c>
      <c r="C73" s="120" t="s">
        <v>704</v>
      </c>
      <c r="D73" t="s">
        <v>22</v>
      </c>
      <c r="E73" s="28">
        <v>20</v>
      </c>
      <c r="F73" s="13">
        <v>0</v>
      </c>
      <c r="G73" s="107" t="s">
        <v>443</v>
      </c>
      <c r="H73" s="15"/>
    </row>
    <row r="74" spans="1:11" ht="12.75" customHeight="1" x14ac:dyDescent="0.2">
      <c r="A74">
        <f>+MAX($A$8:A73)+1</f>
        <v>63</v>
      </c>
      <c r="B74" s="65" t="s">
        <v>570</v>
      </c>
      <c r="C74" t="s">
        <v>133</v>
      </c>
      <c r="D74" t="s">
        <v>32</v>
      </c>
      <c r="E74" s="28">
        <v>50000</v>
      </c>
      <c r="F74" s="13">
        <v>0</v>
      </c>
      <c r="G74" s="107" t="s">
        <v>443</v>
      </c>
      <c r="H74" s="15"/>
    </row>
    <row r="75" spans="1:11" ht="12.75" customHeight="1" x14ac:dyDescent="0.2">
      <c r="A75">
        <f>+MAX($A$8:A74)+1</f>
        <v>64</v>
      </c>
      <c r="B75" s="65" t="s">
        <v>568</v>
      </c>
      <c r="C75" s="120" t="s">
        <v>704</v>
      </c>
      <c r="D75" t="s">
        <v>30</v>
      </c>
      <c r="E75" s="28">
        <v>900</v>
      </c>
      <c r="F75" s="13">
        <v>0</v>
      </c>
      <c r="G75" s="107" t="s">
        <v>443</v>
      </c>
      <c r="H75" s="15"/>
    </row>
    <row r="76" spans="1:11" ht="12.75" customHeight="1" x14ac:dyDescent="0.2">
      <c r="A76">
        <f>+MAX($A$8:A75)+1</f>
        <v>65</v>
      </c>
      <c r="B76" s="65" t="s">
        <v>571</v>
      </c>
      <c r="C76" s="120" t="s">
        <v>704</v>
      </c>
      <c r="D76" t="s">
        <v>26</v>
      </c>
      <c r="E76" s="28">
        <v>200000</v>
      </c>
      <c r="F76" s="13">
        <v>0</v>
      </c>
      <c r="G76" s="107" t="s">
        <v>443</v>
      </c>
      <c r="H76" s="15"/>
    </row>
    <row r="77" spans="1:11" ht="12.75" customHeight="1" x14ac:dyDescent="0.2">
      <c r="B77" s="18" t="s">
        <v>82</v>
      </c>
      <c r="C77" s="18"/>
      <c r="D77" s="18"/>
      <c r="E77" s="29"/>
      <c r="F77" s="19">
        <f>SUM(F72:F76)</f>
        <v>0</v>
      </c>
      <c r="G77" s="51" t="s">
        <v>443</v>
      </c>
      <c r="H77" s="21"/>
      <c r="I77" s="49"/>
    </row>
    <row r="78" spans="1:11" ht="12.75" customHeight="1" x14ac:dyDescent="0.2">
      <c r="F78" s="13"/>
      <c r="G78" s="14"/>
      <c r="H78" s="15"/>
      <c r="J78" s="46"/>
      <c r="K78" s="48"/>
    </row>
    <row r="79" spans="1:11" ht="12.75" customHeight="1" x14ac:dyDescent="0.2">
      <c r="B79" s="16" t="s">
        <v>134</v>
      </c>
      <c r="C79" s="16"/>
      <c r="F79" s="13"/>
      <c r="G79" s="14"/>
      <c r="H79" s="15"/>
      <c r="I79" s="73"/>
    </row>
    <row r="80" spans="1:11" ht="12.75" customHeight="1" x14ac:dyDescent="0.2">
      <c r="A80">
        <f>+MAX($A$8:A79)+1</f>
        <v>66</v>
      </c>
      <c r="B80" t="s">
        <v>226</v>
      </c>
      <c r="C80" s="120" t="s">
        <v>704</v>
      </c>
      <c r="D80" t="s">
        <v>288</v>
      </c>
      <c r="E80" s="28">
        <v>28800</v>
      </c>
      <c r="F80" s="13">
        <v>196.416</v>
      </c>
      <c r="G80" s="14">
        <f>+ROUND(F80/VLOOKUP("Grand Total",$B$4:$F$296,5,0),4)</f>
        <v>1.21E-2</v>
      </c>
      <c r="H80" s="15">
        <v>43342</v>
      </c>
      <c r="I80" s="73"/>
    </row>
    <row r="81" spans="1:12" ht="12.75" customHeight="1" x14ac:dyDescent="0.2">
      <c r="B81" s="18" t="s">
        <v>82</v>
      </c>
      <c r="C81" s="18"/>
      <c r="D81" s="18"/>
      <c r="E81" s="29"/>
      <c r="F81" s="19">
        <f>SUM(F80)</f>
        <v>196.416</v>
      </c>
      <c r="G81" s="20">
        <f>SUM(G80)</f>
        <v>1.21E-2</v>
      </c>
      <c r="H81" s="21"/>
      <c r="I81" s="35"/>
    </row>
    <row r="82" spans="1:12" ht="12.75" customHeight="1" x14ac:dyDescent="0.2">
      <c r="F82" s="13"/>
      <c r="G82" s="14"/>
      <c r="H82" s="15"/>
      <c r="J82" s="46"/>
      <c r="K82" s="48"/>
    </row>
    <row r="83" spans="1:12" ht="12.75" customHeight="1" x14ac:dyDescent="0.2">
      <c r="B83" s="16" t="s">
        <v>89</v>
      </c>
      <c r="C83" s="16"/>
      <c r="F83" s="13"/>
      <c r="G83" s="14"/>
      <c r="H83" s="15"/>
      <c r="I83" s="73"/>
    </row>
    <row r="84" spans="1:12" ht="12.75" customHeight="1" x14ac:dyDescent="0.2">
      <c r="A84">
        <f>+MAX($A$8:A83)+1</f>
        <v>67</v>
      </c>
      <c r="B84" t="s">
        <v>380</v>
      </c>
      <c r="C84" t="s">
        <v>308</v>
      </c>
      <c r="D84" t="s">
        <v>285</v>
      </c>
      <c r="E84" s="28">
        <v>1317.8731</v>
      </c>
      <c r="F84" s="13">
        <v>22.759524800000001</v>
      </c>
      <c r="G84" s="14">
        <f>+ROUND(F84/VLOOKUP("Grand Total",$B$4:$F$296,5,0),4)</f>
        <v>1.4E-3</v>
      </c>
      <c r="H84" s="15" t="s">
        <v>322</v>
      </c>
      <c r="I84" s="73"/>
    </row>
    <row r="85" spans="1:12" ht="12.75" customHeight="1" x14ac:dyDescent="0.2">
      <c r="B85" s="18" t="s">
        <v>82</v>
      </c>
      <c r="C85" s="18"/>
      <c r="D85" s="18"/>
      <c r="E85" s="29"/>
      <c r="F85" s="19">
        <f>SUM(F84)</f>
        <v>22.759524800000001</v>
      </c>
      <c r="G85" s="20">
        <f>SUM(G84)</f>
        <v>1.4E-3</v>
      </c>
      <c r="H85" s="21"/>
      <c r="I85" s="35"/>
    </row>
    <row r="86" spans="1:12" s="46" customFormat="1" ht="12.75" customHeight="1" x14ac:dyDescent="0.2">
      <c r="B86" s="67"/>
      <c r="C86" s="67"/>
      <c r="D86" s="67"/>
      <c r="E86" s="68"/>
      <c r="F86" s="69"/>
      <c r="G86" s="70"/>
      <c r="H86" s="35"/>
      <c r="I86" s="35"/>
      <c r="K86" s="48"/>
      <c r="L86"/>
    </row>
    <row r="87" spans="1:12" ht="12.75" customHeight="1" x14ac:dyDescent="0.2">
      <c r="B87" s="16" t="s">
        <v>91</v>
      </c>
      <c r="C87" s="16"/>
      <c r="F87" s="13"/>
      <c r="G87" s="14"/>
      <c r="H87" s="15"/>
    </row>
    <row r="88" spans="1:12" ht="12.75" customHeight="1" x14ac:dyDescent="0.2">
      <c r="A88" s="94" t="s">
        <v>321</v>
      </c>
      <c r="B88" s="16" t="s">
        <v>658</v>
      </c>
      <c r="C88" s="16"/>
      <c r="F88" s="13">
        <v>447.57269000000002</v>
      </c>
      <c r="G88" s="14">
        <f>+ROUND(F88/VLOOKUP("Grand Total",$B$4:$F$305,5,0),4)</f>
        <v>2.76E-2</v>
      </c>
      <c r="H88" s="15">
        <v>43313</v>
      </c>
      <c r="L88" s="46"/>
    </row>
    <row r="89" spans="1:12" ht="12.75" customHeight="1" x14ac:dyDescent="0.2">
      <c r="B89" s="16" t="s">
        <v>92</v>
      </c>
      <c r="C89" s="16"/>
      <c r="F89" s="13">
        <v>177.03287650000857</v>
      </c>
      <c r="G89" s="14">
        <f>+ROUND(F89/VLOOKUP("Grand Total",$B$4:$F$305,5,0),4)-0.01%</f>
        <v>1.0800000000000001E-2</v>
      </c>
      <c r="H89" s="15"/>
    </row>
    <row r="90" spans="1:12" ht="12.75" customHeight="1" x14ac:dyDescent="0.2">
      <c r="B90" s="18" t="s">
        <v>82</v>
      </c>
      <c r="C90" s="18"/>
      <c r="D90" s="18"/>
      <c r="E90" s="29"/>
      <c r="F90" s="19">
        <f>SUM(F88:F89)</f>
        <v>624.60556650000854</v>
      </c>
      <c r="G90" s="20">
        <f>SUM(G88:G89)</f>
        <v>3.8400000000000004E-2</v>
      </c>
      <c r="H90" s="21"/>
      <c r="I90" s="49"/>
    </row>
    <row r="91" spans="1:12" ht="12.75" customHeight="1" x14ac:dyDescent="0.2">
      <c r="B91" s="22" t="s">
        <v>93</v>
      </c>
      <c r="C91" s="22"/>
      <c r="D91" s="22"/>
      <c r="E91" s="30"/>
      <c r="F91" s="23">
        <f>+SUMIF($B$5:B90,"Total",$F$5:F90)</f>
        <v>16215.624138300002</v>
      </c>
      <c r="G91" s="24">
        <f>+SUMIF($B$5:B90,"Total",$G$5:G90)</f>
        <v>1.0000000000000004</v>
      </c>
      <c r="H91" s="25"/>
      <c r="I91" s="49"/>
    </row>
    <row r="92" spans="1:12" ht="12.75" customHeight="1" x14ac:dyDescent="0.2">
      <c r="F92" s="13"/>
    </row>
    <row r="93" spans="1:12" ht="12.75" customHeight="1" x14ac:dyDescent="0.2">
      <c r="B93" s="16" t="s">
        <v>171</v>
      </c>
    </row>
    <row r="94" spans="1:12" ht="12.75" customHeight="1" x14ac:dyDescent="0.2">
      <c r="B94" s="16" t="s">
        <v>172</v>
      </c>
      <c r="C94" s="16"/>
    </row>
    <row r="95" spans="1:12" ht="12.75" customHeight="1" x14ac:dyDescent="0.2">
      <c r="B95" s="16" t="s">
        <v>173</v>
      </c>
      <c r="C95" s="16"/>
    </row>
    <row r="96" spans="1:12" ht="12.75" customHeight="1" x14ac:dyDescent="0.2">
      <c r="B96" s="16" t="s">
        <v>174</v>
      </c>
      <c r="C96" s="16"/>
    </row>
    <row r="97" spans="2:3" ht="12.75" customHeight="1" x14ac:dyDescent="0.2">
      <c r="B97" s="53"/>
      <c r="C97" s="16"/>
    </row>
    <row r="98" spans="2:3" ht="12.75" customHeight="1" x14ac:dyDescent="0.2">
      <c r="B98" s="16"/>
    </row>
    <row r="99" spans="2:3" ht="12.75" customHeight="1" x14ac:dyDescent="0.2"/>
    <row r="100" spans="2:3" ht="12.75" customHeight="1" x14ac:dyDescent="0.2"/>
    <row r="101" spans="2:3" ht="12.75" customHeight="1" x14ac:dyDescent="0.2"/>
    <row r="102" spans="2:3" ht="12.75" customHeight="1" x14ac:dyDescent="0.2"/>
    <row r="103" spans="2:3" ht="12.75" customHeight="1" x14ac:dyDescent="0.2"/>
    <row r="104" spans="2:3" ht="12.75" customHeight="1" x14ac:dyDescent="0.2"/>
    <row r="105" spans="2:3" ht="12.75" customHeight="1" x14ac:dyDescent="0.2"/>
    <row r="106" spans="2:3" ht="12.75" customHeight="1" x14ac:dyDescent="0.2"/>
    <row r="107" spans="2:3" ht="12.75" customHeight="1" x14ac:dyDescent="0.2"/>
    <row r="108" spans="2:3" ht="12.75" customHeight="1" x14ac:dyDescent="0.2"/>
    <row r="109" spans="2:3" ht="12.75" customHeight="1" x14ac:dyDescent="0.2"/>
    <row r="110" spans="2:3" ht="12.75" customHeight="1" x14ac:dyDescent="0.2"/>
    <row r="111" spans="2:3" ht="12.75" customHeight="1" x14ac:dyDescent="0.2"/>
    <row r="112" spans="2:3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sortState ref="J9:K31">
    <sortCondition descending="1" ref="K10:K32"/>
  </sortState>
  <mergeCells count="1">
    <mergeCell ref="B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50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7" customWidth="1"/>
    <col min="4" max="4" width="42.570312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bestFit="1" customWidth="1"/>
    <col min="12" max="12" width="10.28515625" bestFit="1" customWidth="1"/>
  </cols>
  <sheetData>
    <row r="1" spans="1:16" ht="18.75" x14ac:dyDescent="0.2">
      <c r="A1" s="93" t="s">
        <v>326</v>
      </c>
      <c r="B1" s="129" t="s">
        <v>135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356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+MAX($A$8:A8)+1</f>
        <v>1</v>
      </c>
      <c r="B9" t="s">
        <v>187</v>
      </c>
      <c r="C9" t="s">
        <v>46</v>
      </c>
      <c r="D9" t="s">
        <v>24</v>
      </c>
      <c r="E9" s="28">
        <v>78900</v>
      </c>
      <c r="F9" s="13">
        <v>5161.7957999999999</v>
      </c>
      <c r="G9" s="14">
        <f t="shared" ref="G9:G40" si="0">+ROUND(F9/VLOOKUP("Grand Total",$B$4:$F$297,5,0),4)</f>
        <v>2.69E-2</v>
      </c>
      <c r="H9" s="15"/>
      <c r="J9" s="14" t="s">
        <v>9</v>
      </c>
      <c r="K9" s="48">
        <f t="shared" ref="K9:K21" si="1">SUMIFS($G$5:$G$329,$D$5:$D$329,J9)</f>
        <v>0.12559999999999999</v>
      </c>
    </row>
    <row r="10" spans="1:16" s="65" customFormat="1" ht="12.75" customHeight="1" x14ac:dyDescent="0.2">
      <c r="A10">
        <f>+MAX($A$8:A9)+1</f>
        <v>2</v>
      </c>
      <c r="B10" s="65" t="s">
        <v>245</v>
      </c>
      <c r="C10" s="65" t="s">
        <v>136</v>
      </c>
      <c r="D10" s="65" t="s">
        <v>19</v>
      </c>
      <c r="E10" s="84">
        <v>16989</v>
      </c>
      <c r="F10" s="85">
        <v>4722.6956595000001</v>
      </c>
      <c r="G10" s="14">
        <f t="shared" si="0"/>
        <v>2.46E-2</v>
      </c>
      <c r="H10" s="90"/>
      <c r="I10" s="73"/>
      <c r="J10" s="14" t="s">
        <v>22</v>
      </c>
      <c r="K10" s="48">
        <f t="shared" si="1"/>
        <v>8.0199999999999994E-2</v>
      </c>
    </row>
    <row r="11" spans="1:16" ht="12.75" customHeight="1" x14ac:dyDescent="0.2">
      <c r="A11">
        <f>+MAX($A$8:A10)+1</f>
        <v>3</v>
      </c>
      <c r="B11" t="s">
        <v>247</v>
      </c>
      <c r="C11" t="s">
        <v>316</v>
      </c>
      <c r="D11" t="s">
        <v>22</v>
      </c>
      <c r="E11" s="28">
        <v>144900</v>
      </c>
      <c r="F11" s="13">
        <v>3909.2570999999998</v>
      </c>
      <c r="G11" s="14">
        <f t="shared" si="0"/>
        <v>2.0400000000000001E-2</v>
      </c>
      <c r="H11" s="15"/>
      <c r="J11" s="14" t="s">
        <v>24</v>
      </c>
      <c r="K11" s="48">
        <f t="shared" si="1"/>
        <v>7.7300000000000008E-2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255</v>
      </c>
      <c r="C12" t="s">
        <v>148</v>
      </c>
      <c r="D12" t="s">
        <v>39</v>
      </c>
      <c r="E12" s="28">
        <v>234000</v>
      </c>
      <c r="F12" s="13">
        <v>3861</v>
      </c>
      <c r="G12" s="14">
        <f t="shared" si="0"/>
        <v>2.01E-2</v>
      </c>
      <c r="H12" s="15"/>
      <c r="J12" s="14" t="s">
        <v>13</v>
      </c>
      <c r="K12" s="48">
        <f t="shared" si="1"/>
        <v>6.9199999999999998E-2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176</v>
      </c>
      <c r="C13" t="s">
        <v>12</v>
      </c>
      <c r="D13" t="s">
        <v>9</v>
      </c>
      <c r="E13" s="28">
        <v>168900</v>
      </c>
      <c r="F13" s="13">
        <v>3681.1754999999998</v>
      </c>
      <c r="G13" s="14">
        <f t="shared" si="0"/>
        <v>1.9199999999999998E-2</v>
      </c>
      <c r="H13" s="15"/>
      <c r="J13" s="14" t="s">
        <v>39</v>
      </c>
      <c r="K13" s="48">
        <f t="shared" si="1"/>
        <v>6.6400000000000001E-2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266</v>
      </c>
      <c r="C14" t="s">
        <v>163</v>
      </c>
      <c r="D14" t="s">
        <v>36</v>
      </c>
      <c r="E14" s="28">
        <v>1233000</v>
      </c>
      <c r="F14" s="13">
        <v>3449.3175000000001</v>
      </c>
      <c r="G14" s="14">
        <f t="shared" si="0"/>
        <v>1.7999999999999999E-2</v>
      </c>
      <c r="H14" s="15"/>
      <c r="J14" s="14" t="s">
        <v>36</v>
      </c>
      <c r="K14" s="48">
        <f t="shared" si="1"/>
        <v>5.6600000000000004E-2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179</v>
      </c>
      <c r="C15" t="s">
        <v>10</v>
      </c>
      <c r="D15" t="s">
        <v>9</v>
      </c>
      <c r="E15" s="28">
        <v>1090800</v>
      </c>
      <c r="F15" s="13">
        <v>3318.759</v>
      </c>
      <c r="G15" s="14">
        <f t="shared" si="0"/>
        <v>1.7299999999999999E-2</v>
      </c>
      <c r="H15" s="15"/>
      <c r="J15" s="14" t="s">
        <v>127</v>
      </c>
      <c r="K15" s="48">
        <f t="shared" si="1"/>
        <v>5.2600000000000001E-2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200</v>
      </c>
      <c r="C16" t="s">
        <v>18</v>
      </c>
      <c r="D16" t="s">
        <v>13</v>
      </c>
      <c r="E16" s="28">
        <v>166800</v>
      </c>
      <c r="F16" s="13">
        <v>3236.2536</v>
      </c>
      <c r="G16" s="14">
        <f t="shared" si="0"/>
        <v>1.6899999999999998E-2</v>
      </c>
      <c r="H16" s="15"/>
      <c r="J16" s="14" t="s">
        <v>21</v>
      </c>
      <c r="K16" s="48">
        <f t="shared" si="1"/>
        <v>4.4200000000000003E-2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218</v>
      </c>
      <c r="C17" t="s">
        <v>99</v>
      </c>
      <c r="D17" t="s">
        <v>9</v>
      </c>
      <c r="E17" s="28">
        <v>159900</v>
      </c>
      <c r="F17" s="13">
        <v>3190.24485</v>
      </c>
      <c r="G17" s="14">
        <f t="shared" si="0"/>
        <v>1.66E-2</v>
      </c>
      <c r="H17" s="15"/>
      <c r="J17" s="14" t="s">
        <v>137</v>
      </c>
      <c r="K17" s="48">
        <f t="shared" si="1"/>
        <v>4.1399999999999999E-2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178</v>
      </c>
      <c r="C18" t="s">
        <v>29</v>
      </c>
      <c r="D18" t="s">
        <v>28</v>
      </c>
      <c r="E18" s="28">
        <v>255000</v>
      </c>
      <c r="F18" s="13">
        <v>3024.3</v>
      </c>
      <c r="G18" s="14">
        <f t="shared" si="0"/>
        <v>1.5800000000000002E-2</v>
      </c>
      <c r="H18" s="15"/>
      <c r="J18" s="14" t="s">
        <v>19</v>
      </c>
      <c r="K18" s="48">
        <f t="shared" si="1"/>
        <v>3.6199999999999996E-2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177</v>
      </c>
      <c r="C19" t="s">
        <v>14</v>
      </c>
      <c r="D19" t="s">
        <v>13</v>
      </c>
      <c r="E19" s="28">
        <v>219108</v>
      </c>
      <c r="F19" s="13">
        <v>2991.0433080000003</v>
      </c>
      <c r="G19" s="14">
        <f t="shared" si="0"/>
        <v>1.5599999999999999E-2</v>
      </c>
      <c r="H19" s="15"/>
      <c r="J19" s="14" t="s">
        <v>17</v>
      </c>
      <c r="K19" s="48">
        <f t="shared" si="1"/>
        <v>3.6000000000000004E-2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248</v>
      </c>
      <c r="C20" t="s">
        <v>139</v>
      </c>
      <c r="D20" t="s">
        <v>36</v>
      </c>
      <c r="E20" s="28">
        <v>3678</v>
      </c>
      <c r="F20" s="13">
        <v>2923.6550729999999</v>
      </c>
      <c r="G20" s="14">
        <f t="shared" si="0"/>
        <v>1.52E-2</v>
      </c>
      <c r="H20" s="15"/>
      <c r="J20" s="14" t="s">
        <v>45</v>
      </c>
      <c r="K20" s="48">
        <f t="shared" si="1"/>
        <v>3.4599999999999999E-2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196</v>
      </c>
      <c r="C21" t="s">
        <v>94</v>
      </c>
      <c r="D21" t="s">
        <v>9</v>
      </c>
      <c r="E21" s="28">
        <v>219900</v>
      </c>
      <c r="F21" s="13">
        <v>2873.7631500000002</v>
      </c>
      <c r="G21" s="14">
        <f t="shared" si="0"/>
        <v>1.4999999999999999E-2</v>
      </c>
      <c r="H21" s="15"/>
      <c r="J21" s="14" t="s">
        <v>28</v>
      </c>
      <c r="K21" s="48">
        <f t="shared" si="1"/>
        <v>2.3800000000000002E-2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246</v>
      </c>
      <c r="C22" t="s">
        <v>138</v>
      </c>
      <c r="D22" t="s">
        <v>21</v>
      </c>
      <c r="E22" s="28">
        <v>185700</v>
      </c>
      <c r="F22" s="13">
        <v>2838.6102000000001</v>
      </c>
      <c r="G22" s="14">
        <f t="shared" si="0"/>
        <v>1.4800000000000001E-2</v>
      </c>
      <c r="H22" s="15"/>
      <c r="J22" s="14" t="s">
        <v>26</v>
      </c>
      <c r="K22" s="48">
        <f t="shared" ref="K22:K40" si="2">SUMIFS($G$5:$G$329,$D$5:$D$329,J22)</f>
        <v>2.2600000000000002E-2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239</v>
      </c>
      <c r="C23" t="s">
        <v>128</v>
      </c>
      <c r="D23" t="s">
        <v>17</v>
      </c>
      <c r="E23" s="28">
        <v>105108</v>
      </c>
      <c r="F23" s="13">
        <v>2780.7372479999999</v>
      </c>
      <c r="G23" s="14">
        <f t="shared" si="0"/>
        <v>1.4500000000000001E-2</v>
      </c>
      <c r="H23" s="15"/>
      <c r="J23" s="14" t="s">
        <v>35</v>
      </c>
      <c r="K23" s="48">
        <f t="shared" si="2"/>
        <v>2.1700000000000001E-2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428</v>
      </c>
      <c r="C24" t="s">
        <v>429</v>
      </c>
      <c r="D24" t="s">
        <v>22</v>
      </c>
      <c r="E24" s="28">
        <v>38640</v>
      </c>
      <c r="F24" s="13">
        <v>2696.0287199999998</v>
      </c>
      <c r="G24" s="14">
        <f t="shared" si="0"/>
        <v>1.4E-2</v>
      </c>
      <c r="H24" s="15"/>
      <c r="J24" s="14" t="s">
        <v>102</v>
      </c>
      <c r="K24" s="48">
        <f t="shared" si="2"/>
        <v>1.9999999999999997E-2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500</v>
      </c>
      <c r="C25" t="s">
        <v>121</v>
      </c>
      <c r="D25" t="s">
        <v>17</v>
      </c>
      <c r="E25" s="28">
        <v>15708</v>
      </c>
      <c r="F25" s="13">
        <v>2673.2031480000001</v>
      </c>
      <c r="G25" s="14">
        <f t="shared" si="0"/>
        <v>1.3899999999999999E-2</v>
      </c>
      <c r="H25" s="15"/>
      <c r="J25" s="14" t="s">
        <v>30</v>
      </c>
      <c r="K25" s="48">
        <f t="shared" si="2"/>
        <v>1.7600000000000001E-2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244</v>
      </c>
      <c r="C26" t="s">
        <v>79</v>
      </c>
      <c r="D26" t="s">
        <v>13</v>
      </c>
      <c r="E26" s="28">
        <v>375900</v>
      </c>
      <c r="F26" s="13">
        <v>2647.6516499999998</v>
      </c>
      <c r="G26" s="14">
        <f t="shared" si="0"/>
        <v>1.38E-2</v>
      </c>
      <c r="H26" s="15"/>
      <c r="J26" s="14" t="s">
        <v>101</v>
      </c>
      <c r="K26" s="48">
        <f t="shared" si="2"/>
        <v>1.7500000000000002E-2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420</v>
      </c>
      <c r="C27" t="s">
        <v>421</v>
      </c>
      <c r="D27" t="s">
        <v>22</v>
      </c>
      <c r="E27" s="28">
        <v>510900</v>
      </c>
      <c r="F27" s="13">
        <v>2625.25965</v>
      </c>
      <c r="G27" s="14">
        <f t="shared" si="0"/>
        <v>1.37E-2</v>
      </c>
      <c r="H27" s="15"/>
      <c r="J27" s="14" t="s">
        <v>41</v>
      </c>
      <c r="K27" s="48">
        <f t="shared" si="2"/>
        <v>1.6800000000000002E-2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211</v>
      </c>
      <c r="C28" t="s">
        <v>472</v>
      </c>
      <c r="D28" t="s">
        <v>45</v>
      </c>
      <c r="E28" s="28">
        <v>861900</v>
      </c>
      <c r="F28" s="13">
        <v>2619.74505</v>
      </c>
      <c r="G28" s="14">
        <f t="shared" si="0"/>
        <v>1.3599999999999999E-2</v>
      </c>
      <c r="H28" s="15"/>
      <c r="J28" s="14" t="s">
        <v>98</v>
      </c>
      <c r="K28" s="48">
        <f t="shared" si="2"/>
        <v>1.66E-2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412</v>
      </c>
      <c r="C29" t="s">
        <v>413</v>
      </c>
      <c r="D29" t="s">
        <v>13</v>
      </c>
      <c r="E29" s="28">
        <v>174000</v>
      </c>
      <c r="F29" s="13">
        <v>2552.145</v>
      </c>
      <c r="G29" s="14">
        <f t="shared" si="0"/>
        <v>1.3299999999999999E-2</v>
      </c>
      <c r="H29" s="15"/>
      <c r="J29" s="14" t="s">
        <v>285</v>
      </c>
      <c r="K29" s="48">
        <f t="shared" si="2"/>
        <v>1.41E-2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15</v>
      </c>
      <c r="C30" t="s">
        <v>16</v>
      </c>
      <c r="D30" t="s">
        <v>9</v>
      </c>
      <c r="E30" s="28">
        <v>850800</v>
      </c>
      <c r="F30" s="13">
        <v>2497.098</v>
      </c>
      <c r="G30" s="14">
        <f t="shared" si="0"/>
        <v>1.2999999999999999E-2</v>
      </c>
      <c r="H30" s="15"/>
      <c r="J30" s="14" t="s">
        <v>437</v>
      </c>
      <c r="K30" s="48">
        <f t="shared" si="2"/>
        <v>1.2200000000000001E-2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207</v>
      </c>
      <c r="C31" t="s">
        <v>68</v>
      </c>
      <c r="D31" t="s">
        <v>9</v>
      </c>
      <c r="E31" s="28">
        <v>2790000</v>
      </c>
      <c r="F31" s="13">
        <v>2483.1</v>
      </c>
      <c r="G31" s="14">
        <f t="shared" si="0"/>
        <v>1.29E-2</v>
      </c>
      <c r="H31" s="15"/>
      <c r="J31" s="14" t="s">
        <v>303</v>
      </c>
      <c r="K31" s="48">
        <f t="shared" si="2"/>
        <v>1.18E-2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257</v>
      </c>
      <c r="C32" t="s">
        <v>162</v>
      </c>
      <c r="D32" t="s">
        <v>45</v>
      </c>
      <c r="E32" s="28">
        <v>1080000</v>
      </c>
      <c r="F32" s="13">
        <v>2474.8200000000002</v>
      </c>
      <c r="G32" s="14">
        <f t="shared" si="0"/>
        <v>1.29E-2</v>
      </c>
      <c r="H32" s="15"/>
      <c r="J32" s="14" t="s">
        <v>34</v>
      </c>
      <c r="K32" s="48">
        <f t="shared" si="2"/>
        <v>1.01E-2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250</v>
      </c>
      <c r="C33" t="s">
        <v>143</v>
      </c>
      <c r="D33" t="s">
        <v>26</v>
      </c>
      <c r="E33" s="28">
        <v>433800</v>
      </c>
      <c r="F33" s="13">
        <v>2463.7671</v>
      </c>
      <c r="G33" s="14">
        <f t="shared" si="0"/>
        <v>1.2800000000000001E-2</v>
      </c>
      <c r="H33" s="15"/>
      <c r="J33" s="14" t="s">
        <v>288</v>
      </c>
      <c r="K33" s="48">
        <f t="shared" si="2"/>
        <v>9.7999999999999997E-3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279</v>
      </c>
      <c r="C34" t="s">
        <v>416</v>
      </c>
      <c r="D34" t="s">
        <v>127</v>
      </c>
      <c r="E34" s="28">
        <v>357900</v>
      </c>
      <c r="F34" s="13">
        <v>2398.6457999999998</v>
      </c>
      <c r="G34" s="14">
        <f t="shared" si="0"/>
        <v>1.2500000000000001E-2</v>
      </c>
      <c r="H34" s="15"/>
      <c r="J34" s="14" t="s">
        <v>407</v>
      </c>
      <c r="K34" s="48">
        <f t="shared" si="2"/>
        <v>9.5999999999999992E-3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438</v>
      </c>
      <c r="C35" t="s">
        <v>665</v>
      </c>
      <c r="D35" t="s">
        <v>35</v>
      </c>
      <c r="E35" s="28">
        <v>357216</v>
      </c>
      <c r="F35" s="13">
        <v>2390.8466880000001</v>
      </c>
      <c r="G35" s="14">
        <f t="shared" si="0"/>
        <v>1.2500000000000001E-2</v>
      </c>
      <c r="H35" s="15"/>
      <c r="J35" s="14" t="s">
        <v>634</v>
      </c>
      <c r="K35" s="48">
        <f t="shared" si="2"/>
        <v>9.1999999999999998E-3</v>
      </c>
      <c r="L35" s="54"/>
      <c r="M35" s="14"/>
      <c r="N35" s="36"/>
      <c r="P35" s="14"/>
    </row>
    <row r="36" spans="1:16" ht="12.75" customHeight="1" x14ac:dyDescent="0.2">
      <c r="A36">
        <f>+MAX($A$8:A35)+1</f>
        <v>28</v>
      </c>
      <c r="B36" t="s">
        <v>452</v>
      </c>
      <c r="C36" t="s">
        <v>453</v>
      </c>
      <c r="D36" t="s">
        <v>39</v>
      </c>
      <c r="E36" s="28">
        <v>234000</v>
      </c>
      <c r="F36" s="13">
        <v>2372.5259999999998</v>
      </c>
      <c r="G36" s="14">
        <f t="shared" si="0"/>
        <v>1.24E-2</v>
      </c>
      <c r="H36" s="15"/>
      <c r="J36" s="14" t="s">
        <v>141</v>
      </c>
      <c r="K36" s="48">
        <f t="shared" si="2"/>
        <v>8.8000000000000005E-3</v>
      </c>
      <c r="L36" s="54">
        <f>+SUM($K$9:K33)</f>
        <v>0.93490000000000006</v>
      </c>
      <c r="M36" s="14"/>
      <c r="N36" s="36"/>
      <c r="P36" s="14"/>
    </row>
    <row r="37" spans="1:16" ht="12.75" customHeight="1" x14ac:dyDescent="0.2">
      <c r="A37">
        <f>+MAX($A$8:A36)+1</f>
        <v>29</v>
      </c>
      <c r="B37" t="s">
        <v>305</v>
      </c>
      <c r="C37" t="s">
        <v>147</v>
      </c>
      <c r="D37" t="s">
        <v>22</v>
      </c>
      <c r="E37" s="28">
        <v>194670</v>
      </c>
      <c r="F37" s="13">
        <v>2364.3644850000001</v>
      </c>
      <c r="G37" s="14">
        <f t="shared" si="0"/>
        <v>1.23E-2</v>
      </c>
      <c r="H37" s="15"/>
      <c r="J37" s="14" t="s">
        <v>126</v>
      </c>
      <c r="K37" s="48">
        <f t="shared" si="2"/>
        <v>8.6E-3</v>
      </c>
      <c r="M37" s="14"/>
      <c r="N37" s="36"/>
      <c r="P37" s="14"/>
    </row>
    <row r="38" spans="1:16" ht="12.75" customHeight="1" x14ac:dyDescent="0.2">
      <c r="A38">
        <f>+MAX($A$8:A37)+1</f>
        <v>30</v>
      </c>
      <c r="B38" t="s">
        <v>630</v>
      </c>
      <c r="C38" t="s">
        <v>631</v>
      </c>
      <c r="D38" t="s">
        <v>24</v>
      </c>
      <c r="E38" s="28">
        <v>166560</v>
      </c>
      <c r="F38" s="13">
        <v>2340.00144</v>
      </c>
      <c r="G38" s="14">
        <f t="shared" si="0"/>
        <v>1.2200000000000001E-2</v>
      </c>
      <c r="H38" s="15"/>
      <c r="J38" s="14" t="s">
        <v>43</v>
      </c>
      <c r="K38" s="48">
        <f t="shared" si="2"/>
        <v>8.0000000000000002E-3</v>
      </c>
      <c r="M38" s="14"/>
      <c r="N38" s="36"/>
      <c r="P38" s="14"/>
    </row>
    <row r="39" spans="1:16" ht="12.75" customHeight="1" x14ac:dyDescent="0.2">
      <c r="A39">
        <f>+MAX($A$8:A38)+1</f>
        <v>31</v>
      </c>
      <c r="B39" t="s">
        <v>435</v>
      </c>
      <c r="C39" t="s">
        <v>436</v>
      </c>
      <c r="D39" t="s">
        <v>437</v>
      </c>
      <c r="E39" s="28">
        <v>219900</v>
      </c>
      <c r="F39" s="13">
        <v>2338.6365000000001</v>
      </c>
      <c r="G39" s="14">
        <f t="shared" si="0"/>
        <v>1.2200000000000001E-2</v>
      </c>
      <c r="H39" s="15"/>
      <c r="J39" t="s">
        <v>585</v>
      </c>
      <c r="K39" s="48">
        <f t="shared" si="2"/>
        <v>7.4999999999999997E-3</v>
      </c>
    </row>
    <row r="40" spans="1:16" ht="12.75" customHeight="1" x14ac:dyDescent="0.2">
      <c r="A40">
        <f>+MAX($A$8:A39)+1</f>
        <v>32</v>
      </c>
      <c r="B40" t="s">
        <v>518</v>
      </c>
      <c r="C40" t="s">
        <v>519</v>
      </c>
      <c r="D40" t="s">
        <v>9</v>
      </c>
      <c r="E40" s="28">
        <v>324108</v>
      </c>
      <c r="F40" s="13">
        <v>2273.1314580000003</v>
      </c>
      <c r="G40" s="14">
        <f t="shared" si="0"/>
        <v>1.18E-2</v>
      </c>
      <c r="H40" s="15"/>
      <c r="J40" s="14" t="s">
        <v>402</v>
      </c>
      <c r="K40" s="48">
        <f t="shared" si="2"/>
        <v>6.0000000000000001E-3</v>
      </c>
    </row>
    <row r="41" spans="1:16" ht="12.75" customHeight="1" x14ac:dyDescent="0.2">
      <c r="A41">
        <f>+MAX($A$8:A40)+1</f>
        <v>33</v>
      </c>
      <c r="B41" t="s">
        <v>512</v>
      </c>
      <c r="C41" t="s">
        <v>513</v>
      </c>
      <c r="D41" t="s">
        <v>303</v>
      </c>
      <c r="E41" s="28">
        <v>654480</v>
      </c>
      <c r="F41" s="13">
        <v>2255.9925600000001</v>
      </c>
      <c r="G41" s="14">
        <f t="shared" ref="G41:G72" si="3">+ROUND(F41/VLOOKUP("Grand Total",$B$4:$F$297,5,0),4)</f>
        <v>1.18E-2</v>
      </c>
      <c r="H41" s="15"/>
      <c r="J41" s="14" t="s">
        <v>419</v>
      </c>
      <c r="K41" s="48">
        <f>SUMIFS($G$5:$G$329,$D$5:$D$329,J41)</f>
        <v>2.2000000000000001E-3</v>
      </c>
    </row>
    <row r="42" spans="1:16" ht="12.75" customHeight="1" x14ac:dyDescent="0.2">
      <c r="A42">
        <f>+MAX($A$8:A41)+1</f>
        <v>34</v>
      </c>
      <c r="B42" t="s">
        <v>253</v>
      </c>
      <c r="C42" t="s">
        <v>146</v>
      </c>
      <c r="D42" t="s">
        <v>137</v>
      </c>
      <c r="E42" s="28">
        <v>246900</v>
      </c>
      <c r="F42" s="13">
        <v>2244.0740999999998</v>
      </c>
      <c r="G42" s="14">
        <f t="shared" si="3"/>
        <v>1.17E-2</v>
      </c>
      <c r="H42" s="15"/>
      <c r="J42" s="14" t="s">
        <v>62</v>
      </c>
      <c r="K42" s="48">
        <f>+SUMIFS($G$5:$G$998,$B$5:$B$998,"CBLO / Reverse Repo")+SUMIFS($G$5:$G$998,$B$5:$B$998,"Net Receivable/Payable")</f>
        <v>5.1999999999999998E-3</v>
      </c>
    </row>
    <row r="43" spans="1:16" ht="12.75" customHeight="1" x14ac:dyDescent="0.2">
      <c r="A43">
        <f>+MAX($A$8:A42)+1</f>
        <v>35</v>
      </c>
      <c r="B43" t="s">
        <v>671</v>
      </c>
      <c r="C43" t="s">
        <v>672</v>
      </c>
      <c r="D43" t="s">
        <v>102</v>
      </c>
      <c r="E43" s="28">
        <v>1080000</v>
      </c>
      <c r="F43" s="13">
        <v>2218.86</v>
      </c>
      <c r="G43" s="14">
        <f t="shared" si="3"/>
        <v>1.1599999999999999E-2</v>
      </c>
      <c r="H43" s="15"/>
    </row>
    <row r="44" spans="1:16" ht="12.75" customHeight="1" x14ac:dyDescent="0.2">
      <c r="A44">
        <f>+MAX($A$8:A43)+1</f>
        <v>36</v>
      </c>
      <c r="B44" t="s">
        <v>217</v>
      </c>
      <c r="C44" t="s">
        <v>96</v>
      </c>
      <c r="D44" t="s">
        <v>19</v>
      </c>
      <c r="E44" s="28">
        <v>237000</v>
      </c>
      <c r="F44" s="13">
        <v>2218.2015000000001</v>
      </c>
      <c r="G44" s="14">
        <f t="shared" si="3"/>
        <v>1.1599999999999999E-2</v>
      </c>
      <c r="H44" s="15"/>
    </row>
    <row r="45" spans="1:16" ht="12.75" customHeight="1" x14ac:dyDescent="0.2">
      <c r="A45">
        <f>+MAX($A$8:A44)+1</f>
        <v>37</v>
      </c>
      <c r="B45" t="s">
        <v>185</v>
      </c>
      <c r="C45" t="s">
        <v>44</v>
      </c>
      <c r="D45" t="s">
        <v>24</v>
      </c>
      <c r="E45" s="28">
        <v>729000</v>
      </c>
      <c r="F45" s="13">
        <v>2170.2330000000002</v>
      </c>
      <c r="G45" s="14">
        <f t="shared" si="3"/>
        <v>1.1299999999999999E-2</v>
      </c>
      <c r="H45" s="15"/>
    </row>
    <row r="46" spans="1:16" ht="12.75" customHeight="1" x14ac:dyDescent="0.2">
      <c r="A46">
        <f>+MAX($A$8:A45)+1</f>
        <v>38</v>
      </c>
      <c r="B46" t="s">
        <v>228</v>
      </c>
      <c r="C46" t="s">
        <v>444</v>
      </c>
      <c r="D46" t="s">
        <v>9</v>
      </c>
      <c r="E46" s="28">
        <v>580500</v>
      </c>
      <c r="F46" s="13">
        <v>2135.9497500000002</v>
      </c>
      <c r="G46" s="14">
        <f t="shared" si="3"/>
        <v>1.11E-2</v>
      </c>
      <c r="H46" s="15"/>
    </row>
    <row r="47" spans="1:16" ht="12.75" customHeight="1" x14ac:dyDescent="0.2">
      <c r="A47">
        <f>+MAX($A$8:A46)+1</f>
        <v>39</v>
      </c>
      <c r="B47" t="s">
        <v>186</v>
      </c>
      <c r="C47" t="s">
        <v>42</v>
      </c>
      <c r="D47" t="s">
        <v>22</v>
      </c>
      <c r="E47" s="28">
        <v>345600</v>
      </c>
      <c r="F47" s="13">
        <v>2075.328</v>
      </c>
      <c r="G47" s="14">
        <f t="shared" si="3"/>
        <v>1.0800000000000001E-2</v>
      </c>
      <c r="H47" s="15"/>
    </row>
    <row r="48" spans="1:16" ht="12.75" customHeight="1" x14ac:dyDescent="0.2">
      <c r="A48">
        <f>+MAX($A$8:A47)+1</f>
        <v>40</v>
      </c>
      <c r="B48" t="s">
        <v>243</v>
      </c>
      <c r="C48" t="s">
        <v>132</v>
      </c>
      <c r="D48" t="s">
        <v>127</v>
      </c>
      <c r="E48" s="28">
        <v>300000</v>
      </c>
      <c r="F48" s="13">
        <v>2066.6999999999998</v>
      </c>
      <c r="G48" s="14">
        <f t="shared" si="3"/>
        <v>1.0800000000000001E-2</v>
      </c>
      <c r="H48" s="15"/>
    </row>
    <row r="49" spans="1:8" ht="12.75" customHeight="1" x14ac:dyDescent="0.2">
      <c r="A49">
        <f>+MAX($A$8:A48)+1</f>
        <v>41</v>
      </c>
      <c r="B49" t="s">
        <v>197</v>
      </c>
      <c r="C49" t="s">
        <v>57</v>
      </c>
      <c r="D49" t="s">
        <v>21</v>
      </c>
      <c r="E49" s="28">
        <v>258900</v>
      </c>
      <c r="F49" s="13">
        <v>2023.1740500000001</v>
      </c>
      <c r="G49" s="14">
        <f t="shared" si="3"/>
        <v>1.0500000000000001E-2</v>
      </c>
      <c r="H49" s="15"/>
    </row>
    <row r="50" spans="1:8" ht="12.75" customHeight="1" x14ac:dyDescent="0.2">
      <c r="A50">
        <f>+MAX($A$8:A49)+1</f>
        <v>42</v>
      </c>
      <c r="B50" t="s">
        <v>417</v>
      </c>
      <c r="C50" t="s">
        <v>418</v>
      </c>
      <c r="D50" t="s">
        <v>36</v>
      </c>
      <c r="E50" s="28">
        <v>690000</v>
      </c>
      <c r="F50" s="13">
        <v>2020.32</v>
      </c>
      <c r="G50" s="14">
        <f t="shared" si="3"/>
        <v>1.0500000000000001E-2</v>
      </c>
      <c r="H50" s="15"/>
    </row>
    <row r="51" spans="1:8" ht="12.75" customHeight="1" x14ac:dyDescent="0.2">
      <c r="A51">
        <f>+MAX($A$8:A50)+1</f>
        <v>43</v>
      </c>
      <c r="B51" t="s">
        <v>282</v>
      </c>
      <c r="C51" t="s">
        <v>283</v>
      </c>
      <c r="D51" t="s">
        <v>137</v>
      </c>
      <c r="E51" s="28">
        <v>324000</v>
      </c>
      <c r="F51" s="13">
        <v>1984.338</v>
      </c>
      <c r="G51" s="14">
        <f t="shared" si="3"/>
        <v>1.03E-2</v>
      </c>
      <c r="H51" s="15"/>
    </row>
    <row r="52" spans="1:8" ht="12.75" customHeight="1" x14ac:dyDescent="0.2">
      <c r="A52">
        <f>+MAX($A$8:A51)+1</f>
        <v>44</v>
      </c>
      <c r="B52" t="s">
        <v>260</v>
      </c>
      <c r="C52" t="s">
        <v>142</v>
      </c>
      <c r="D52" t="s">
        <v>39</v>
      </c>
      <c r="E52" s="28">
        <v>318900</v>
      </c>
      <c r="F52" s="13">
        <v>1975.5854999999999</v>
      </c>
      <c r="G52" s="14">
        <f t="shared" si="3"/>
        <v>1.03E-2</v>
      </c>
      <c r="H52" s="15"/>
    </row>
    <row r="53" spans="1:8" ht="12.75" customHeight="1" x14ac:dyDescent="0.2">
      <c r="A53">
        <f>+MAX($A$8:A52)+1</f>
        <v>45</v>
      </c>
      <c r="B53" t="s">
        <v>210</v>
      </c>
      <c r="C53" t="s">
        <v>75</v>
      </c>
      <c r="D53" t="s">
        <v>36</v>
      </c>
      <c r="E53" s="28">
        <v>609090</v>
      </c>
      <c r="F53" s="13">
        <v>1961.87889</v>
      </c>
      <c r="G53" s="14">
        <f t="shared" si="3"/>
        <v>1.0200000000000001E-2</v>
      </c>
      <c r="H53" s="15"/>
    </row>
    <row r="54" spans="1:8" ht="12.75" customHeight="1" x14ac:dyDescent="0.2">
      <c r="A54">
        <f>+MAX($A$8:A53)+1</f>
        <v>46</v>
      </c>
      <c r="B54" t="s">
        <v>586</v>
      </c>
      <c r="C54" t="s">
        <v>587</v>
      </c>
      <c r="D54" t="s">
        <v>137</v>
      </c>
      <c r="E54" s="28">
        <v>309000</v>
      </c>
      <c r="F54" s="13">
        <v>1960.296</v>
      </c>
      <c r="G54" s="14">
        <f t="shared" si="3"/>
        <v>1.0200000000000001E-2</v>
      </c>
      <c r="H54" s="15"/>
    </row>
    <row r="55" spans="1:8" ht="12.75" customHeight="1" x14ac:dyDescent="0.2">
      <c r="A55">
        <f>+MAX($A$8:A54)+1</f>
        <v>47</v>
      </c>
      <c r="B55" t="s">
        <v>543</v>
      </c>
      <c r="C55" t="s">
        <v>544</v>
      </c>
      <c r="D55" t="s">
        <v>21</v>
      </c>
      <c r="E55" s="28">
        <v>510900</v>
      </c>
      <c r="F55" s="13">
        <v>1948.8280500000001</v>
      </c>
      <c r="G55" s="14">
        <f t="shared" si="3"/>
        <v>1.0200000000000001E-2</v>
      </c>
      <c r="H55" s="15"/>
    </row>
    <row r="56" spans="1:8" ht="12.75" customHeight="1" x14ac:dyDescent="0.2">
      <c r="A56">
        <f>+MAX($A$8:A55)+1</f>
        <v>48</v>
      </c>
      <c r="B56" t="s">
        <v>505</v>
      </c>
      <c r="C56" t="s">
        <v>506</v>
      </c>
      <c r="D56" t="s">
        <v>34</v>
      </c>
      <c r="E56" s="28">
        <v>206040</v>
      </c>
      <c r="F56" s="13">
        <v>1946.1508200000001</v>
      </c>
      <c r="G56" s="14">
        <f t="shared" si="3"/>
        <v>1.01E-2</v>
      </c>
      <c r="H56" s="15"/>
    </row>
    <row r="57" spans="1:8" ht="12.75" customHeight="1" x14ac:dyDescent="0.2">
      <c r="A57">
        <f>+MAX($A$8:A56)+1</f>
        <v>49</v>
      </c>
      <c r="B57" t="s">
        <v>711</v>
      </c>
      <c r="C57" t="s">
        <v>670</v>
      </c>
      <c r="D57" t="s">
        <v>127</v>
      </c>
      <c r="E57" s="28">
        <v>234000</v>
      </c>
      <c r="F57" s="13">
        <v>1936.9349999999999</v>
      </c>
      <c r="G57" s="14">
        <f t="shared" si="3"/>
        <v>1.01E-2</v>
      </c>
      <c r="H57" s="15"/>
    </row>
    <row r="58" spans="1:8" ht="12.75" customHeight="1" x14ac:dyDescent="0.2">
      <c r="A58">
        <f>+MAX($A$8:A57)+1</f>
        <v>50</v>
      </c>
      <c r="B58" t="s">
        <v>208</v>
      </c>
      <c r="C58" t="s">
        <v>64</v>
      </c>
      <c r="D58" t="s">
        <v>26</v>
      </c>
      <c r="E58" s="28">
        <v>567900</v>
      </c>
      <c r="F58" s="13">
        <v>1889.6872499999999</v>
      </c>
      <c r="G58" s="14">
        <f t="shared" si="3"/>
        <v>9.7999999999999997E-3</v>
      </c>
      <c r="H58" s="15"/>
    </row>
    <row r="59" spans="1:8" ht="12.75" customHeight="1" x14ac:dyDescent="0.2">
      <c r="A59">
        <f>+MAX($A$8:A58)+1</f>
        <v>51</v>
      </c>
      <c r="B59" t="s">
        <v>378</v>
      </c>
      <c r="C59" t="s">
        <v>379</v>
      </c>
      <c r="D59" t="s">
        <v>127</v>
      </c>
      <c r="E59" s="28">
        <v>1350000</v>
      </c>
      <c r="F59" s="13">
        <v>1864.35</v>
      </c>
      <c r="G59" s="14">
        <f t="shared" si="3"/>
        <v>9.7000000000000003E-3</v>
      </c>
      <c r="H59" s="15"/>
    </row>
    <row r="60" spans="1:8" ht="12.75" customHeight="1" x14ac:dyDescent="0.2">
      <c r="A60">
        <f>+MAX($A$8:A59)+1</f>
        <v>52</v>
      </c>
      <c r="B60" t="s">
        <v>195</v>
      </c>
      <c r="C60" t="s">
        <v>72</v>
      </c>
      <c r="D60" t="s">
        <v>407</v>
      </c>
      <c r="E60" s="28">
        <v>1389000</v>
      </c>
      <c r="F60" s="13">
        <v>1847.37</v>
      </c>
      <c r="G60" s="14">
        <f t="shared" si="3"/>
        <v>9.5999999999999992E-3</v>
      </c>
      <c r="H60" s="15"/>
    </row>
    <row r="61" spans="1:8" ht="12.75" customHeight="1" x14ac:dyDescent="0.2">
      <c r="A61">
        <f>+MAX($A$8:A60)+1</f>
        <v>53</v>
      </c>
      <c r="B61" t="s">
        <v>718</v>
      </c>
      <c r="C61" t="s">
        <v>719</v>
      </c>
      <c r="D61" t="s">
        <v>13</v>
      </c>
      <c r="E61" s="28">
        <v>198000</v>
      </c>
      <c r="F61" s="13">
        <v>1845.954</v>
      </c>
      <c r="G61" s="14">
        <f t="shared" si="3"/>
        <v>9.5999999999999992E-3</v>
      </c>
      <c r="H61" s="15"/>
    </row>
    <row r="62" spans="1:8" ht="12.75" customHeight="1" x14ac:dyDescent="0.2">
      <c r="A62">
        <f>+MAX($A$8:A61)+1</f>
        <v>54</v>
      </c>
      <c r="B62" t="s">
        <v>254</v>
      </c>
      <c r="C62" t="s">
        <v>144</v>
      </c>
      <c r="D62" t="s">
        <v>127</v>
      </c>
      <c r="E62" s="28">
        <v>64080</v>
      </c>
      <c r="F62" s="13">
        <v>1823.1400799999999</v>
      </c>
      <c r="G62" s="14">
        <f t="shared" si="3"/>
        <v>9.4999999999999998E-3</v>
      </c>
      <c r="H62" s="15"/>
    </row>
    <row r="63" spans="1:8" ht="12.75" customHeight="1" x14ac:dyDescent="0.2">
      <c r="A63">
        <f>+MAX($A$8:A62)+1</f>
        <v>55</v>
      </c>
      <c r="B63" t="s">
        <v>299</v>
      </c>
      <c r="C63" t="s">
        <v>545</v>
      </c>
      <c r="D63" t="s">
        <v>30</v>
      </c>
      <c r="E63" s="28">
        <v>2565000</v>
      </c>
      <c r="F63" s="13">
        <v>1809.6075000000001</v>
      </c>
      <c r="G63" s="14">
        <f t="shared" si="3"/>
        <v>9.4000000000000004E-3</v>
      </c>
      <c r="H63" s="15"/>
    </row>
    <row r="64" spans="1:8" ht="12.75" customHeight="1" x14ac:dyDescent="0.2">
      <c r="A64">
        <f>+MAX($A$8:A63)+1</f>
        <v>56</v>
      </c>
      <c r="B64" t="s">
        <v>468</v>
      </c>
      <c r="C64" t="s">
        <v>469</v>
      </c>
      <c r="D64" t="s">
        <v>24</v>
      </c>
      <c r="E64" s="28">
        <v>27900</v>
      </c>
      <c r="F64" s="13">
        <v>1809.3568499999999</v>
      </c>
      <c r="G64" s="14">
        <f t="shared" si="3"/>
        <v>9.4000000000000004E-3</v>
      </c>
      <c r="H64" s="15"/>
    </row>
    <row r="65" spans="1:8" ht="12.75" customHeight="1" x14ac:dyDescent="0.2">
      <c r="A65">
        <f>+MAX($A$8:A64)+1</f>
        <v>57</v>
      </c>
      <c r="B65" t="s">
        <v>632</v>
      </c>
      <c r="C65" t="s">
        <v>633</v>
      </c>
      <c r="D65" t="s">
        <v>634</v>
      </c>
      <c r="E65" s="28">
        <v>670500</v>
      </c>
      <c r="F65" s="13">
        <v>1761.73875</v>
      </c>
      <c r="G65" s="14">
        <f t="shared" si="3"/>
        <v>9.1999999999999998E-3</v>
      </c>
      <c r="H65" s="15"/>
    </row>
    <row r="66" spans="1:8" ht="12.75" customHeight="1" x14ac:dyDescent="0.2">
      <c r="A66">
        <f>+MAX($A$8:A65)+1</f>
        <v>58</v>
      </c>
      <c r="B66" t="s">
        <v>475</v>
      </c>
      <c r="C66" t="s">
        <v>476</v>
      </c>
      <c r="D66" t="s">
        <v>24</v>
      </c>
      <c r="E66" s="28">
        <v>597000</v>
      </c>
      <c r="F66" s="13">
        <v>1758.7619999999999</v>
      </c>
      <c r="G66" s="14">
        <f t="shared" si="3"/>
        <v>9.1999999999999998E-3</v>
      </c>
      <c r="H66" s="15"/>
    </row>
    <row r="67" spans="1:8" ht="12.75" customHeight="1" x14ac:dyDescent="0.2">
      <c r="A67">
        <f>+MAX($A$8:A66)+1</f>
        <v>59</v>
      </c>
      <c r="B67" t="s">
        <v>313</v>
      </c>
      <c r="C67" t="s">
        <v>317</v>
      </c>
      <c r="D67" t="s">
        <v>35</v>
      </c>
      <c r="E67" s="28">
        <v>279000</v>
      </c>
      <c r="F67" s="13">
        <v>1758.537</v>
      </c>
      <c r="G67" s="14">
        <f t="shared" si="3"/>
        <v>9.1999999999999998E-3</v>
      </c>
      <c r="H67" s="15"/>
    </row>
    <row r="68" spans="1:8" ht="12.75" customHeight="1" x14ac:dyDescent="0.2">
      <c r="A68">
        <f>+MAX($A$8:A67)+1</f>
        <v>60</v>
      </c>
      <c r="B68" t="s">
        <v>454</v>
      </c>
      <c r="C68" t="s">
        <v>455</v>
      </c>
      <c r="D68" t="s">
        <v>137</v>
      </c>
      <c r="E68" s="28">
        <v>63900</v>
      </c>
      <c r="F68" s="13">
        <v>1757.7611999999999</v>
      </c>
      <c r="G68" s="14">
        <f t="shared" si="3"/>
        <v>9.1999999999999998E-3</v>
      </c>
      <c r="H68" s="15"/>
    </row>
    <row r="69" spans="1:8" ht="12.75" customHeight="1" x14ac:dyDescent="0.2">
      <c r="A69">
        <f>+MAX($A$8:A68)+1</f>
        <v>61</v>
      </c>
      <c r="B69" t="s">
        <v>194</v>
      </c>
      <c r="C69" t="s">
        <v>53</v>
      </c>
      <c r="D69" t="s">
        <v>41</v>
      </c>
      <c r="E69" s="28">
        <v>101208</v>
      </c>
      <c r="F69" s="13">
        <v>1752.1635000000001</v>
      </c>
      <c r="G69" s="14">
        <f t="shared" si="3"/>
        <v>9.1000000000000004E-3</v>
      </c>
      <c r="H69" s="15"/>
    </row>
    <row r="70" spans="1:8" ht="12.75" customHeight="1" x14ac:dyDescent="0.2">
      <c r="A70">
        <f>+MAX($A$8:A69)+1</f>
        <v>62</v>
      </c>
      <c r="B70" t="s">
        <v>388</v>
      </c>
      <c r="C70" t="s">
        <v>389</v>
      </c>
      <c r="D70" t="s">
        <v>22</v>
      </c>
      <c r="E70" s="28">
        <v>429000</v>
      </c>
      <c r="F70" s="13">
        <v>1735.5195000000001</v>
      </c>
      <c r="G70" s="14">
        <f t="shared" si="3"/>
        <v>8.9999999999999993E-3</v>
      </c>
      <c r="H70" s="15"/>
    </row>
    <row r="71" spans="1:8" ht="12.75" customHeight="1" x14ac:dyDescent="0.2">
      <c r="A71">
        <f>+MAX($A$8:A70)+1</f>
        <v>63</v>
      </c>
      <c r="B71" t="s">
        <v>396</v>
      </c>
      <c r="C71" t="s">
        <v>397</v>
      </c>
      <c r="D71" t="s">
        <v>101</v>
      </c>
      <c r="E71" s="28">
        <v>189000</v>
      </c>
      <c r="F71" s="13">
        <v>1696.9365</v>
      </c>
      <c r="G71" s="14">
        <f t="shared" si="3"/>
        <v>8.8000000000000005E-3</v>
      </c>
      <c r="H71" s="15"/>
    </row>
    <row r="72" spans="1:8" ht="12.75" customHeight="1" x14ac:dyDescent="0.2">
      <c r="A72">
        <f>+MAX($A$8:A71)+1</f>
        <v>64</v>
      </c>
      <c r="B72" t="s">
        <v>251</v>
      </c>
      <c r="C72" t="s">
        <v>145</v>
      </c>
      <c r="D72" t="s">
        <v>141</v>
      </c>
      <c r="E72" s="28">
        <v>138900</v>
      </c>
      <c r="F72" s="13">
        <v>1682.2873500000001</v>
      </c>
      <c r="G72" s="14">
        <f t="shared" si="3"/>
        <v>8.8000000000000005E-3</v>
      </c>
      <c r="H72" s="15"/>
    </row>
    <row r="73" spans="1:8" ht="12.75" customHeight="1" x14ac:dyDescent="0.2">
      <c r="A73">
        <f>+MAX($A$8:A72)+1</f>
        <v>65</v>
      </c>
      <c r="B73" t="s">
        <v>238</v>
      </c>
      <c r="C73" t="s">
        <v>377</v>
      </c>
      <c r="D73" t="s">
        <v>101</v>
      </c>
      <c r="E73" s="28">
        <v>1440000</v>
      </c>
      <c r="F73" s="13">
        <v>1675.44</v>
      </c>
      <c r="G73" s="14">
        <f t="shared" ref="G73:G93" si="4">+ROUND(F73/VLOOKUP("Grand Total",$B$4:$F$297,5,0),4)</f>
        <v>8.6999999999999994E-3</v>
      </c>
      <c r="H73" s="15"/>
    </row>
    <row r="74" spans="1:8" ht="12.75" customHeight="1" x14ac:dyDescent="0.2">
      <c r="A74">
        <f>+MAX($A$8:A73)+1</f>
        <v>66</v>
      </c>
      <c r="B74" t="s">
        <v>635</v>
      </c>
      <c r="C74" t="s">
        <v>636</v>
      </c>
      <c r="D74" t="s">
        <v>21</v>
      </c>
      <c r="E74" s="28">
        <v>285000</v>
      </c>
      <c r="F74" s="13">
        <v>1671.24</v>
      </c>
      <c r="G74" s="14">
        <f t="shared" si="4"/>
        <v>8.6999999999999994E-3</v>
      </c>
      <c r="H74" s="15"/>
    </row>
    <row r="75" spans="1:8" ht="12.75" customHeight="1" x14ac:dyDescent="0.2">
      <c r="A75">
        <f>+MAX($A$8:A74)+1</f>
        <v>67</v>
      </c>
      <c r="B75" t="s">
        <v>286</v>
      </c>
      <c r="C75" t="s">
        <v>287</v>
      </c>
      <c r="D75" t="s">
        <v>9</v>
      </c>
      <c r="E75" s="28">
        <v>969990</v>
      </c>
      <c r="F75" s="13">
        <v>1667.41281</v>
      </c>
      <c r="G75" s="14">
        <f t="shared" si="4"/>
        <v>8.6999999999999994E-3</v>
      </c>
      <c r="H75" s="15"/>
    </row>
    <row r="76" spans="1:8" ht="12.75" customHeight="1" x14ac:dyDescent="0.2">
      <c r="A76">
        <f>+MAX($A$8:A75)+1</f>
        <v>68</v>
      </c>
      <c r="B76" t="s">
        <v>256</v>
      </c>
      <c r="C76" t="s">
        <v>149</v>
      </c>
      <c r="D76" t="s">
        <v>126</v>
      </c>
      <c r="E76" s="28">
        <v>255000</v>
      </c>
      <c r="F76" s="13">
        <v>1642.3275000000001</v>
      </c>
      <c r="G76" s="14">
        <f t="shared" si="4"/>
        <v>8.6E-3</v>
      </c>
      <c r="H76" s="15"/>
    </row>
    <row r="77" spans="1:8" ht="12.75" customHeight="1" x14ac:dyDescent="0.2">
      <c r="A77">
        <f>+MAX($A$8:A76)+1</f>
        <v>69</v>
      </c>
      <c r="B77" t="s">
        <v>473</v>
      </c>
      <c r="C77" t="s">
        <v>474</v>
      </c>
      <c r="D77" t="s">
        <v>102</v>
      </c>
      <c r="E77" s="28">
        <v>99000</v>
      </c>
      <c r="F77" s="13">
        <v>1619.7885000000001</v>
      </c>
      <c r="G77" s="14">
        <f t="shared" si="4"/>
        <v>8.3999999999999995E-3</v>
      </c>
      <c r="H77" s="15"/>
    </row>
    <row r="78" spans="1:8" ht="12.75" customHeight="1" x14ac:dyDescent="0.2">
      <c r="A78">
        <f>+MAX($A$8:A77)+1</f>
        <v>70</v>
      </c>
      <c r="B78" t="s">
        <v>434</v>
      </c>
      <c r="C78" t="s">
        <v>258</v>
      </c>
      <c r="D78" t="s">
        <v>39</v>
      </c>
      <c r="E78" s="28">
        <v>30540</v>
      </c>
      <c r="F78" s="13">
        <v>1606.6025099999999</v>
      </c>
      <c r="G78" s="14">
        <f t="shared" si="4"/>
        <v>8.3999999999999995E-3</v>
      </c>
      <c r="H78" s="15"/>
    </row>
    <row r="79" spans="1:8" ht="12.75" customHeight="1" x14ac:dyDescent="0.2">
      <c r="A79">
        <f>+MAX($A$8:A78)+1</f>
        <v>71</v>
      </c>
      <c r="B79" t="s">
        <v>267</v>
      </c>
      <c r="C79" t="s">
        <v>165</v>
      </c>
      <c r="D79" t="s">
        <v>98</v>
      </c>
      <c r="E79" s="28">
        <v>207108</v>
      </c>
      <c r="F79" s="13">
        <v>1599.4950840000001</v>
      </c>
      <c r="G79" s="14">
        <f t="shared" si="4"/>
        <v>8.3000000000000001E-3</v>
      </c>
      <c r="H79" s="15"/>
    </row>
    <row r="80" spans="1:8" ht="12.75" customHeight="1" x14ac:dyDescent="0.2">
      <c r="A80">
        <f>+MAX($A$8:A79)+1</f>
        <v>72</v>
      </c>
      <c r="B80" t="s">
        <v>352</v>
      </c>
      <c r="C80" t="s">
        <v>353</v>
      </c>
      <c r="D80" t="s">
        <v>98</v>
      </c>
      <c r="E80" s="28">
        <v>144000</v>
      </c>
      <c r="F80" s="13">
        <v>1588.896</v>
      </c>
      <c r="G80" s="14">
        <f t="shared" si="4"/>
        <v>8.3000000000000001E-3</v>
      </c>
      <c r="H80" s="15"/>
    </row>
    <row r="81" spans="1:11" ht="12.75" customHeight="1" x14ac:dyDescent="0.2">
      <c r="A81">
        <f>+MAX($A$8:A80)+1</f>
        <v>73</v>
      </c>
      <c r="B81" t="s">
        <v>215</v>
      </c>
      <c r="C81" t="s">
        <v>664</v>
      </c>
      <c r="D81" t="s">
        <v>24</v>
      </c>
      <c r="E81" s="28">
        <v>270000</v>
      </c>
      <c r="F81" s="13">
        <v>1585.0350000000001</v>
      </c>
      <c r="G81" s="14">
        <f t="shared" si="4"/>
        <v>8.3000000000000001E-3</v>
      </c>
      <c r="H81" s="15"/>
    </row>
    <row r="82" spans="1:11" ht="12.75" customHeight="1" x14ac:dyDescent="0.2">
      <c r="A82">
        <f>+MAX($A$8:A81)+1</f>
        <v>74</v>
      </c>
      <c r="B82" t="s">
        <v>390</v>
      </c>
      <c r="C82" t="s">
        <v>391</v>
      </c>
      <c r="D82" t="s">
        <v>30</v>
      </c>
      <c r="E82" s="28">
        <v>324000</v>
      </c>
      <c r="F82" s="13">
        <v>1576.422</v>
      </c>
      <c r="G82" s="14">
        <f t="shared" si="4"/>
        <v>8.2000000000000007E-3</v>
      </c>
      <c r="H82" s="15"/>
    </row>
    <row r="83" spans="1:11" ht="12.75" customHeight="1" x14ac:dyDescent="0.2">
      <c r="A83">
        <f>+MAX($A$8:A82)+1</f>
        <v>75</v>
      </c>
      <c r="B83" t="s">
        <v>241</v>
      </c>
      <c r="C83" t="s">
        <v>130</v>
      </c>
      <c r="D83" t="s">
        <v>45</v>
      </c>
      <c r="E83" s="28">
        <v>786900</v>
      </c>
      <c r="F83" s="13">
        <v>1558.0619999999999</v>
      </c>
      <c r="G83" s="14">
        <f t="shared" si="4"/>
        <v>8.0999999999999996E-3</v>
      </c>
      <c r="H83" s="15"/>
    </row>
    <row r="84" spans="1:11" ht="12.75" customHeight="1" x14ac:dyDescent="0.2">
      <c r="A84">
        <f>+MAX($A$8:A83)+1</f>
        <v>76</v>
      </c>
      <c r="B84" t="s">
        <v>249</v>
      </c>
      <c r="C84" t="s">
        <v>280</v>
      </c>
      <c r="D84" t="s">
        <v>39</v>
      </c>
      <c r="E84" s="28">
        <v>505080</v>
      </c>
      <c r="F84" s="13">
        <v>1548.57528</v>
      </c>
      <c r="G84" s="14">
        <f t="shared" si="4"/>
        <v>8.0999999999999996E-3</v>
      </c>
      <c r="H84" s="15"/>
    </row>
    <row r="85" spans="1:11" ht="12.75" customHeight="1" x14ac:dyDescent="0.2">
      <c r="A85">
        <f>+MAX($A$8:A84)+1</f>
        <v>77</v>
      </c>
      <c r="B85" t="s">
        <v>259</v>
      </c>
      <c r="C85" t="s">
        <v>161</v>
      </c>
      <c r="D85" t="s">
        <v>28</v>
      </c>
      <c r="E85" s="28">
        <v>939000</v>
      </c>
      <c r="F85" s="13">
        <v>1543.2465</v>
      </c>
      <c r="G85" s="14">
        <f t="shared" si="4"/>
        <v>8.0000000000000002E-3</v>
      </c>
      <c r="H85" s="15"/>
    </row>
    <row r="86" spans="1:11" ht="12.75" customHeight="1" x14ac:dyDescent="0.2">
      <c r="A86">
        <f>+MAX($A$8:A85)+1</f>
        <v>78</v>
      </c>
      <c r="B86" t="s">
        <v>214</v>
      </c>
      <c r="C86" t="s">
        <v>78</v>
      </c>
      <c r="D86" t="s">
        <v>43</v>
      </c>
      <c r="E86" s="28">
        <v>549000</v>
      </c>
      <c r="F86" s="13">
        <v>1537.4745</v>
      </c>
      <c r="G86" s="14">
        <f t="shared" si="4"/>
        <v>8.0000000000000002E-3</v>
      </c>
      <c r="H86" s="15"/>
    </row>
    <row r="87" spans="1:11" ht="12.75" customHeight="1" x14ac:dyDescent="0.2">
      <c r="A87">
        <f>+MAX($A$8:A86)+1</f>
        <v>79</v>
      </c>
      <c r="B87" t="s">
        <v>311</v>
      </c>
      <c r="C87" t="s">
        <v>312</v>
      </c>
      <c r="D87" t="s">
        <v>41</v>
      </c>
      <c r="E87" s="28">
        <v>457797</v>
      </c>
      <c r="F87" s="13">
        <v>1483.4911784999999</v>
      </c>
      <c r="G87" s="14">
        <f t="shared" si="4"/>
        <v>7.7000000000000002E-3</v>
      </c>
      <c r="H87" s="15"/>
    </row>
    <row r="88" spans="1:11" ht="12.75" customHeight="1" x14ac:dyDescent="0.2">
      <c r="A88">
        <f>+MAX($A$8:A87)+1</f>
        <v>80</v>
      </c>
      <c r="B88" t="s">
        <v>297</v>
      </c>
      <c r="C88" t="s">
        <v>298</v>
      </c>
      <c r="D88" t="s">
        <v>17</v>
      </c>
      <c r="E88" s="28">
        <v>189000</v>
      </c>
      <c r="F88" s="13">
        <v>1467.6795</v>
      </c>
      <c r="G88" s="14">
        <f t="shared" si="4"/>
        <v>7.6E-3</v>
      </c>
      <c r="H88" s="15"/>
    </row>
    <row r="89" spans="1:11" ht="12.75" customHeight="1" x14ac:dyDescent="0.2">
      <c r="A89">
        <f>+MAX($A$8:A88)+1</f>
        <v>81</v>
      </c>
      <c r="B89" t="s">
        <v>673</v>
      </c>
      <c r="C89" t="s">
        <v>674</v>
      </c>
      <c r="D89" t="s">
        <v>585</v>
      </c>
      <c r="E89" s="28">
        <v>270000</v>
      </c>
      <c r="F89" s="13">
        <v>1443.42</v>
      </c>
      <c r="G89" s="14">
        <f t="shared" si="4"/>
        <v>7.4999999999999997E-3</v>
      </c>
      <c r="H89" s="15"/>
    </row>
    <row r="90" spans="1:11" ht="12.75" customHeight="1" x14ac:dyDescent="0.2">
      <c r="A90">
        <f>+MAX($A$8:A89)+1</f>
        <v>82</v>
      </c>
      <c r="B90" t="s">
        <v>252</v>
      </c>
      <c r="C90" t="s">
        <v>140</v>
      </c>
      <c r="D90" t="s">
        <v>39</v>
      </c>
      <c r="E90" s="28">
        <v>210900</v>
      </c>
      <c r="F90" s="13">
        <v>1372.5372</v>
      </c>
      <c r="G90" s="14">
        <f t="shared" si="4"/>
        <v>7.1000000000000004E-3</v>
      </c>
      <c r="H90" s="15"/>
    </row>
    <row r="91" spans="1:11" ht="12.75" customHeight="1" x14ac:dyDescent="0.2">
      <c r="A91">
        <f>+MAX($A$8:A90)+1</f>
        <v>83</v>
      </c>
      <c r="B91" t="s">
        <v>400</v>
      </c>
      <c r="C91" t="s">
        <v>401</v>
      </c>
      <c r="D91" t="s">
        <v>402</v>
      </c>
      <c r="E91" s="28">
        <v>345000</v>
      </c>
      <c r="F91" s="13">
        <v>1157.3025</v>
      </c>
      <c r="G91" s="14">
        <f t="shared" si="4"/>
        <v>6.0000000000000001E-3</v>
      </c>
      <c r="H91" s="15"/>
    </row>
    <row r="92" spans="1:11" ht="12.75" customHeight="1" x14ac:dyDescent="0.2">
      <c r="A92">
        <f>+MAX($A$8:A91)+1</f>
        <v>84</v>
      </c>
      <c r="B92" t="s">
        <v>488</v>
      </c>
      <c r="C92" t="s">
        <v>720</v>
      </c>
      <c r="D92" t="s">
        <v>36</v>
      </c>
      <c r="E92" s="28">
        <v>62900</v>
      </c>
      <c r="F92" s="13">
        <v>518.20164999999997</v>
      </c>
      <c r="G92" s="14">
        <f t="shared" si="4"/>
        <v>2.7000000000000001E-3</v>
      </c>
      <c r="H92" s="15"/>
    </row>
    <row r="93" spans="1:11" ht="12.75" customHeight="1" x14ac:dyDescent="0.2">
      <c r="A93">
        <f>+MAX($A$8:A92)+1</f>
        <v>85</v>
      </c>
      <c r="B93" t="s">
        <v>309</v>
      </c>
      <c r="C93" t="s">
        <v>310</v>
      </c>
      <c r="D93" t="s">
        <v>419</v>
      </c>
      <c r="E93" s="28">
        <v>1350000</v>
      </c>
      <c r="F93" s="13">
        <v>422.55</v>
      </c>
      <c r="G93" s="14">
        <f t="shared" si="4"/>
        <v>2.2000000000000001E-3</v>
      </c>
      <c r="H93" s="15"/>
    </row>
    <row r="94" spans="1:11" ht="12.75" customHeight="1" x14ac:dyDescent="0.2">
      <c r="B94" s="18" t="s">
        <v>82</v>
      </c>
      <c r="C94" s="18"/>
      <c r="D94" s="18"/>
      <c r="E94" s="29"/>
      <c r="F94" s="19">
        <f>SUM(F9:F93)</f>
        <v>186394.79509</v>
      </c>
      <c r="G94" s="20">
        <f>SUM(G9:G93)</f>
        <v>0.9709000000000001</v>
      </c>
      <c r="H94" s="21"/>
      <c r="I94" s="49"/>
    </row>
    <row r="95" spans="1:11" ht="12.75" customHeight="1" x14ac:dyDescent="0.2">
      <c r="F95" s="13"/>
      <c r="G95" s="14"/>
      <c r="H95" s="15"/>
    </row>
    <row r="96" spans="1:11" ht="12.75" customHeight="1" x14ac:dyDescent="0.2">
      <c r="B96" s="16" t="s">
        <v>134</v>
      </c>
      <c r="C96" s="16"/>
      <c r="F96" s="13"/>
      <c r="G96" s="14"/>
      <c r="H96" s="73"/>
      <c r="I96"/>
      <c r="J96" s="36"/>
      <c r="K96"/>
    </row>
    <row r="97" spans="1:12" ht="12.75" customHeight="1" x14ac:dyDescent="0.2">
      <c r="A97">
        <f>+MAX($A$8:A96)+1</f>
        <v>86</v>
      </c>
      <c r="B97" t="s">
        <v>155</v>
      </c>
      <c r="C97" s="120" t="s">
        <v>704</v>
      </c>
      <c r="D97" t="s">
        <v>288</v>
      </c>
      <c r="E97" s="28">
        <v>360000</v>
      </c>
      <c r="F97" s="13">
        <v>1029.96</v>
      </c>
      <c r="G97" s="14">
        <f>+ROUND(F97/VLOOKUP("Grand Total",$B$4:$F$297,5,0),4)</f>
        <v>5.4000000000000003E-3</v>
      </c>
      <c r="H97" s="15">
        <v>43342</v>
      </c>
      <c r="I97"/>
      <c r="J97" s="36"/>
      <c r="K97"/>
    </row>
    <row r="98" spans="1:12" ht="12.75" customHeight="1" x14ac:dyDescent="0.2">
      <c r="A98">
        <f>+MAX($A$8:A97)+1</f>
        <v>87</v>
      </c>
      <c r="B98" t="s">
        <v>488</v>
      </c>
      <c r="C98" s="120" t="s">
        <v>704</v>
      </c>
      <c r="D98" t="s">
        <v>288</v>
      </c>
      <c r="E98" s="28">
        <v>99400</v>
      </c>
      <c r="F98" s="13">
        <v>821.39189999999996</v>
      </c>
      <c r="G98" s="14">
        <f t="shared" ref="G98:G99" si="5">+ROUND(F98/VLOOKUP("Grand Total",$B$4:$F$297,5,0),4)</f>
        <v>4.3E-3</v>
      </c>
      <c r="H98" s="15">
        <v>43342</v>
      </c>
      <c r="I98"/>
      <c r="J98" s="36"/>
      <c r="K98"/>
    </row>
    <row r="99" spans="1:12" ht="12.75" customHeight="1" x14ac:dyDescent="0.2">
      <c r="A99">
        <f>+MAX($A$8:A98)+1</f>
        <v>88</v>
      </c>
      <c r="B99" t="s">
        <v>250</v>
      </c>
      <c r="C99" s="120" t="s">
        <v>704</v>
      </c>
      <c r="D99" t="s">
        <v>288</v>
      </c>
      <c r="E99" s="28">
        <v>3000</v>
      </c>
      <c r="F99" s="13">
        <v>16.829999999999998</v>
      </c>
      <c r="G99" s="14">
        <f t="shared" si="5"/>
        <v>1E-4</v>
      </c>
      <c r="H99" s="15">
        <v>43342</v>
      </c>
      <c r="I99"/>
      <c r="J99" s="36"/>
      <c r="K99"/>
    </row>
    <row r="100" spans="1:12" ht="12.75" customHeight="1" x14ac:dyDescent="0.2">
      <c r="B100" s="18" t="s">
        <v>82</v>
      </c>
      <c r="C100" s="18"/>
      <c r="D100" s="18"/>
      <c r="E100" s="29"/>
      <c r="F100" s="19">
        <f>SUM(F97:F99)</f>
        <v>1868.1819</v>
      </c>
      <c r="G100" s="20">
        <f>SUM(G97:G99)</f>
        <v>9.7999999999999997E-3</v>
      </c>
      <c r="H100" s="21"/>
      <c r="I100"/>
      <c r="J100" s="36"/>
      <c r="K100"/>
    </row>
    <row r="101" spans="1:12" ht="12.75" customHeight="1" x14ac:dyDescent="0.2">
      <c r="F101" s="13"/>
      <c r="G101" s="14"/>
      <c r="H101" s="15"/>
    </row>
    <row r="102" spans="1:12" ht="12.75" customHeight="1" x14ac:dyDescent="0.2">
      <c r="B102" s="16" t="s">
        <v>89</v>
      </c>
      <c r="C102" s="16"/>
      <c r="F102" s="13"/>
      <c r="G102" s="14"/>
      <c r="H102" s="73"/>
      <c r="I102"/>
      <c r="J102" s="36"/>
      <c r="K102"/>
    </row>
    <row r="103" spans="1:12" ht="12.75" customHeight="1" x14ac:dyDescent="0.2">
      <c r="A103">
        <f>+MAX($A$8:A102)+1</f>
        <v>89</v>
      </c>
      <c r="B103" s="65" t="s">
        <v>707</v>
      </c>
      <c r="C103" t="s">
        <v>708</v>
      </c>
      <c r="D103" t="s">
        <v>285</v>
      </c>
      <c r="E103" s="28">
        <v>115334.08130000001</v>
      </c>
      <c r="F103" s="13">
        <v>2000.4323872</v>
      </c>
      <c r="G103" s="14">
        <f>+ROUND(F103/VLOOKUP("Grand Total",$B$4:$F$297,5,0),4)</f>
        <v>1.04E-2</v>
      </c>
      <c r="H103" s="73" t="s">
        <v>322</v>
      </c>
      <c r="I103"/>
      <c r="J103" s="36"/>
      <c r="K103"/>
    </row>
    <row r="104" spans="1:12" ht="12.75" customHeight="1" x14ac:dyDescent="0.2">
      <c r="A104">
        <f>+MAX($A$8:A103)+1</f>
        <v>90</v>
      </c>
      <c r="B104" s="65" t="s">
        <v>580</v>
      </c>
      <c r="C104" t="s">
        <v>269</v>
      </c>
      <c r="D104" t="s">
        <v>285</v>
      </c>
      <c r="E104" s="28">
        <v>1679159.6142</v>
      </c>
      <c r="F104" s="13">
        <v>540.24106019999999</v>
      </c>
      <c r="G104" s="14">
        <f t="shared" ref="G104:G105" si="6">+ROUND(F104/VLOOKUP("Grand Total",$B$4:$F$297,5,0),4)</f>
        <v>2.8E-3</v>
      </c>
      <c r="H104" s="73" t="s">
        <v>322</v>
      </c>
      <c r="I104"/>
      <c r="J104" s="36"/>
      <c r="K104"/>
    </row>
    <row r="105" spans="1:12" ht="12.75" customHeight="1" x14ac:dyDescent="0.2">
      <c r="A105">
        <f>+MAX($A$8:A104)+1</f>
        <v>91</v>
      </c>
      <c r="B105" s="65" t="s">
        <v>380</v>
      </c>
      <c r="C105" t="s">
        <v>308</v>
      </c>
      <c r="D105" t="s">
        <v>285</v>
      </c>
      <c r="E105" s="28">
        <v>9884.0483000000004</v>
      </c>
      <c r="F105" s="13">
        <v>170.69643679999999</v>
      </c>
      <c r="G105" s="14">
        <f t="shared" si="6"/>
        <v>8.9999999999999998E-4</v>
      </c>
      <c r="H105" s="73" t="s">
        <v>322</v>
      </c>
      <c r="I105"/>
      <c r="J105" s="36"/>
      <c r="K105"/>
    </row>
    <row r="106" spans="1:12" ht="12.75" customHeight="1" x14ac:dyDescent="0.2">
      <c r="B106" s="18" t="s">
        <v>82</v>
      </c>
      <c r="C106" s="18"/>
      <c r="D106" s="18"/>
      <c r="E106" s="29"/>
      <c r="F106" s="19">
        <f>SUM(F103:F105)</f>
        <v>2711.3698841999999</v>
      </c>
      <c r="G106" s="20">
        <f>SUM(G103:G105)</f>
        <v>1.41E-2</v>
      </c>
      <c r="H106" s="21"/>
      <c r="I106"/>
      <c r="J106" s="36"/>
      <c r="K106"/>
    </row>
    <row r="107" spans="1:12" s="46" customFormat="1" ht="12.75" customHeight="1" x14ac:dyDescent="0.2">
      <c r="B107" s="67"/>
      <c r="C107" s="67"/>
      <c r="D107" s="67"/>
      <c r="E107" s="68"/>
      <c r="F107" s="69"/>
      <c r="G107" s="70"/>
      <c r="H107" s="35"/>
      <c r="J107" s="48"/>
    </row>
    <row r="108" spans="1:12" ht="12.75" customHeight="1" x14ac:dyDescent="0.2">
      <c r="B108" s="16" t="s">
        <v>91</v>
      </c>
      <c r="C108" s="16"/>
      <c r="F108" s="13"/>
      <c r="G108" s="14"/>
      <c r="H108" s="15"/>
      <c r="I108" s="56"/>
    </row>
    <row r="109" spans="1:12" ht="12.75" customHeight="1" x14ac:dyDescent="0.2">
      <c r="A109" s="94" t="s">
        <v>321</v>
      </c>
      <c r="B109" s="16" t="s">
        <v>658</v>
      </c>
      <c r="C109" s="16"/>
      <c r="F109" s="13">
        <v>265.36878000000002</v>
      </c>
      <c r="G109" s="14">
        <f>+ROUND(F109/VLOOKUP("Grand Total",$B$4:$F$297,5,0),4)</f>
        <v>1.4E-3</v>
      </c>
      <c r="H109" s="15">
        <v>43313</v>
      </c>
      <c r="L109" s="46"/>
    </row>
    <row r="110" spans="1:12" ht="12.75" customHeight="1" x14ac:dyDescent="0.2">
      <c r="B110" s="16" t="s">
        <v>92</v>
      </c>
      <c r="C110" s="16"/>
      <c r="F110" s="13">
        <v>730.51150230009807</v>
      </c>
      <c r="G110" s="14">
        <f>+ROUND(F110/VLOOKUP("Grand Total",$B$4:$F$315,5,0),4)</f>
        <v>3.8E-3</v>
      </c>
      <c r="H110" s="15"/>
      <c r="I110" s="55"/>
    </row>
    <row r="111" spans="1:12" ht="12.75" customHeight="1" x14ac:dyDescent="0.2">
      <c r="B111" s="18" t="s">
        <v>82</v>
      </c>
      <c r="C111" s="18"/>
      <c r="D111" s="18"/>
      <c r="E111" s="29"/>
      <c r="F111" s="19">
        <f>SUM(F109:F110)</f>
        <v>995.88028230009809</v>
      </c>
      <c r="G111" s="20">
        <f>SUM(G109:G110)</f>
        <v>5.1999999999999998E-3</v>
      </c>
      <c r="H111" s="21"/>
      <c r="I111" s="39"/>
    </row>
    <row r="112" spans="1:12" ht="12.75" customHeight="1" x14ac:dyDescent="0.2">
      <c r="B112" s="22" t="s">
        <v>93</v>
      </c>
      <c r="C112" s="22"/>
      <c r="D112" s="22"/>
      <c r="E112" s="30"/>
      <c r="F112" s="23">
        <f>+SUMIF($B$5:B111,"Total",$F$5:F111)</f>
        <v>191970.22715650007</v>
      </c>
      <c r="G112" s="24">
        <f>+SUMIF($B$5:B111,"Total",$G$5:G111)</f>
        <v>1.0000000000000002</v>
      </c>
      <c r="H112" s="25"/>
      <c r="K112"/>
    </row>
    <row r="113" spans="2:6" ht="12.75" customHeight="1" x14ac:dyDescent="0.2">
      <c r="F113" s="13"/>
    </row>
    <row r="114" spans="2:6" ht="12.75" customHeight="1" x14ac:dyDescent="0.2">
      <c r="B114" s="53"/>
    </row>
    <row r="115" spans="2:6" ht="12.75" customHeight="1" x14ac:dyDescent="0.2">
      <c r="B115" s="16"/>
    </row>
    <row r="116" spans="2:6" ht="12.75" customHeight="1" x14ac:dyDescent="0.2">
      <c r="B116" s="16"/>
    </row>
    <row r="117" spans="2:6" ht="12.75" customHeight="1" x14ac:dyDescent="0.2"/>
    <row r="118" spans="2:6" ht="12.75" customHeight="1" x14ac:dyDescent="0.2"/>
    <row r="119" spans="2:6" ht="12.75" customHeight="1" x14ac:dyDescent="0.2"/>
    <row r="120" spans="2:6" ht="12.75" customHeight="1" x14ac:dyDescent="0.2"/>
    <row r="121" spans="2:6" ht="12.75" customHeight="1" x14ac:dyDescent="0.2"/>
    <row r="122" spans="2:6" ht="12.75" customHeight="1" x14ac:dyDescent="0.2"/>
    <row r="123" spans="2:6" ht="12.75" customHeight="1" x14ac:dyDescent="0.2"/>
    <row r="124" spans="2:6" ht="12.75" customHeight="1" x14ac:dyDescent="0.2"/>
    <row r="125" spans="2:6" ht="12.75" customHeight="1" x14ac:dyDescent="0.2"/>
    <row r="126" spans="2:6" ht="12.75" customHeight="1" x14ac:dyDescent="0.2"/>
    <row r="127" spans="2:6" ht="12.75" customHeight="1" x14ac:dyDescent="0.2"/>
    <row r="128" spans="2:6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</sheetData>
  <sortState ref="J9:K34">
    <sortCondition descending="1" ref="K11:K36"/>
  </sortState>
  <mergeCells count="1">
    <mergeCell ref="B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P141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570312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3" t="s">
        <v>327</v>
      </c>
      <c r="B1" s="129" t="s">
        <v>150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356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+MAX($A$8:A8)+1</f>
        <v>1</v>
      </c>
      <c r="B9" t="s">
        <v>176</v>
      </c>
      <c r="C9" t="s">
        <v>12</v>
      </c>
      <c r="D9" t="s">
        <v>9</v>
      </c>
      <c r="E9" s="28">
        <v>73692</v>
      </c>
      <c r="F9" s="13">
        <v>1606.1171400000001</v>
      </c>
      <c r="G9" s="14">
        <f t="shared" ref="G9:G40" si="0">+ROUND(F9/VLOOKUP("Grand Total",$B$4:$F$301,5,0),4)</f>
        <v>5.4399999999999997E-2</v>
      </c>
      <c r="H9" s="72" t="s">
        <v>322</v>
      </c>
      <c r="I9" s="106"/>
      <c r="J9" s="14" t="s">
        <v>9</v>
      </c>
      <c r="K9" s="48">
        <f t="shared" ref="K9:K34" si="1">SUMIFS($G$5:$G$332,$D$5:$D$332,J9)</f>
        <v>0.22199999999999998</v>
      </c>
    </row>
    <row r="10" spans="1:16" ht="12.75" customHeight="1" x14ac:dyDescent="0.2">
      <c r="A10">
        <f>+MAX($A$8:A9)+1</f>
        <v>2</v>
      </c>
      <c r="B10" t="s">
        <v>178</v>
      </c>
      <c r="C10" t="s">
        <v>29</v>
      </c>
      <c r="D10" t="s">
        <v>28</v>
      </c>
      <c r="E10" s="28">
        <v>121058</v>
      </c>
      <c r="F10" s="13">
        <v>1435.7478799999999</v>
      </c>
      <c r="G10" s="14">
        <f t="shared" si="0"/>
        <v>4.8599999999999997E-2</v>
      </c>
      <c r="H10" s="15" t="s">
        <v>322</v>
      </c>
      <c r="I10" s="106"/>
      <c r="J10" s="14" t="s">
        <v>24</v>
      </c>
      <c r="K10" s="48">
        <f t="shared" si="1"/>
        <v>0.1321</v>
      </c>
    </row>
    <row r="11" spans="1:16" ht="12.75" customHeight="1" x14ac:dyDescent="0.2">
      <c r="A11">
        <f>+MAX($A$8:A10)+1</f>
        <v>3</v>
      </c>
      <c r="B11" t="s">
        <v>185</v>
      </c>
      <c r="C11" t="s">
        <v>44</v>
      </c>
      <c r="D11" t="s">
        <v>24</v>
      </c>
      <c r="E11" s="28">
        <v>369949</v>
      </c>
      <c r="F11" s="13">
        <v>1101.3381729999999</v>
      </c>
      <c r="G11" s="14">
        <f t="shared" si="0"/>
        <v>3.73E-2</v>
      </c>
      <c r="H11" s="15" t="s">
        <v>322</v>
      </c>
      <c r="I11" s="106"/>
      <c r="J11" s="14" t="s">
        <v>13</v>
      </c>
      <c r="K11" s="48">
        <f t="shared" si="1"/>
        <v>8.4699999999999998E-2</v>
      </c>
      <c r="M11" s="14"/>
      <c r="N11" s="36"/>
      <c r="P11" s="14"/>
    </row>
    <row r="12" spans="1:16" ht="12.75" customHeight="1" x14ac:dyDescent="0.2">
      <c r="A12">
        <f>+MAX($A$8:A11)+1</f>
        <v>4</v>
      </c>
      <c r="B12" t="s">
        <v>200</v>
      </c>
      <c r="C12" t="s">
        <v>18</v>
      </c>
      <c r="D12" t="s">
        <v>13</v>
      </c>
      <c r="E12" s="28">
        <v>52614</v>
      </c>
      <c r="F12" s="13">
        <v>1020.816828</v>
      </c>
      <c r="G12" s="14">
        <f t="shared" si="0"/>
        <v>3.4599999999999999E-2</v>
      </c>
      <c r="H12" s="15" t="s">
        <v>322</v>
      </c>
      <c r="I12" s="106"/>
      <c r="J12" s="14" t="s">
        <v>22</v>
      </c>
      <c r="K12" s="48">
        <f t="shared" si="1"/>
        <v>6.0499999999999998E-2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15</v>
      </c>
      <c r="C13" t="s">
        <v>16</v>
      </c>
      <c r="D13" t="s">
        <v>9</v>
      </c>
      <c r="E13" s="28">
        <v>346180</v>
      </c>
      <c r="F13" s="13">
        <v>1016.0383</v>
      </c>
      <c r="G13" s="14">
        <f t="shared" si="0"/>
        <v>3.44E-2</v>
      </c>
      <c r="H13" s="15" t="s">
        <v>322</v>
      </c>
      <c r="I13" s="106"/>
      <c r="J13" s="14" t="s">
        <v>28</v>
      </c>
      <c r="K13" s="48">
        <f t="shared" si="1"/>
        <v>4.8599999999999997E-2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179</v>
      </c>
      <c r="C14" t="s">
        <v>10</v>
      </c>
      <c r="D14" t="s">
        <v>9</v>
      </c>
      <c r="E14" s="28">
        <v>318230</v>
      </c>
      <c r="F14" s="13">
        <v>968.21477500000003</v>
      </c>
      <c r="G14" s="14">
        <f t="shared" si="0"/>
        <v>3.2800000000000003E-2</v>
      </c>
      <c r="H14" s="15" t="s">
        <v>322</v>
      </c>
      <c r="I14" s="106"/>
      <c r="J14" s="14" t="s">
        <v>19</v>
      </c>
      <c r="K14" s="48">
        <f t="shared" si="1"/>
        <v>4.8300000000000003E-2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177</v>
      </c>
      <c r="C15" t="s">
        <v>14</v>
      </c>
      <c r="D15" t="s">
        <v>13</v>
      </c>
      <c r="E15" s="28">
        <v>66286</v>
      </c>
      <c r="F15" s="13">
        <v>904.87018599999999</v>
      </c>
      <c r="G15" s="14">
        <f t="shared" si="0"/>
        <v>3.0700000000000002E-2</v>
      </c>
      <c r="H15" s="15" t="s">
        <v>322</v>
      </c>
      <c r="I15" s="106"/>
      <c r="J15" s="14" t="s">
        <v>21</v>
      </c>
      <c r="K15" s="48">
        <f t="shared" si="1"/>
        <v>4.5999999999999999E-2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182</v>
      </c>
      <c r="C16" t="s">
        <v>25</v>
      </c>
      <c r="D16" t="s">
        <v>22</v>
      </c>
      <c r="E16" s="28">
        <v>45134</v>
      </c>
      <c r="F16" s="13">
        <v>900.3555990000001</v>
      </c>
      <c r="G16" s="14">
        <f t="shared" si="0"/>
        <v>3.0499999999999999E-2</v>
      </c>
      <c r="H16" s="15" t="s">
        <v>322</v>
      </c>
      <c r="I16" s="106"/>
      <c r="J16" s="14" t="s">
        <v>34</v>
      </c>
      <c r="K16" s="48">
        <f t="shared" si="1"/>
        <v>3.7900000000000003E-2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209</v>
      </c>
      <c r="C17" t="s">
        <v>69</v>
      </c>
      <c r="D17" t="s">
        <v>26</v>
      </c>
      <c r="E17" s="28">
        <v>61891</v>
      </c>
      <c r="F17" s="13">
        <v>806.00649299999998</v>
      </c>
      <c r="G17" s="14">
        <f t="shared" si="0"/>
        <v>2.7300000000000001E-2</v>
      </c>
      <c r="H17" s="15" t="s">
        <v>322</v>
      </c>
      <c r="I17" s="106"/>
      <c r="J17" s="14" t="s">
        <v>17</v>
      </c>
      <c r="K17" s="48">
        <f t="shared" si="1"/>
        <v>3.5900000000000001E-2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345</v>
      </c>
      <c r="C18" t="s">
        <v>344</v>
      </c>
      <c r="D18" t="s">
        <v>24</v>
      </c>
      <c r="E18" s="28">
        <v>182912</v>
      </c>
      <c r="F18" s="13">
        <v>771.06553599999995</v>
      </c>
      <c r="G18" s="14">
        <f t="shared" si="0"/>
        <v>2.6100000000000002E-2</v>
      </c>
      <c r="H18" s="15" t="s">
        <v>322</v>
      </c>
      <c r="I18" s="106"/>
      <c r="J18" s="14" t="s">
        <v>26</v>
      </c>
      <c r="K18" s="48">
        <f t="shared" si="1"/>
        <v>3.1E-2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304</v>
      </c>
      <c r="C19" t="s">
        <v>538</v>
      </c>
      <c r="D19" t="s">
        <v>127</v>
      </c>
      <c r="E19" s="28">
        <v>261085</v>
      </c>
      <c r="F19" s="13">
        <v>666.02783499999998</v>
      </c>
      <c r="G19" s="14">
        <f t="shared" si="0"/>
        <v>2.2599999999999999E-2</v>
      </c>
      <c r="H19" s="15" t="s">
        <v>322</v>
      </c>
      <c r="I19" s="106"/>
      <c r="J19" s="14" t="s">
        <v>127</v>
      </c>
      <c r="K19" s="48">
        <f t="shared" si="1"/>
        <v>3.0399999999999996E-2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282</v>
      </c>
      <c r="C20" t="s">
        <v>283</v>
      </c>
      <c r="D20" t="s">
        <v>137</v>
      </c>
      <c r="E20" s="28">
        <v>106569</v>
      </c>
      <c r="F20" s="13">
        <v>652.68184050000002</v>
      </c>
      <c r="G20" s="14">
        <f t="shared" si="0"/>
        <v>2.2100000000000002E-2</v>
      </c>
      <c r="H20" s="15" t="s">
        <v>322</v>
      </c>
      <c r="I20" s="106"/>
      <c r="J20" s="14" t="s">
        <v>39</v>
      </c>
      <c r="K20" s="48">
        <f t="shared" si="1"/>
        <v>2.8500000000000001E-2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466</v>
      </c>
      <c r="C21" t="s">
        <v>467</v>
      </c>
      <c r="D21" t="s">
        <v>34</v>
      </c>
      <c r="E21" s="28">
        <v>814000</v>
      </c>
      <c r="F21" s="13">
        <v>606.83699999999999</v>
      </c>
      <c r="G21" s="14">
        <f t="shared" si="0"/>
        <v>2.06E-2</v>
      </c>
      <c r="H21" s="15" t="s">
        <v>322</v>
      </c>
      <c r="I21" s="106"/>
      <c r="J21" s="14" t="s">
        <v>36</v>
      </c>
      <c r="K21" s="48">
        <f t="shared" si="1"/>
        <v>2.7700000000000002E-2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275</v>
      </c>
      <c r="C22" t="s">
        <v>55</v>
      </c>
      <c r="D22" t="s">
        <v>24</v>
      </c>
      <c r="E22" s="28">
        <v>36812</v>
      </c>
      <c r="F22" s="13">
        <v>573.91748600000005</v>
      </c>
      <c r="G22" s="14">
        <f t="shared" si="0"/>
        <v>1.9400000000000001E-2</v>
      </c>
      <c r="H22" s="15" t="s">
        <v>322</v>
      </c>
      <c r="I22" s="106"/>
      <c r="J22" s="14" t="s">
        <v>137</v>
      </c>
      <c r="K22" s="48">
        <f t="shared" si="1"/>
        <v>2.2100000000000002E-2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195</v>
      </c>
      <c r="C23" t="s">
        <v>72</v>
      </c>
      <c r="D23" t="s">
        <v>407</v>
      </c>
      <c r="E23" s="28">
        <v>427500</v>
      </c>
      <c r="F23" s="13">
        <v>568.57500000000005</v>
      </c>
      <c r="G23" s="14">
        <f t="shared" si="0"/>
        <v>1.9300000000000001E-2</v>
      </c>
      <c r="H23" s="15" t="s">
        <v>322</v>
      </c>
      <c r="I23" s="106"/>
      <c r="J23" s="14" t="s">
        <v>407</v>
      </c>
      <c r="K23" s="48">
        <f t="shared" si="1"/>
        <v>1.9300000000000001E-2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539</v>
      </c>
      <c r="C24" t="s">
        <v>540</v>
      </c>
      <c r="D24" t="s">
        <v>22</v>
      </c>
      <c r="E24" s="28">
        <v>132378</v>
      </c>
      <c r="F24" s="13">
        <v>554.06811900000002</v>
      </c>
      <c r="G24" s="14">
        <f t="shared" si="0"/>
        <v>1.8800000000000001E-2</v>
      </c>
      <c r="H24" s="15" t="s">
        <v>322</v>
      </c>
      <c r="I24" s="106"/>
      <c r="J24" t="s">
        <v>102</v>
      </c>
      <c r="K24" s="48">
        <f t="shared" si="1"/>
        <v>1.9E-2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358</v>
      </c>
      <c r="C25" t="s">
        <v>359</v>
      </c>
      <c r="D25" t="s">
        <v>360</v>
      </c>
      <c r="E25" s="28">
        <v>368000</v>
      </c>
      <c r="F25" s="13">
        <v>539.12</v>
      </c>
      <c r="G25" s="14">
        <f t="shared" si="0"/>
        <v>1.83E-2</v>
      </c>
      <c r="H25" s="15" t="s">
        <v>322</v>
      </c>
      <c r="I25" s="106"/>
      <c r="J25" t="s">
        <v>360</v>
      </c>
      <c r="K25" s="48">
        <f t="shared" si="1"/>
        <v>1.83E-2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276</v>
      </c>
      <c r="C26" t="s">
        <v>74</v>
      </c>
      <c r="D26" t="s">
        <v>36</v>
      </c>
      <c r="E26" s="28">
        <v>158000</v>
      </c>
      <c r="F26" s="13">
        <v>537.20000000000005</v>
      </c>
      <c r="G26" s="14">
        <f t="shared" si="0"/>
        <v>1.8200000000000001E-2</v>
      </c>
      <c r="H26" s="15" t="s">
        <v>322</v>
      </c>
      <c r="I26" s="106"/>
      <c r="J26" t="s">
        <v>49</v>
      </c>
      <c r="K26" s="48">
        <f t="shared" si="1"/>
        <v>1.41E-2</v>
      </c>
      <c r="L26" s="54">
        <f>+SUM($K$9:K27)</f>
        <v>0.9356000000000001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468</v>
      </c>
      <c r="C27" t="s">
        <v>469</v>
      </c>
      <c r="D27" t="s">
        <v>24</v>
      </c>
      <c r="E27" s="28">
        <v>8165</v>
      </c>
      <c r="F27" s="13">
        <v>529.51249749999999</v>
      </c>
      <c r="G27" s="14">
        <f t="shared" si="0"/>
        <v>1.7899999999999999E-2</v>
      </c>
      <c r="H27" s="15" t="s">
        <v>322</v>
      </c>
      <c r="I27" s="106"/>
      <c r="J27" s="65" t="s">
        <v>35</v>
      </c>
      <c r="K27" s="48">
        <f t="shared" si="1"/>
        <v>9.1999999999999998E-3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187</v>
      </c>
      <c r="C28" t="s">
        <v>46</v>
      </c>
      <c r="D28" t="s">
        <v>24</v>
      </c>
      <c r="E28" s="28">
        <v>7949</v>
      </c>
      <c r="F28" s="13">
        <v>520.03947799999992</v>
      </c>
      <c r="G28" s="14">
        <f t="shared" si="0"/>
        <v>1.7600000000000001E-2</v>
      </c>
      <c r="H28" s="15" t="s">
        <v>322</v>
      </c>
      <c r="I28" s="106"/>
      <c r="J28" t="s">
        <v>43</v>
      </c>
      <c r="K28" s="48">
        <f t="shared" si="1"/>
        <v>8.8999999999999999E-3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227</v>
      </c>
      <c r="C29" t="s">
        <v>111</v>
      </c>
      <c r="D29" t="s">
        <v>34</v>
      </c>
      <c r="E29" s="28">
        <v>329912</v>
      </c>
      <c r="F29" s="13">
        <v>510.86873200000002</v>
      </c>
      <c r="G29" s="14">
        <f t="shared" si="0"/>
        <v>1.7299999999999999E-2</v>
      </c>
      <c r="H29" s="15" t="s">
        <v>322</v>
      </c>
      <c r="I29" s="106"/>
      <c r="J29" s="14" t="s">
        <v>41</v>
      </c>
      <c r="K29" s="48">
        <f t="shared" si="1"/>
        <v>8.8999999999999999E-3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196</v>
      </c>
      <c r="C30" t="s">
        <v>94</v>
      </c>
      <c r="D30" t="s">
        <v>9</v>
      </c>
      <c r="E30" s="28">
        <v>38897</v>
      </c>
      <c r="F30" s="13">
        <v>508.3254445</v>
      </c>
      <c r="G30" s="14">
        <f t="shared" si="0"/>
        <v>1.72E-2</v>
      </c>
      <c r="H30" s="15" t="s">
        <v>322</v>
      </c>
      <c r="I30" s="106"/>
      <c r="J30" s="14" t="s">
        <v>32</v>
      </c>
      <c r="K30" s="48">
        <f t="shared" si="1"/>
        <v>8.6E-3</v>
      </c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193</v>
      </c>
      <c r="C31" t="s">
        <v>47</v>
      </c>
      <c r="D31" t="s">
        <v>19</v>
      </c>
      <c r="E31" s="28">
        <v>5158</v>
      </c>
      <c r="F31" s="13">
        <v>491.06996899999996</v>
      </c>
      <c r="G31" s="14">
        <f t="shared" si="0"/>
        <v>1.66E-2</v>
      </c>
      <c r="H31" s="15" t="s">
        <v>322</v>
      </c>
      <c r="I31" s="106"/>
      <c r="J31" s="14" t="s">
        <v>30</v>
      </c>
      <c r="K31" s="48">
        <f t="shared" si="1"/>
        <v>8.0999999999999996E-3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252</v>
      </c>
      <c r="C32" t="s">
        <v>140</v>
      </c>
      <c r="D32" t="s">
        <v>39</v>
      </c>
      <c r="E32" s="28">
        <v>72471</v>
      </c>
      <c r="F32" s="13">
        <v>471.64126799999997</v>
      </c>
      <c r="G32" s="14">
        <f t="shared" si="0"/>
        <v>1.6E-2</v>
      </c>
      <c r="H32" s="15" t="s">
        <v>322</v>
      </c>
      <c r="I32" s="106"/>
      <c r="J32" s="14" t="s">
        <v>368</v>
      </c>
      <c r="K32" s="48">
        <f t="shared" si="1"/>
        <v>5.1000000000000004E-3</v>
      </c>
    </row>
    <row r="33" spans="1:11" ht="12.75" customHeight="1" x14ac:dyDescent="0.2">
      <c r="A33">
        <f>+MAX($A$8:A32)+1</f>
        <v>25</v>
      </c>
      <c r="B33" t="s">
        <v>217</v>
      </c>
      <c r="C33" t="s">
        <v>96</v>
      </c>
      <c r="D33" t="s">
        <v>19</v>
      </c>
      <c r="E33" s="28">
        <v>45625</v>
      </c>
      <c r="F33" s="13">
        <v>427.02718750000003</v>
      </c>
      <c r="G33" s="14">
        <f t="shared" si="0"/>
        <v>1.4500000000000001E-2</v>
      </c>
      <c r="H33" s="15" t="s">
        <v>322</v>
      </c>
      <c r="I33" s="106"/>
      <c r="J33" s="14" t="s">
        <v>303</v>
      </c>
      <c r="K33" s="48">
        <f t="shared" si="1"/>
        <v>0</v>
      </c>
    </row>
    <row r="34" spans="1:11" ht="12.75" customHeight="1" x14ac:dyDescent="0.2">
      <c r="A34">
        <f>+MAX($A$8:A33)+1</f>
        <v>26</v>
      </c>
      <c r="B34" t="s">
        <v>277</v>
      </c>
      <c r="C34" t="s">
        <v>65</v>
      </c>
      <c r="D34" t="s">
        <v>17</v>
      </c>
      <c r="E34" s="28">
        <v>361061</v>
      </c>
      <c r="F34" s="13">
        <v>422.62190049999998</v>
      </c>
      <c r="G34" s="14">
        <f t="shared" si="0"/>
        <v>1.43E-2</v>
      </c>
      <c r="H34" s="15" t="s">
        <v>322</v>
      </c>
      <c r="I34" s="106"/>
      <c r="J34" s="14" t="s">
        <v>364</v>
      </c>
      <c r="K34" s="48">
        <f t="shared" si="1"/>
        <v>0</v>
      </c>
    </row>
    <row r="35" spans="1:11" ht="12.75" customHeight="1" x14ac:dyDescent="0.2">
      <c r="A35">
        <f>+MAX($A$8:A34)+1</f>
        <v>27</v>
      </c>
      <c r="B35" t="s">
        <v>212</v>
      </c>
      <c r="C35" t="s">
        <v>76</v>
      </c>
      <c r="D35" t="s">
        <v>49</v>
      </c>
      <c r="E35" s="28">
        <v>159233</v>
      </c>
      <c r="F35" s="13">
        <v>415.757363</v>
      </c>
      <c r="G35" s="14">
        <f t="shared" si="0"/>
        <v>1.41E-2</v>
      </c>
      <c r="H35" s="15" t="s">
        <v>322</v>
      </c>
      <c r="I35" s="106"/>
      <c r="J35" s="14" t="s">
        <v>62</v>
      </c>
      <c r="K35" s="48">
        <f>+SUMIFS($G$5:$G$998,$B$5:$B$998,"CBLO / Reverse Repo")+SUMIFS($G$5:$G$998,$B$5:$B$998,"Net Receivable/Payable")</f>
        <v>2.4799999999999999E-2</v>
      </c>
    </row>
    <row r="36" spans="1:11" ht="12.75" customHeight="1" x14ac:dyDescent="0.2">
      <c r="A36">
        <f>+MAX($A$8:A35)+1</f>
        <v>28</v>
      </c>
      <c r="B36" t="s">
        <v>215</v>
      </c>
      <c r="C36" t="s">
        <v>664</v>
      </c>
      <c r="D36" t="s">
        <v>24</v>
      </c>
      <c r="E36" s="28">
        <v>69300</v>
      </c>
      <c r="F36" s="13">
        <v>406.82565</v>
      </c>
      <c r="G36" s="14">
        <f t="shared" si="0"/>
        <v>1.38E-2</v>
      </c>
      <c r="H36" s="15" t="s">
        <v>322</v>
      </c>
      <c r="I36" s="106"/>
    </row>
    <row r="37" spans="1:11" ht="12.75" customHeight="1" x14ac:dyDescent="0.2">
      <c r="A37">
        <f>+MAX($A$8:A36)+1</f>
        <v>29</v>
      </c>
      <c r="B37" t="s">
        <v>190</v>
      </c>
      <c r="C37" t="s">
        <v>50</v>
      </c>
      <c r="D37" t="s">
        <v>39</v>
      </c>
      <c r="E37" s="28">
        <v>452000</v>
      </c>
      <c r="F37" s="13">
        <v>368.83199999999999</v>
      </c>
      <c r="G37" s="14">
        <f t="shared" si="0"/>
        <v>1.2500000000000001E-2</v>
      </c>
      <c r="H37" s="15" t="s">
        <v>322</v>
      </c>
      <c r="I37" s="106"/>
    </row>
    <row r="38" spans="1:11" ht="12.75" customHeight="1" x14ac:dyDescent="0.2">
      <c r="A38">
        <f>+MAX($A$8:A37)+1</f>
        <v>30</v>
      </c>
      <c r="B38" t="s">
        <v>481</v>
      </c>
      <c r="C38" t="s">
        <v>355</v>
      </c>
      <c r="D38" t="s">
        <v>9</v>
      </c>
      <c r="E38" s="28">
        <v>361693</v>
      </c>
      <c r="F38" s="13">
        <v>361.87384650000001</v>
      </c>
      <c r="G38" s="14">
        <f t="shared" si="0"/>
        <v>1.23E-2</v>
      </c>
      <c r="H38" s="15" t="s">
        <v>322</v>
      </c>
      <c r="I38" s="106"/>
    </row>
    <row r="39" spans="1:11" ht="12.75" customHeight="1" x14ac:dyDescent="0.2">
      <c r="A39">
        <f>+MAX($A$8:A38)+1</f>
        <v>31</v>
      </c>
      <c r="B39" t="s">
        <v>189</v>
      </c>
      <c r="C39" t="s">
        <v>48</v>
      </c>
      <c r="D39" t="s">
        <v>21</v>
      </c>
      <c r="E39" s="28">
        <v>4703</v>
      </c>
      <c r="F39" s="13">
        <v>360.56960399999997</v>
      </c>
      <c r="G39" s="14">
        <f t="shared" si="0"/>
        <v>1.2200000000000001E-2</v>
      </c>
      <c r="H39" s="15" t="s">
        <v>322</v>
      </c>
      <c r="I39" s="106"/>
    </row>
    <row r="40" spans="1:11" ht="12.75" customHeight="1" x14ac:dyDescent="0.2">
      <c r="A40">
        <f>+MAX($A$8:A39)+1</f>
        <v>32</v>
      </c>
      <c r="B40" t="s">
        <v>365</v>
      </c>
      <c r="C40" t="s">
        <v>66</v>
      </c>
      <c r="D40" t="s">
        <v>21</v>
      </c>
      <c r="E40" s="28">
        <v>62911</v>
      </c>
      <c r="F40" s="13">
        <v>357.64903500000003</v>
      </c>
      <c r="G40" s="14">
        <f t="shared" si="0"/>
        <v>1.21E-2</v>
      </c>
      <c r="H40" s="15" t="s">
        <v>322</v>
      </c>
      <c r="I40" s="106"/>
    </row>
    <row r="41" spans="1:11" ht="12.75" customHeight="1" x14ac:dyDescent="0.2">
      <c r="A41">
        <f>+MAX($A$8:A40)+1</f>
        <v>33</v>
      </c>
      <c r="B41" t="s">
        <v>450</v>
      </c>
      <c r="C41" t="s">
        <v>451</v>
      </c>
      <c r="D41" t="s">
        <v>9</v>
      </c>
      <c r="E41" s="28">
        <v>556534</v>
      </c>
      <c r="F41" s="13">
        <v>345.32934700000004</v>
      </c>
      <c r="G41" s="14">
        <f t="shared" ref="G41:G66" si="2">+ROUND(F41/VLOOKUP("Grand Total",$B$4:$F$301,5,0),4)</f>
        <v>1.17E-2</v>
      </c>
      <c r="H41" s="15" t="s">
        <v>322</v>
      </c>
      <c r="I41" s="106"/>
    </row>
    <row r="42" spans="1:11" ht="12.75" customHeight="1" x14ac:dyDescent="0.2">
      <c r="A42">
        <f>+MAX($A$8:A41)+1</f>
        <v>34</v>
      </c>
      <c r="B42" t="s">
        <v>201</v>
      </c>
      <c r="C42" t="s">
        <v>27</v>
      </c>
      <c r="D42" t="s">
        <v>9</v>
      </c>
      <c r="E42" s="28">
        <v>62354</v>
      </c>
      <c r="F42" s="13">
        <v>343.196416</v>
      </c>
      <c r="G42" s="14">
        <f t="shared" si="2"/>
        <v>1.1599999999999999E-2</v>
      </c>
      <c r="H42" s="15" t="s">
        <v>322</v>
      </c>
      <c r="I42" s="106"/>
    </row>
    <row r="43" spans="1:11" ht="12.75" customHeight="1" x14ac:dyDescent="0.2">
      <c r="A43">
        <f>+MAX($A$8:A42)+1</f>
        <v>35</v>
      </c>
      <c r="B43" t="s">
        <v>155</v>
      </c>
      <c r="C43" t="s">
        <v>166</v>
      </c>
      <c r="D43" t="s">
        <v>9</v>
      </c>
      <c r="E43" s="28">
        <v>119372</v>
      </c>
      <c r="F43" s="13">
        <v>339.61333999999999</v>
      </c>
      <c r="G43" s="14">
        <f t="shared" si="2"/>
        <v>1.15E-2</v>
      </c>
      <c r="H43" s="15" t="s">
        <v>322</v>
      </c>
      <c r="I43" s="106"/>
    </row>
    <row r="44" spans="1:11" ht="12.75" customHeight="1" x14ac:dyDescent="0.2">
      <c r="A44">
        <f>+MAX($A$8:A43)+1</f>
        <v>36</v>
      </c>
      <c r="B44" t="s">
        <v>188</v>
      </c>
      <c r="C44" t="s">
        <v>51</v>
      </c>
      <c r="D44" t="s">
        <v>17</v>
      </c>
      <c r="E44" s="28">
        <v>8012</v>
      </c>
      <c r="F44" s="13">
        <v>336.00725600000004</v>
      </c>
      <c r="G44" s="14">
        <f t="shared" si="2"/>
        <v>1.14E-2</v>
      </c>
      <c r="H44" s="15" t="s">
        <v>322</v>
      </c>
      <c r="I44" s="106"/>
    </row>
    <row r="45" spans="1:11" ht="12.75" customHeight="1" x14ac:dyDescent="0.2">
      <c r="A45">
        <f>+MAX($A$8:A44)+1</f>
        <v>37</v>
      </c>
      <c r="B45" t="s">
        <v>410</v>
      </c>
      <c r="C45" t="s">
        <v>411</v>
      </c>
      <c r="D45" t="s">
        <v>22</v>
      </c>
      <c r="E45" s="28">
        <v>24011</v>
      </c>
      <c r="F45" s="13">
        <v>331.86803649999996</v>
      </c>
      <c r="G45" s="14">
        <f t="shared" si="2"/>
        <v>1.12E-2</v>
      </c>
      <c r="H45" s="15" t="s">
        <v>322</v>
      </c>
      <c r="I45" s="106"/>
    </row>
    <row r="46" spans="1:11" ht="12.75" customHeight="1" x14ac:dyDescent="0.2">
      <c r="A46">
        <f>+MAX($A$8:A45)+1</f>
        <v>38</v>
      </c>
      <c r="B46" t="s">
        <v>445</v>
      </c>
      <c r="C46" t="s">
        <v>395</v>
      </c>
      <c r="D46" t="s">
        <v>21</v>
      </c>
      <c r="E46" s="28">
        <v>123800</v>
      </c>
      <c r="F46" s="13">
        <v>320.82769999999999</v>
      </c>
      <c r="G46" s="14">
        <f t="shared" si="2"/>
        <v>1.09E-2</v>
      </c>
      <c r="H46" s="15" t="s">
        <v>322</v>
      </c>
      <c r="I46" s="106"/>
    </row>
    <row r="47" spans="1:11" ht="12.75" customHeight="1" x14ac:dyDescent="0.2">
      <c r="A47">
        <f>+MAX($A$8:A46)+1</f>
        <v>39</v>
      </c>
      <c r="B47" t="s">
        <v>199</v>
      </c>
      <c r="C47" t="s">
        <v>59</v>
      </c>
      <c r="D47" t="s">
        <v>21</v>
      </c>
      <c r="E47" s="28">
        <v>53638</v>
      </c>
      <c r="F47" s="13">
        <v>317.29558900000001</v>
      </c>
      <c r="G47" s="14">
        <f t="shared" si="2"/>
        <v>1.0800000000000001E-2</v>
      </c>
      <c r="H47" s="15" t="s">
        <v>322</v>
      </c>
      <c r="I47" s="106"/>
    </row>
    <row r="48" spans="1:11" ht="12.75" customHeight="1" x14ac:dyDescent="0.2">
      <c r="A48">
        <f>+MAX($A$8:A47)+1</f>
        <v>40</v>
      </c>
      <c r="B48" t="s">
        <v>286</v>
      </c>
      <c r="C48" t="s">
        <v>287</v>
      </c>
      <c r="D48" t="s">
        <v>9</v>
      </c>
      <c r="E48" s="28">
        <v>176440</v>
      </c>
      <c r="F48" s="13">
        <v>303.30036000000001</v>
      </c>
      <c r="G48" s="14">
        <f t="shared" si="2"/>
        <v>1.03E-2</v>
      </c>
      <c r="H48" s="15" t="s">
        <v>322</v>
      </c>
      <c r="I48" s="106"/>
    </row>
    <row r="49" spans="1:9" ht="12.75" customHeight="1" x14ac:dyDescent="0.2">
      <c r="A49">
        <f>+MAX($A$8:A48)+1</f>
        <v>41</v>
      </c>
      <c r="B49" t="s">
        <v>297</v>
      </c>
      <c r="C49" t="s">
        <v>298</v>
      </c>
      <c r="D49" t="s">
        <v>17</v>
      </c>
      <c r="E49" s="28">
        <v>38680</v>
      </c>
      <c r="F49" s="13">
        <v>300.36953999999997</v>
      </c>
      <c r="G49" s="14">
        <f t="shared" si="2"/>
        <v>1.0200000000000001E-2</v>
      </c>
      <c r="H49" s="15" t="s">
        <v>322</v>
      </c>
      <c r="I49" s="106"/>
    </row>
    <row r="50" spans="1:9" ht="12.75" customHeight="1" x14ac:dyDescent="0.2">
      <c r="A50">
        <f>+MAX($A$8:A49)+1</f>
        <v>42</v>
      </c>
      <c r="B50" t="s">
        <v>226</v>
      </c>
      <c r="C50" t="s">
        <v>109</v>
      </c>
      <c r="D50" t="s">
        <v>13</v>
      </c>
      <c r="E50" s="28">
        <v>43000</v>
      </c>
      <c r="F50" s="13">
        <v>292.72250000000003</v>
      </c>
      <c r="G50" s="14">
        <f t="shared" si="2"/>
        <v>9.9000000000000008E-3</v>
      </c>
      <c r="H50" s="15" t="s">
        <v>322</v>
      </c>
      <c r="I50" s="106"/>
    </row>
    <row r="51" spans="1:9" ht="12.75" customHeight="1" x14ac:dyDescent="0.2">
      <c r="A51">
        <f>+MAX($A$8:A50)+1</f>
        <v>43</v>
      </c>
      <c r="B51" t="s">
        <v>207</v>
      </c>
      <c r="C51" t="s">
        <v>68</v>
      </c>
      <c r="D51" t="s">
        <v>9</v>
      </c>
      <c r="E51" s="28">
        <v>327366</v>
      </c>
      <c r="F51" s="13">
        <v>291.35574000000003</v>
      </c>
      <c r="G51" s="14">
        <f t="shared" si="2"/>
        <v>9.9000000000000008E-3</v>
      </c>
      <c r="H51" s="15" t="s">
        <v>322</v>
      </c>
      <c r="I51" s="106"/>
    </row>
    <row r="52" spans="1:9" ht="12.75" customHeight="1" x14ac:dyDescent="0.2">
      <c r="A52">
        <f>+MAX($A$8:A51)+1</f>
        <v>44</v>
      </c>
      <c r="B52" t="s">
        <v>38</v>
      </c>
      <c r="C52" t="s">
        <v>40</v>
      </c>
      <c r="D52" t="s">
        <v>9</v>
      </c>
      <c r="E52" s="28">
        <v>189657</v>
      </c>
      <c r="F52" s="13">
        <v>290.83900949999997</v>
      </c>
      <c r="G52" s="14">
        <f t="shared" si="2"/>
        <v>9.9000000000000008E-3</v>
      </c>
      <c r="H52" s="15" t="s">
        <v>322</v>
      </c>
      <c r="I52" s="106"/>
    </row>
    <row r="53" spans="1:9" ht="12.75" customHeight="1" x14ac:dyDescent="0.2">
      <c r="A53">
        <f>+MAX($A$8:A52)+1</f>
        <v>45</v>
      </c>
      <c r="B53" t="s">
        <v>484</v>
      </c>
      <c r="C53" t="s">
        <v>485</v>
      </c>
      <c r="D53" t="s">
        <v>102</v>
      </c>
      <c r="E53" s="28">
        <v>341032</v>
      </c>
      <c r="F53" s="13">
        <v>281.52191600000003</v>
      </c>
      <c r="G53" s="14">
        <f t="shared" si="2"/>
        <v>9.4999999999999998E-3</v>
      </c>
      <c r="H53" s="15" t="s">
        <v>322</v>
      </c>
      <c r="I53" s="106"/>
    </row>
    <row r="54" spans="1:9" ht="12.75" customHeight="1" x14ac:dyDescent="0.2">
      <c r="A54">
        <f>+MAX($A$8:A53)+1</f>
        <v>46</v>
      </c>
      <c r="B54" t="s">
        <v>318</v>
      </c>
      <c r="C54" t="s">
        <v>319</v>
      </c>
      <c r="D54" t="s">
        <v>36</v>
      </c>
      <c r="E54" s="28">
        <v>389384</v>
      </c>
      <c r="F54" s="13">
        <v>280.94055600000002</v>
      </c>
      <c r="G54" s="14">
        <f t="shared" si="2"/>
        <v>9.4999999999999998E-3</v>
      </c>
      <c r="H54" s="15" t="s">
        <v>322</v>
      </c>
      <c r="I54" s="106"/>
    </row>
    <row r="55" spans="1:9" ht="12.75" customHeight="1" x14ac:dyDescent="0.2">
      <c r="A55">
        <f>+MAX($A$8:A54)+1</f>
        <v>47</v>
      </c>
      <c r="B55" t="s">
        <v>181</v>
      </c>
      <c r="C55" t="s">
        <v>23</v>
      </c>
      <c r="D55" t="s">
        <v>13</v>
      </c>
      <c r="E55" s="28">
        <v>28985</v>
      </c>
      <c r="F55" s="13">
        <v>279.73423500000001</v>
      </c>
      <c r="G55" s="14">
        <f t="shared" si="2"/>
        <v>9.4999999999999998E-3</v>
      </c>
      <c r="H55" s="15" t="s">
        <v>322</v>
      </c>
      <c r="I55" s="106"/>
    </row>
    <row r="56" spans="1:9" ht="12.75" customHeight="1" x14ac:dyDescent="0.2">
      <c r="A56">
        <f>+MAX($A$8:A55)+1</f>
        <v>48</v>
      </c>
      <c r="B56" t="s">
        <v>470</v>
      </c>
      <c r="C56" t="s">
        <v>471</v>
      </c>
      <c r="D56" t="s">
        <v>102</v>
      </c>
      <c r="E56" s="28">
        <v>360000</v>
      </c>
      <c r="F56" s="13">
        <v>279</v>
      </c>
      <c r="G56" s="14">
        <f t="shared" si="2"/>
        <v>9.4999999999999998E-3</v>
      </c>
      <c r="H56" s="15" t="s">
        <v>322</v>
      </c>
      <c r="I56" s="106"/>
    </row>
    <row r="57" spans="1:9" ht="12.75" customHeight="1" x14ac:dyDescent="0.2">
      <c r="A57">
        <f>+MAX($A$8:A56)+1</f>
        <v>49</v>
      </c>
      <c r="B57" t="s">
        <v>510</v>
      </c>
      <c r="C57" t="s">
        <v>511</v>
      </c>
      <c r="D57" t="s">
        <v>35</v>
      </c>
      <c r="E57" s="28">
        <v>29355</v>
      </c>
      <c r="F57" s="13">
        <v>272.91343499999999</v>
      </c>
      <c r="G57" s="14">
        <f t="shared" si="2"/>
        <v>9.1999999999999998E-3</v>
      </c>
      <c r="H57" s="15" t="s">
        <v>322</v>
      </c>
      <c r="I57" s="106"/>
    </row>
    <row r="58" spans="1:9" ht="12.75" customHeight="1" x14ac:dyDescent="0.2">
      <c r="A58">
        <f>+MAX($A$8:A57)+1</f>
        <v>50</v>
      </c>
      <c r="B58" t="s">
        <v>225</v>
      </c>
      <c r="C58" t="s">
        <v>108</v>
      </c>
      <c r="D58" t="s">
        <v>19</v>
      </c>
      <c r="E58" s="28">
        <v>8098</v>
      </c>
      <c r="F58" s="13">
        <v>266.784561</v>
      </c>
      <c r="G58" s="14">
        <f t="shared" si="2"/>
        <v>8.9999999999999993E-3</v>
      </c>
      <c r="H58" s="15" t="s">
        <v>322</v>
      </c>
      <c r="I58" s="106"/>
    </row>
    <row r="59" spans="1:9" ht="12.75" customHeight="1" x14ac:dyDescent="0.2">
      <c r="A59">
        <f>+MAX($A$8:A58)+1</f>
        <v>51</v>
      </c>
      <c r="B59" t="s">
        <v>408</v>
      </c>
      <c r="C59" t="s">
        <v>409</v>
      </c>
      <c r="D59" t="s">
        <v>41</v>
      </c>
      <c r="E59" s="28">
        <v>31500</v>
      </c>
      <c r="F59" s="13">
        <v>263.35575</v>
      </c>
      <c r="G59" s="14">
        <f t="shared" si="2"/>
        <v>8.8999999999999999E-3</v>
      </c>
      <c r="H59" s="15" t="s">
        <v>322</v>
      </c>
      <c r="I59" s="106"/>
    </row>
    <row r="60" spans="1:9" ht="12.75" customHeight="1" x14ac:dyDescent="0.2">
      <c r="A60">
        <f>+MAX($A$8:A59)+1</f>
        <v>52</v>
      </c>
      <c r="B60" t="s">
        <v>448</v>
      </c>
      <c r="C60" t="s">
        <v>449</v>
      </c>
      <c r="D60" t="s">
        <v>43</v>
      </c>
      <c r="E60" s="28">
        <v>425975</v>
      </c>
      <c r="F60" s="13">
        <v>262.1876125</v>
      </c>
      <c r="G60" s="14">
        <f t="shared" si="2"/>
        <v>8.8999999999999999E-3</v>
      </c>
      <c r="H60" s="15" t="s">
        <v>322</v>
      </c>
      <c r="I60" s="106"/>
    </row>
    <row r="61" spans="1:9" ht="12.75" customHeight="1" x14ac:dyDescent="0.2">
      <c r="A61">
        <f>+MAX($A$8:A60)+1</f>
        <v>53</v>
      </c>
      <c r="B61" t="s">
        <v>198</v>
      </c>
      <c r="C61" t="s">
        <v>63</v>
      </c>
      <c r="D61" t="s">
        <v>32</v>
      </c>
      <c r="E61" s="28">
        <v>65027</v>
      </c>
      <c r="F61" s="13">
        <v>253.995462</v>
      </c>
      <c r="G61" s="14">
        <f t="shared" si="2"/>
        <v>8.6E-3</v>
      </c>
      <c r="H61" s="15" t="s">
        <v>322</v>
      </c>
      <c r="I61" s="106"/>
    </row>
    <row r="62" spans="1:9" ht="12.75" customHeight="1" x14ac:dyDescent="0.2">
      <c r="A62">
        <f>+MAX($A$8:A61)+1</f>
        <v>54</v>
      </c>
      <c r="B62" t="s">
        <v>183</v>
      </c>
      <c r="C62" t="s">
        <v>37</v>
      </c>
      <c r="D62" t="s">
        <v>19</v>
      </c>
      <c r="E62" s="28">
        <v>8955</v>
      </c>
      <c r="F62" s="13">
        <v>241.7894775</v>
      </c>
      <c r="G62" s="14">
        <f t="shared" si="2"/>
        <v>8.2000000000000007E-3</v>
      </c>
      <c r="H62" s="15" t="s">
        <v>322</v>
      </c>
      <c r="I62" s="106"/>
    </row>
    <row r="63" spans="1:9" ht="12.75" customHeight="1" x14ac:dyDescent="0.2">
      <c r="A63">
        <f>+MAX($A$8:A62)+1</f>
        <v>55</v>
      </c>
      <c r="B63" t="s">
        <v>516</v>
      </c>
      <c r="C63" t="s">
        <v>517</v>
      </c>
      <c r="D63" t="s">
        <v>30</v>
      </c>
      <c r="E63" s="28">
        <v>118000</v>
      </c>
      <c r="F63" s="13">
        <v>240.30699999999999</v>
      </c>
      <c r="G63" s="14">
        <f t="shared" si="2"/>
        <v>8.0999999999999996E-3</v>
      </c>
      <c r="H63" s="15" t="s">
        <v>322</v>
      </c>
      <c r="I63" s="106"/>
    </row>
    <row r="64" spans="1:9" ht="12.75" customHeight="1" x14ac:dyDescent="0.2">
      <c r="A64">
        <f>+MAX($A$8:A63)+1</f>
        <v>56</v>
      </c>
      <c r="B64" t="s">
        <v>446</v>
      </c>
      <c r="C64" t="s">
        <v>447</v>
      </c>
      <c r="D64" t="s">
        <v>127</v>
      </c>
      <c r="E64" s="28">
        <v>117725</v>
      </c>
      <c r="F64" s="13">
        <v>231.32962499999999</v>
      </c>
      <c r="G64" s="14">
        <f t="shared" si="2"/>
        <v>7.7999999999999996E-3</v>
      </c>
      <c r="H64" s="15" t="s">
        <v>322</v>
      </c>
      <c r="I64" s="106"/>
    </row>
    <row r="65" spans="1:9" ht="12.75" customHeight="1" x14ac:dyDescent="0.2">
      <c r="A65">
        <f>+MAX($A$8:A64)+1</f>
        <v>57</v>
      </c>
      <c r="B65" t="s">
        <v>482</v>
      </c>
      <c r="C65" t="s">
        <v>483</v>
      </c>
      <c r="D65" t="s">
        <v>9</v>
      </c>
      <c r="E65" s="28">
        <v>390048</v>
      </c>
      <c r="F65" s="13">
        <v>176.30169600000002</v>
      </c>
      <c r="G65" s="14">
        <f t="shared" si="2"/>
        <v>6.0000000000000001E-3</v>
      </c>
      <c r="H65" s="15" t="s">
        <v>322</v>
      </c>
      <c r="I65" s="106"/>
    </row>
    <row r="66" spans="1:9" ht="12.75" customHeight="1" x14ac:dyDescent="0.2">
      <c r="A66">
        <f>+MAX($A$8:A65)+1</f>
        <v>58</v>
      </c>
      <c r="B66" t="s">
        <v>366</v>
      </c>
      <c r="C66" t="s">
        <v>367</v>
      </c>
      <c r="D66" t="s">
        <v>368</v>
      </c>
      <c r="E66" s="28">
        <v>91300</v>
      </c>
      <c r="F66" s="13">
        <v>151.83189999999999</v>
      </c>
      <c r="G66" s="14">
        <f t="shared" si="2"/>
        <v>5.1000000000000004E-3</v>
      </c>
      <c r="H66" s="15" t="s">
        <v>322</v>
      </c>
      <c r="I66" s="106"/>
    </row>
    <row r="67" spans="1:9" ht="12.75" customHeight="1" x14ac:dyDescent="0.2">
      <c r="A67">
        <f>+MAX($A$8:A66)+1</f>
        <v>59</v>
      </c>
      <c r="B67" t="s">
        <v>284</v>
      </c>
      <c r="C67" t="s">
        <v>70</v>
      </c>
      <c r="D67" t="s">
        <v>26</v>
      </c>
      <c r="E67" s="28">
        <v>934500</v>
      </c>
      <c r="F67" s="13">
        <v>109.3365</v>
      </c>
      <c r="G67" s="14">
        <f t="shared" ref="G67" si="3">+ROUND(F67/VLOOKUP("Grand Total",$B$4:$F$301,5,0),4)</f>
        <v>3.7000000000000002E-3</v>
      </c>
      <c r="H67" s="15" t="s">
        <v>322</v>
      </c>
      <c r="I67" s="106"/>
    </row>
    <row r="68" spans="1:9" ht="12.75" customHeight="1" x14ac:dyDescent="0.2">
      <c r="A68">
        <f>+MAX($A$8:A67)+1</f>
        <v>60</v>
      </c>
      <c r="B68" t="s">
        <v>387</v>
      </c>
      <c r="C68" s="120" t="s">
        <v>704</v>
      </c>
      <c r="D68" t="s">
        <v>36</v>
      </c>
      <c r="E68" s="28">
        <v>250</v>
      </c>
      <c r="F68" s="13">
        <v>0</v>
      </c>
      <c r="G68" s="107" t="s">
        <v>443</v>
      </c>
      <c r="H68" s="15" t="s">
        <v>322</v>
      </c>
      <c r="I68" s="106"/>
    </row>
    <row r="69" spans="1:9" ht="12.75" customHeight="1" x14ac:dyDescent="0.2">
      <c r="B69" s="18" t="s">
        <v>82</v>
      </c>
      <c r="C69" s="18"/>
      <c r="D69" s="18"/>
      <c r="E69" s="29"/>
      <c r="F69" s="19">
        <f>SUM(F9:F68)</f>
        <v>28785.666725999996</v>
      </c>
      <c r="G69" s="20">
        <f>SUM(G9:G68)</f>
        <v>0.97519999999999973</v>
      </c>
      <c r="H69" s="21"/>
      <c r="I69" s="49"/>
    </row>
    <row r="70" spans="1:9" ht="12.75" customHeight="1" x14ac:dyDescent="0.2">
      <c r="F70" s="85"/>
      <c r="G70" s="14"/>
      <c r="H70" s="15"/>
    </row>
    <row r="71" spans="1:9" ht="12.75" customHeight="1" x14ac:dyDescent="0.2">
      <c r="B71" s="16" t="s">
        <v>271</v>
      </c>
      <c r="C71" s="16"/>
      <c r="F71" s="13"/>
      <c r="G71" s="14"/>
      <c r="H71" s="15"/>
    </row>
    <row r="72" spans="1:9" ht="12.75" customHeight="1" x14ac:dyDescent="0.2">
      <c r="A72">
        <f>+MAX($A$8:A71)+1</f>
        <v>61</v>
      </c>
      <c r="B72" s="65" t="s">
        <v>573</v>
      </c>
      <c r="C72" t="s">
        <v>151</v>
      </c>
      <c r="D72" s="65" t="s">
        <v>303</v>
      </c>
      <c r="E72" s="28">
        <v>8600</v>
      </c>
      <c r="F72" s="13">
        <v>0</v>
      </c>
      <c r="G72" s="107" t="s">
        <v>443</v>
      </c>
      <c r="H72" s="15" t="s">
        <v>322</v>
      </c>
    </row>
    <row r="73" spans="1:9" ht="12.75" customHeight="1" x14ac:dyDescent="0.2">
      <c r="A73">
        <f>+MAX($A$8:A72)+1</f>
        <v>62</v>
      </c>
      <c r="B73" s="65" t="s">
        <v>563</v>
      </c>
      <c r="C73" s="65" t="s">
        <v>87</v>
      </c>
      <c r="D73" t="s">
        <v>364</v>
      </c>
      <c r="E73" s="28">
        <v>200000</v>
      </c>
      <c r="F73" s="13">
        <v>0</v>
      </c>
      <c r="G73" s="107" t="s">
        <v>443</v>
      </c>
      <c r="H73" s="15" t="s">
        <v>322</v>
      </c>
    </row>
    <row r="74" spans="1:9" ht="12.75" customHeight="1" x14ac:dyDescent="0.2">
      <c r="B74" s="18" t="s">
        <v>82</v>
      </c>
      <c r="C74" s="18"/>
      <c r="D74" s="18"/>
      <c r="E74" s="29"/>
      <c r="F74" s="19">
        <f>SUM(F72:F73)</f>
        <v>0</v>
      </c>
      <c r="G74" s="51" t="s">
        <v>443</v>
      </c>
      <c r="H74" s="21"/>
      <c r="I74" s="35"/>
    </row>
    <row r="75" spans="1:9" ht="12.75" customHeight="1" x14ac:dyDescent="0.2">
      <c r="F75" s="13"/>
      <c r="G75" s="14"/>
      <c r="H75" s="15"/>
    </row>
    <row r="76" spans="1:9" ht="12.75" customHeight="1" x14ac:dyDescent="0.2">
      <c r="B76" s="16" t="s">
        <v>91</v>
      </c>
      <c r="C76" s="16"/>
      <c r="F76" s="13"/>
      <c r="G76" s="14"/>
      <c r="H76" s="15"/>
    </row>
    <row r="77" spans="1:9" ht="12.75" customHeight="1" x14ac:dyDescent="0.2">
      <c r="A77" s="94" t="s">
        <v>321</v>
      </c>
      <c r="B77" s="16" t="s">
        <v>658</v>
      </c>
      <c r="C77" s="16"/>
      <c r="F77" s="13">
        <v>1280.91851</v>
      </c>
      <c r="G77" s="14">
        <f>+ROUND(F77/VLOOKUP("Grand Total",$B$4:$F$301,5,0),4)</f>
        <v>4.3400000000000001E-2</v>
      </c>
      <c r="H77" s="15">
        <v>43313</v>
      </c>
    </row>
    <row r="78" spans="1:9" ht="12.75" customHeight="1" x14ac:dyDescent="0.2">
      <c r="B78" s="16" t="s">
        <v>92</v>
      </c>
      <c r="C78" s="16"/>
      <c r="F78" s="79">
        <v>-553.32691179999892</v>
      </c>
      <c r="G78" s="127">
        <f>+ROUND(F78/VLOOKUP("Grand Total",$B$4:$F$301,5,0),4)+0.01%</f>
        <v>-1.8600000000000002E-2</v>
      </c>
      <c r="H78" s="15"/>
    </row>
    <row r="79" spans="1:9" ht="12.75" customHeight="1" x14ac:dyDescent="0.2">
      <c r="B79" s="18" t="s">
        <v>82</v>
      </c>
      <c r="C79" s="18"/>
      <c r="D79" s="18"/>
      <c r="E79" s="29"/>
      <c r="F79" s="19">
        <f>SUM(F77:F78)</f>
        <v>727.59159820000104</v>
      </c>
      <c r="G79" s="20">
        <f>SUM(G77:G78)</f>
        <v>2.4799999999999999E-2</v>
      </c>
      <c r="H79" s="21"/>
      <c r="I79" s="49"/>
    </row>
    <row r="80" spans="1:9" ht="12.75" customHeight="1" x14ac:dyDescent="0.2">
      <c r="B80" s="22" t="s">
        <v>93</v>
      </c>
      <c r="C80" s="22"/>
      <c r="D80" s="22"/>
      <c r="E80" s="30"/>
      <c r="F80" s="23">
        <f>+SUMIF($B$5:B79,"Total",$F$5:F79)</f>
        <v>29513.258324199996</v>
      </c>
      <c r="G80" s="24">
        <f>+SUMIF($B$5:B79,"Total",$G$5:G79)</f>
        <v>0.99999999999999978</v>
      </c>
      <c r="H80" s="25"/>
      <c r="I80" s="35"/>
    </row>
    <row r="81" spans="2:3" ht="12.75" customHeight="1" x14ac:dyDescent="0.2"/>
    <row r="82" spans="2:3" ht="12.75" customHeight="1" x14ac:dyDescent="0.2">
      <c r="B82" s="16" t="s">
        <v>171</v>
      </c>
    </row>
    <row r="83" spans="2:3" ht="12.75" customHeight="1" x14ac:dyDescent="0.2">
      <c r="B83" s="16" t="s">
        <v>172</v>
      </c>
      <c r="C83" s="16"/>
    </row>
    <row r="84" spans="2:3" ht="12.75" customHeight="1" x14ac:dyDescent="0.2">
      <c r="B84" s="16" t="s">
        <v>173</v>
      </c>
      <c r="C84" s="16"/>
    </row>
    <row r="85" spans="2:3" ht="12.75" customHeight="1" x14ac:dyDescent="0.2">
      <c r="B85" s="16" t="s">
        <v>174</v>
      </c>
      <c r="C85" s="16"/>
    </row>
    <row r="86" spans="2:3" ht="12.75" customHeight="1" x14ac:dyDescent="0.2">
      <c r="B86" s="53"/>
      <c r="C86" s="16"/>
    </row>
    <row r="87" spans="2:3" ht="12.75" customHeight="1" x14ac:dyDescent="0.2">
      <c r="B87" s="16"/>
      <c r="C87" s="16"/>
    </row>
    <row r="88" spans="2:3" ht="12.75" customHeight="1" x14ac:dyDescent="0.2"/>
    <row r="89" spans="2:3" ht="12.75" customHeight="1" x14ac:dyDescent="0.2"/>
    <row r="90" spans="2:3" ht="12.75" customHeight="1" x14ac:dyDescent="0.2"/>
    <row r="91" spans="2:3" ht="12.75" customHeight="1" x14ac:dyDescent="0.2"/>
    <row r="92" spans="2:3" ht="12.75" customHeight="1" x14ac:dyDescent="0.2"/>
    <row r="93" spans="2:3" ht="12.75" customHeight="1" x14ac:dyDescent="0.2"/>
    <row r="94" spans="2:3" ht="12.75" customHeight="1" x14ac:dyDescent="0.2"/>
    <row r="95" spans="2:3" ht="12.75" customHeight="1" x14ac:dyDescent="0.2"/>
    <row r="96" spans="2:3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spans="9:9" ht="12.75" customHeight="1" x14ac:dyDescent="0.2">
      <c r="I113" s="33" t="str">
        <f>IFERROR(IF(A113="CBLO",VLOOKUP($A$1&amp;A113,#REF!,23,0),IF(VLOOKUP($C113,#REF!,17,0)="","",VLOOKUP(C113,#REF!,17,0))),"")</f>
        <v/>
      </c>
    </row>
    <row r="114" spans="9:9" ht="12.75" customHeight="1" x14ac:dyDescent="0.2">
      <c r="I114" s="33" t="str">
        <f>IFERROR(IF(A114="CBLO",VLOOKUP($A$1&amp;A114,#REF!,23,0),IF(VLOOKUP($C114,#REF!,17,0)="","",VLOOKUP(C114,#REF!,17,0))),"")</f>
        <v/>
      </c>
    </row>
    <row r="115" spans="9:9" ht="12.75" customHeight="1" x14ac:dyDescent="0.2">
      <c r="I115" s="33" t="str">
        <f>IFERROR(IF(A115="CBLO",VLOOKUP($A$1&amp;A115,#REF!,23,0),IF(VLOOKUP($C115,#REF!,17,0)="","",VLOOKUP(C115,#REF!,17,0))),"")</f>
        <v/>
      </c>
    </row>
    <row r="116" spans="9:9" ht="12.75" customHeight="1" x14ac:dyDescent="0.2">
      <c r="I116" s="33" t="str">
        <f>IFERROR(IF(A116="CBLO",VLOOKUP($A$1&amp;A116,#REF!,23,0),IF(VLOOKUP($C116,#REF!,17,0)="","",VLOOKUP(C116,#REF!,17,0))),"")</f>
        <v/>
      </c>
    </row>
    <row r="117" spans="9:9" ht="12.75" customHeight="1" x14ac:dyDescent="0.2">
      <c r="I117" s="33" t="str">
        <f>IFERROR(IF(A117="CBLO",VLOOKUP($A$1&amp;A117,#REF!,23,0),IF(VLOOKUP($C117,#REF!,17,0)="","",VLOOKUP(C117,#REF!,17,0))),"")</f>
        <v/>
      </c>
    </row>
    <row r="118" spans="9:9" ht="12.75" customHeight="1" x14ac:dyDescent="0.2">
      <c r="I118" s="33" t="str">
        <f>IFERROR(IF(A118="CBLO",VLOOKUP($A$1&amp;A118,#REF!,23,0),IF(VLOOKUP($C118,#REF!,17,0)="","",VLOOKUP(C118,#REF!,17,0))),"")</f>
        <v/>
      </c>
    </row>
    <row r="119" spans="9:9" ht="12.75" customHeight="1" x14ac:dyDescent="0.2"/>
    <row r="120" spans="9:9" ht="12.75" customHeight="1" x14ac:dyDescent="0.2"/>
    <row r="121" spans="9:9" ht="12.75" customHeight="1" x14ac:dyDescent="0.2"/>
    <row r="122" spans="9:9" ht="12.75" customHeight="1" x14ac:dyDescent="0.2">
      <c r="I122" s="33" t="str">
        <f>IFERROR(IF(A122="CBLO",VLOOKUP($A$1&amp;A122,#REF!,23,0),IF(VLOOKUP($C122,#REF!,17,0)="","",VLOOKUP(C122,#REF!,17,0))),"")</f>
        <v/>
      </c>
    </row>
    <row r="123" spans="9:9" ht="12.75" customHeight="1" x14ac:dyDescent="0.2"/>
    <row r="124" spans="9:9" ht="12.75" customHeight="1" x14ac:dyDescent="0.2"/>
    <row r="125" spans="9:9" ht="12.75" customHeight="1" x14ac:dyDescent="0.2"/>
    <row r="126" spans="9:9" x14ac:dyDescent="0.2">
      <c r="I126" s="33" t="str">
        <f>IFERROR(IF(A126="CBLO",VLOOKUP($A$1&amp;A126,#REF!,23,0),IF(VLOOKUP($C126,#REF!,17,0)="","",VLOOKUP(C126,#REF!,17,0))),"")</f>
        <v/>
      </c>
    </row>
    <row r="127" spans="9:9" x14ac:dyDescent="0.2">
      <c r="I127" s="33" t="str">
        <f>IFERROR(IF(A127="CBLO",VLOOKUP($A$1&amp;A127,#REF!,23,0),IF(VLOOKUP($C127,#REF!,17,0)="","",VLOOKUP(C127,#REF!,17,0))),"")</f>
        <v/>
      </c>
    </row>
    <row r="132" spans="9:9" x14ac:dyDescent="0.2">
      <c r="I132" s="33" t="str">
        <f>IFERROR(IF(A132="CBLO",VLOOKUP($A$1&amp;A132,#REF!,23,0),IF(VLOOKUP($C132,#REF!,17,0)="","",VLOOKUP(C132,#REF!,17,0))),"")</f>
        <v/>
      </c>
    </row>
    <row r="133" spans="9:9" x14ac:dyDescent="0.2">
      <c r="I133" s="33" t="str">
        <f>IFERROR(IF(A133="CBLO",VLOOKUP($A$1&amp;A133,#REF!,23,0),IF(VLOOKUP($C133,#REF!,17,0)="","",VLOOKUP(C133,#REF!,17,0))),"")</f>
        <v/>
      </c>
    </row>
    <row r="137" spans="9:9" x14ac:dyDescent="0.2">
      <c r="I137" s="33" t="str">
        <f>IFERROR(IF(A137="CBLO",VLOOKUP($A$1&amp;A137,#REF!,23,0),IF(VLOOKUP($C137,#REF!,17,0)="","",VLOOKUP(C137,#REF!,17,0))),"")</f>
        <v/>
      </c>
    </row>
    <row r="141" spans="9:9" x14ac:dyDescent="0.2">
      <c r="I141" s="33" t="str">
        <f>IFERROR(IF(A141="CBLO",VLOOKUP($A$1&amp;A141,#REF!,23,0),IF(VLOOKUP($C141,#REF!,17,0)="","",VLOOKUP(C141,#REF!,17,0))),"")</f>
        <v/>
      </c>
    </row>
  </sheetData>
  <sortState ref="J8:K23">
    <sortCondition descending="1" ref="K10:K25"/>
  </sortState>
  <mergeCells count="1"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6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3.7109375" bestFit="1" customWidth="1"/>
    <col min="4" max="4" width="42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42.85546875" bestFit="1" customWidth="1"/>
    <col min="11" max="11" width="8" style="36" customWidth="1"/>
  </cols>
  <sheetData>
    <row r="1" spans="1:16" ht="18.75" x14ac:dyDescent="0.2">
      <c r="A1" s="93" t="s">
        <v>329</v>
      </c>
      <c r="B1" s="129" t="s">
        <v>153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</row>
    <row r="7" spans="1:16" ht="12.75" customHeight="1" x14ac:dyDescent="0.2">
      <c r="B7" s="16" t="s">
        <v>8</v>
      </c>
      <c r="C7" s="16"/>
      <c r="F7" s="13"/>
      <c r="G7" s="14"/>
      <c r="H7" s="15"/>
    </row>
    <row r="8" spans="1:16" ht="12.75" customHeight="1" x14ac:dyDescent="0.2">
      <c r="B8" s="16" t="s">
        <v>356</v>
      </c>
      <c r="C8" s="16"/>
      <c r="F8" s="13"/>
      <c r="G8" s="14"/>
      <c r="H8" s="15"/>
      <c r="J8" s="17" t="s">
        <v>509</v>
      </c>
      <c r="K8" s="37" t="s">
        <v>11</v>
      </c>
    </row>
    <row r="9" spans="1:16" ht="12.75" customHeight="1" x14ac:dyDescent="0.2">
      <c r="A9">
        <f>+MAX($A$8:A8)+1</f>
        <v>1</v>
      </c>
      <c r="B9" t="s">
        <v>176</v>
      </c>
      <c r="C9" t="s">
        <v>12</v>
      </c>
      <c r="D9" t="s">
        <v>9</v>
      </c>
      <c r="E9" s="28">
        <v>96934</v>
      </c>
      <c r="F9" s="13">
        <v>2112.6765300000002</v>
      </c>
      <c r="G9" s="14">
        <f t="shared" ref="G9:G40" si="0">+ROUND(F9/VLOOKUP("Grand Total",$B$4:$F$276,5,0),4)</f>
        <v>5.3400000000000003E-2</v>
      </c>
      <c r="H9" s="15" t="s">
        <v>322</v>
      </c>
      <c r="J9" s="14" t="s">
        <v>9</v>
      </c>
      <c r="K9" s="48">
        <f t="shared" ref="K9:K33" si="1">SUMIFS($G$5:$G$313,$D$5:$D$313,J9)</f>
        <v>0.2117</v>
      </c>
    </row>
    <row r="10" spans="1:16" ht="12.75" customHeight="1" x14ac:dyDescent="0.2">
      <c r="A10">
        <f>+MAX($A$8:A9)+1</f>
        <v>2</v>
      </c>
      <c r="B10" t="s">
        <v>178</v>
      </c>
      <c r="C10" t="s">
        <v>29</v>
      </c>
      <c r="D10" t="s">
        <v>28</v>
      </c>
      <c r="E10" s="28">
        <v>134452</v>
      </c>
      <c r="F10" s="13">
        <v>1594.6007199999999</v>
      </c>
      <c r="G10" s="14">
        <f t="shared" si="0"/>
        <v>4.0300000000000002E-2</v>
      </c>
      <c r="H10" s="15" t="s">
        <v>322</v>
      </c>
      <c r="J10" s="14" t="s">
        <v>24</v>
      </c>
      <c r="K10" s="48">
        <f t="shared" si="1"/>
        <v>0.13</v>
      </c>
    </row>
    <row r="11" spans="1:16" ht="12.75" customHeight="1" x14ac:dyDescent="0.2">
      <c r="A11">
        <f>+MAX($A$8:A10)+1</f>
        <v>3</v>
      </c>
      <c r="B11" t="s">
        <v>185</v>
      </c>
      <c r="C11" t="s">
        <v>44</v>
      </c>
      <c r="D11" t="s">
        <v>24</v>
      </c>
      <c r="E11" s="28">
        <v>479396</v>
      </c>
      <c r="F11" s="13">
        <v>1427.1618919999999</v>
      </c>
      <c r="G11" s="14">
        <f t="shared" si="0"/>
        <v>3.61E-2</v>
      </c>
      <c r="H11" s="15" t="s">
        <v>322</v>
      </c>
      <c r="J11" s="14" t="s">
        <v>13</v>
      </c>
      <c r="K11" s="48">
        <f t="shared" si="1"/>
        <v>8.3900000000000016E-2</v>
      </c>
      <c r="M11" s="14"/>
      <c r="N11" s="36"/>
      <c r="O11" s="36"/>
      <c r="P11" s="14"/>
    </row>
    <row r="12" spans="1:16" ht="12.75" customHeight="1" x14ac:dyDescent="0.2">
      <c r="A12">
        <f>+MAX($A$8:A11)+1</f>
        <v>4</v>
      </c>
      <c r="B12" t="s">
        <v>15</v>
      </c>
      <c r="C12" t="s">
        <v>16</v>
      </c>
      <c r="D12" t="s">
        <v>9</v>
      </c>
      <c r="E12" s="28">
        <v>454501</v>
      </c>
      <c r="F12" s="13">
        <v>1333.960435</v>
      </c>
      <c r="G12" s="14">
        <f t="shared" si="0"/>
        <v>3.3700000000000001E-2</v>
      </c>
      <c r="H12" s="15" t="s">
        <v>322</v>
      </c>
      <c r="J12" s="14" t="s">
        <v>22</v>
      </c>
      <c r="K12" s="48">
        <f t="shared" si="1"/>
        <v>5.8200000000000002E-2</v>
      </c>
      <c r="M12" s="14"/>
      <c r="N12" s="36"/>
      <c r="P12" s="14"/>
    </row>
    <row r="13" spans="1:16" ht="12.75" customHeight="1" x14ac:dyDescent="0.2">
      <c r="A13">
        <f>+MAX($A$8:A12)+1</f>
        <v>5</v>
      </c>
      <c r="B13" t="s">
        <v>200</v>
      </c>
      <c r="C13" t="s">
        <v>18</v>
      </c>
      <c r="D13" t="s">
        <v>13</v>
      </c>
      <c r="E13" s="28">
        <v>68640</v>
      </c>
      <c r="F13" s="13">
        <v>1331.7532799999999</v>
      </c>
      <c r="G13" s="14">
        <f t="shared" si="0"/>
        <v>3.3700000000000001E-2</v>
      </c>
      <c r="H13" s="15" t="s">
        <v>322</v>
      </c>
      <c r="J13" s="14" t="s">
        <v>34</v>
      </c>
      <c r="K13" s="48">
        <f t="shared" si="1"/>
        <v>4.87E-2</v>
      </c>
      <c r="M13" s="14"/>
      <c r="N13" s="36"/>
      <c r="P13" s="14"/>
    </row>
    <row r="14" spans="1:16" ht="12.75" customHeight="1" x14ac:dyDescent="0.2">
      <c r="A14">
        <f>+MAX($A$8:A13)+1</f>
        <v>6</v>
      </c>
      <c r="B14" t="s">
        <v>179</v>
      </c>
      <c r="C14" t="s">
        <v>10</v>
      </c>
      <c r="D14" t="s">
        <v>9</v>
      </c>
      <c r="E14" s="28">
        <v>428143</v>
      </c>
      <c r="F14" s="13">
        <v>1302.6250775000001</v>
      </c>
      <c r="G14" s="14">
        <f t="shared" si="0"/>
        <v>3.2899999999999999E-2</v>
      </c>
      <c r="H14" s="15" t="s">
        <v>322</v>
      </c>
      <c r="J14" s="14" t="s">
        <v>19</v>
      </c>
      <c r="K14" s="48">
        <f t="shared" si="1"/>
        <v>4.7099999999999996E-2</v>
      </c>
      <c r="M14" s="14"/>
      <c r="N14" s="36"/>
      <c r="P14" s="14"/>
    </row>
    <row r="15" spans="1:16" ht="12.75" customHeight="1" x14ac:dyDescent="0.2">
      <c r="A15">
        <f>+MAX($A$8:A14)+1</f>
        <v>7</v>
      </c>
      <c r="B15" t="s">
        <v>177</v>
      </c>
      <c r="C15" t="s">
        <v>14</v>
      </c>
      <c r="D15" t="s">
        <v>13</v>
      </c>
      <c r="E15" s="28">
        <v>88297</v>
      </c>
      <c r="F15" s="13">
        <v>1205.342347</v>
      </c>
      <c r="G15" s="14">
        <f t="shared" si="0"/>
        <v>3.0499999999999999E-2</v>
      </c>
      <c r="H15" s="15" t="s">
        <v>322</v>
      </c>
      <c r="J15" s="14" t="s">
        <v>21</v>
      </c>
      <c r="K15" s="48">
        <f t="shared" si="1"/>
        <v>4.3000000000000003E-2</v>
      </c>
      <c r="M15" s="14"/>
      <c r="N15" s="36"/>
      <c r="P15" s="14"/>
    </row>
    <row r="16" spans="1:16" ht="12.75" customHeight="1" x14ac:dyDescent="0.2">
      <c r="A16">
        <f>+MAX($A$8:A15)+1</f>
        <v>8</v>
      </c>
      <c r="B16" t="s">
        <v>182</v>
      </c>
      <c r="C16" t="s">
        <v>25</v>
      </c>
      <c r="D16" t="s">
        <v>22</v>
      </c>
      <c r="E16" s="28">
        <v>58670</v>
      </c>
      <c r="F16" s="13">
        <v>1170.3784949999999</v>
      </c>
      <c r="G16" s="14">
        <f t="shared" si="0"/>
        <v>2.9600000000000001E-2</v>
      </c>
      <c r="H16" s="15" t="s">
        <v>322</v>
      </c>
      <c r="J16" s="14" t="s">
        <v>26</v>
      </c>
      <c r="K16" s="48">
        <f t="shared" si="1"/>
        <v>4.1800000000000004E-2</v>
      </c>
      <c r="M16" s="14"/>
      <c r="N16" s="36"/>
      <c r="P16" s="14"/>
    </row>
    <row r="17" spans="1:16" ht="12.75" customHeight="1" x14ac:dyDescent="0.2">
      <c r="A17">
        <f>+MAX($A$8:A16)+1</f>
        <v>9</v>
      </c>
      <c r="B17" t="s">
        <v>209</v>
      </c>
      <c r="C17" t="s">
        <v>69</v>
      </c>
      <c r="D17" t="s">
        <v>26</v>
      </c>
      <c r="E17" s="28">
        <v>81362</v>
      </c>
      <c r="F17" s="13">
        <v>1059.5773259999999</v>
      </c>
      <c r="G17" s="14">
        <f t="shared" si="0"/>
        <v>2.6800000000000001E-2</v>
      </c>
      <c r="H17" s="15" t="s">
        <v>322</v>
      </c>
      <c r="J17" s="14" t="s">
        <v>17</v>
      </c>
      <c r="K17" s="48">
        <f t="shared" si="1"/>
        <v>4.0599999999999997E-2</v>
      </c>
      <c r="M17" s="14"/>
      <c r="N17" s="36"/>
      <c r="P17" s="14"/>
    </row>
    <row r="18" spans="1:16" ht="12.75" customHeight="1" x14ac:dyDescent="0.2">
      <c r="A18">
        <f>+MAX($A$8:A17)+1</f>
        <v>10</v>
      </c>
      <c r="B18" t="s">
        <v>345</v>
      </c>
      <c r="C18" t="s">
        <v>344</v>
      </c>
      <c r="D18" t="s">
        <v>24</v>
      </c>
      <c r="E18" s="28">
        <v>244029</v>
      </c>
      <c r="F18" s="13">
        <v>1028.7042495000001</v>
      </c>
      <c r="G18" s="14">
        <f t="shared" si="0"/>
        <v>2.5999999999999999E-2</v>
      </c>
      <c r="H18" s="15" t="s">
        <v>322</v>
      </c>
      <c r="J18" s="14" t="s">
        <v>28</v>
      </c>
      <c r="K18" s="48">
        <f t="shared" si="1"/>
        <v>4.0300000000000002E-2</v>
      </c>
      <c r="M18" s="14"/>
      <c r="N18" s="36"/>
      <c r="P18" s="14"/>
    </row>
    <row r="19" spans="1:16" ht="12.75" customHeight="1" x14ac:dyDescent="0.2">
      <c r="A19">
        <f>+MAX($A$8:A18)+1</f>
        <v>11</v>
      </c>
      <c r="B19" t="s">
        <v>304</v>
      </c>
      <c r="C19" t="s">
        <v>538</v>
      </c>
      <c r="D19" t="s">
        <v>127</v>
      </c>
      <c r="E19" s="28">
        <v>345520</v>
      </c>
      <c r="F19" s="13">
        <v>881.42151999999999</v>
      </c>
      <c r="G19" s="14">
        <f t="shared" si="0"/>
        <v>2.23E-2</v>
      </c>
      <c r="H19" s="15" t="s">
        <v>322</v>
      </c>
      <c r="J19" s="14" t="s">
        <v>127</v>
      </c>
      <c r="K19" s="48">
        <f t="shared" si="1"/>
        <v>2.98E-2</v>
      </c>
      <c r="M19" s="14"/>
      <c r="N19" s="36"/>
      <c r="P19" s="14"/>
    </row>
    <row r="20" spans="1:16" ht="12.75" customHeight="1" x14ac:dyDescent="0.2">
      <c r="A20">
        <f>+MAX($A$8:A19)+1</f>
        <v>12</v>
      </c>
      <c r="B20" t="s">
        <v>282</v>
      </c>
      <c r="C20" t="s">
        <v>283</v>
      </c>
      <c r="D20" t="s">
        <v>137</v>
      </c>
      <c r="E20" s="28">
        <v>142066</v>
      </c>
      <c r="F20" s="13">
        <v>870.08321699999999</v>
      </c>
      <c r="G20" s="14">
        <f t="shared" si="0"/>
        <v>2.1999999999999999E-2</v>
      </c>
      <c r="H20" s="15" t="s">
        <v>322</v>
      </c>
      <c r="J20" s="14" t="s">
        <v>39</v>
      </c>
      <c r="K20" s="48">
        <f t="shared" si="1"/>
        <v>2.7099999999999999E-2</v>
      </c>
      <c r="M20" s="14"/>
      <c r="N20" s="36"/>
      <c r="P20" s="14"/>
    </row>
    <row r="21" spans="1:16" ht="12.75" customHeight="1" x14ac:dyDescent="0.2">
      <c r="A21">
        <f>+MAX($A$8:A20)+1</f>
        <v>13</v>
      </c>
      <c r="B21" t="s">
        <v>466</v>
      </c>
      <c r="C21" t="s">
        <v>467</v>
      </c>
      <c r="D21" t="s">
        <v>34</v>
      </c>
      <c r="E21" s="28">
        <v>1087240</v>
      </c>
      <c r="F21" s="13">
        <v>810.53742</v>
      </c>
      <c r="G21" s="14">
        <f t="shared" si="0"/>
        <v>2.0500000000000001E-2</v>
      </c>
      <c r="H21" s="15" t="s">
        <v>322</v>
      </c>
      <c r="J21" t="s">
        <v>36</v>
      </c>
      <c r="K21" s="48">
        <f t="shared" si="1"/>
        <v>2.6499999999999999E-2</v>
      </c>
      <c r="M21" s="14"/>
      <c r="N21" s="36"/>
      <c r="P21" s="14"/>
    </row>
    <row r="22" spans="1:16" ht="12.75" customHeight="1" x14ac:dyDescent="0.2">
      <c r="A22">
        <f>+MAX($A$8:A21)+1</f>
        <v>14</v>
      </c>
      <c r="B22" t="s">
        <v>275</v>
      </c>
      <c r="C22" t="s">
        <v>55</v>
      </c>
      <c r="D22" t="s">
        <v>24</v>
      </c>
      <c r="E22" s="28">
        <v>49953</v>
      </c>
      <c r="F22" s="13">
        <v>778.79224650000003</v>
      </c>
      <c r="G22" s="14">
        <f t="shared" si="0"/>
        <v>1.9699999999999999E-2</v>
      </c>
      <c r="H22" s="15" t="s">
        <v>322</v>
      </c>
      <c r="J22" s="14" t="s">
        <v>137</v>
      </c>
      <c r="K22" s="48">
        <f t="shared" si="1"/>
        <v>2.1999999999999999E-2</v>
      </c>
      <c r="M22" s="14"/>
      <c r="N22" s="36"/>
      <c r="P22" s="14"/>
    </row>
    <row r="23" spans="1:16" ht="12.75" customHeight="1" x14ac:dyDescent="0.2">
      <c r="A23">
        <f>+MAX($A$8:A22)+1</f>
        <v>15</v>
      </c>
      <c r="B23" t="s">
        <v>195</v>
      </c>
      <c r="C23" t="s">
        <v>72</v>
      </c>
      <c r="D23" t="s">
        <v>407</v>
      </c>
      <c r="E23" s="28">
        <v>566187</v>
      </c>
      <c r="F23" s="13">
        <v>753.02871000000005</v>
      </c>
      <c r="G23" s="14">
        <f t="shared" si="0"/>
        <v>1.9E-2</v>
      </c>
      <c r="H23" s="15" t="s">
        <v>322</v>
      </c>
      <c r="J23" s="14" t="s">
        <v>407</v>
      </c>
      <c r="K23" s="48">
        <f t="shared" si="1"/>
        <v>1.9E-2</v>
      </c>
      <c r="M23" s="14"/>
      <c r="N23" s="36"/>
      <c r="P23" s="14"/>
    </row>
    <row r="24" spans="1:16" ht="12.75" customHeight="1" x14ac:dyDescent="0.2">
      <c r="A24">
        <f>+MAX($A$8:A23)+1</f>
        <v>16</v>
      </c>
      <c r="B24" t="s">
        <v>539</v>
      </c>
      <c r="C24" t="s">
        <v>540</v>
      </c>
      <c r="D24" t="s">
        <v>22</v>
      </c>
      <c r="E24" s="28">
        <v>172169</v>
      </c>
      <c r="F24" s="13">
        <v>720.61334950000003</v>
      </c>
      <c r="G24" s="14">
        <f t="shared" si="0"/>
        <v>1.8200000000000001E-2</v>
      </c>
      <c r="H24" s="15" t="s">
        <v>322</v>
      </c>
      <c r="J24" s="14" t="s">
        <v>102</v>
      </c>
      <c r="K24" s="48">
        <f t="shared" si="1"/>
        <v>1.83E-2</v>
      </c>
      <c r="M24" s="14"/>
      <c r="N24" s="36"/>
      <c r="P24" s="14"/>
    </row>
    <row r="25" spans="1:16" ht="12.75" customHeight="1" x14ac:dyDescent="0.2">
      <c r="A25">
        <f>+MAX($A$8:A24)+1</f>
        <v>17</v>
      </c>
      <c r="B25" t="s">
        <v>358</v>
      </c>
      <c r="C25" t="s">
        <v>359</v>
      </c>
      <c r="D25" t="s">
        <v>360</v>
      </c>
      <c r="E25" s="28">
        <v>482966</v>
      </c>
      <c r="F25" s="13">
        <v>707.54519000000005</v>
      </c>
      <c r="G25" s="14">
        <f t="shared" si="0"/>
        <v>1.7899999999999999E-2</v>
      </c>
      <c r="H25" s="15" t="s">
        <v>322</v>
      </c>
      <c r="J25" s="14" t="s">
        <v>360</v>
      </c>
      <c r="K25" s="48">
        <f t="shared" si="1"/>
        <v>1.7899999999999999E-2</v>
      </c>
      <c r="M25" s="14"/>
      <c r="N25" s="36"/>
      <c r="P25" s="14"/>
    </row>
    <row r="26" spans="1:16" ht="12.75" customHeight="1" x14ac:dyDescent="0.2">
      <c r="A26">
        <f>+MAX($A$8:A25)+1</f>
        <v>18</v>
      </c>
      <c r="B26" t="s">
        <v>468</v>
      </c>
      <c r="C26" t="s">
        <v>469</v>
      </c>
      <c r="D26" t="s">
        <v>24</v>
      </c>
      <c r="E26" s="28">
        <v>10710</v>
      </c>
      <c r="F26" s="13">
        <v>694.55956500000002</v>
      </c>
      <c r="G26" s="14">
        <f t="shared" si="0"/>
        <v>1.7600000000000001E-2</v>
      </c>
      <c r="H26" s="15" t="s">
        <v>322</v>
      </c>
      <c r="J26" s="14" t="s">
        <v>43</v>
      </c>
      <c r="K26" s="48">
        <f t="shared" si="1"/>
        <v>1.6E-2</v>
      </c>
      <c r="M26" s="14"/>
      <c r="N26" s="36"/>
      <c r="P26" s="14"/>
    </row>
    <row r="27" spans="1:16" ht="12.75" customHeight="1" x14ac:dyDescent="0.2">
      <c r="A27">
        <f>+MAX($A$8:A26)+1</f>
        <v>19</v>
      </c>
      <c r="B27" t="s">
        <v>276</v>
      </c>
      <c r="C27" t="s">
        <v>74</v>
      </c>
      <c r="D27" t="s">
        <v>36</v>
      </c>
      <c r="E27" s="28">
        <v>202228</v>
      </c>
      <c r="F27" s="13">
        <v>687.5752</v>
      </c>
      <c r="G27" s="14">
        <f t="shared" si="0"/>
        <v>1.7399999999999999E-2</v>
      </c>
      <c r="H27" s="15" t="s">
        <v>322</v>
      </c>
      <c r="J27" s="14" t="s">
        <v>49</v>
      </c>
      <c r="K27" s="48">
        <f t="shared" si="1"/>
        <v>1.37E-2</v>
      </c>
      <c r="M27" s="14"/>
      <c r="N27" s="36"/>
      <c r="P27" s="14"/>
    </row>
    <row r="28" spans="1:16" ht="12.75" customHeight="1" x14ac:dyDescent="0.2">
      <c r="A28">
        <f>+MAX($A$8:A27)+1</f>
        <v>20</v>
      </c>
      <c r="B28" t="s">
        <v>187</v>
      </c>
      <c r="C28" t="s">
        <v>46</v>
      </c>
      <c r="D28" t="s">
        <v>24</v>
      </c>
      <c r="E28" s="28">
        <v>10250</v>
      </c>
      <c r="F28" s="13">
        <v>670.57550000000003</v>
      </c>
      <c r="G28" s="14">
        <f t="shared" si="0"/>
        <v>1.6899999999999998E-2</v>
      </c>
      <c r="H28" s="15" t="s">
        <v>322</v>
      </c>
      <c r="J28" t="s">
        <v>35</v>
      </c>
      <c r="K28" s="48">
        <f t="shared" si="1"/>
        <v>9.1000000000000004E-3</v>
      </c>
      <c r="M28" s="14"/>
      <c r="N28" s="36"/>
      <c r="P28" s="14"/>
    </row>
    <row r="29" spans="1:16" ht="12.75" customHeight="1" x14ac:dyDescent="0.2">
      <c r="A29">
        <f>+MAX($A$8:A28)+1</f>
        <v>21</v>
      </c>
      <c r="B29" t="s">
        <v>227</v>
      </c>
      <c r="C29" t="s">
        <v>111</v>
      </c>
      <c r="D29" t="s">
        <v>34</v>
      </c>
      <c r="E29" s="28">
        <v>424840</v>
      </c>
      <c r="F29" s="13">
        <v>657.86473999999998</v>
      </c>
      <c r="G29" s="14">
        <f t="shared" si="0"/>
        <v>1.66E-2</v>
      </c>
      <c r="H29" s="15" t="s">
        <v>322</v>
      </c>
      <c r="J29" s="14" t="s">
        <v>41</v>
      </c>
      <c r="K29" s="48">
        <f t="shared" si="1"/>
        <v>8.6E-3</v>
      </c>
      <c r="L29" s="54">
        <f>+SUM($K$9:K27)</f>
        <v>0.93560000000000021</v>
      </c>
      <c r="M29" s="14"/>
      <c r="N29" s="36"/>
      <c r="P29" s="14"/>
    </row>
    <row r="30" spans="1:16" ht="12.75" customHeight="1" x14ac:dyDescent="0.2">
      <c r="A30">
        <f>+MAX($A$8:A29)+1</f>
        <v>22</v>
      </c>
      <c r="B30" t="s">
        <v>196</v>
      </c>
      <c r="C30" t="s">
        <v>94</v>
      </c>
      <c r="D30" t="s">
        <v>9</v>
      </c>
      <c r="E30" s="28">
        <v>47415</v>
      </c>
      <c r="F30" s="13">
        <v>619.64292750000004</v>
      </c>
      <c r="G30" s="14">
        <f t="shared" si="0"/>
        <v>1.5699999999999999E-2</v>
      </c>
      <c r="H30" s="15" t="s">
        <v>322</v>
      </c>
      <c r="J30" s="14" t="s">
        <v>30</v>
      </c>
      <c r="K30" s="48">
        <f t="shared" si="1"/>
        <v>7.4999999999999997E-3</v>
      </c>
      <c r="L30" s="54"/>
      <c r="M30" s="14"/>
      <c r="N30" s="36"/>
      <c r="P30" s="14"/>
    </row>
    <row r="31" spans="1:16" ht="12.75" customHeight="1" x14ac:dyDescent="0.2">
      <c r="A31">
        <f>+MAX($A$8:A30)+1</f>
        <v>23</v>
      </c>
      <c r="B31" t="s">
        <v>193</v>
      </c>
      <c r="C31" t="s">
        <v>47</v>
      </c>
      <c r="D31" t="s">
        <v>19</v>
      </c>
      <c r="E31" s="28">
        <v>6427</v>
      </c>
      <c r="F31" s="13">
        <v>611.88574849999998</v>
      </c>
      <c r="G31" s="14">
        <f t="shared" si="0"/>
        <v>1.55E-2</v>
      </c>
      <c r="H31" s="15" t="s">
        <v>322</v>
      </c>
      <c r="J31" s="14" t="s">
        <v>32</v>
      </c>
      <c r="K31" s="48">
        <f t="shared" si="1"/>
        <v>6.3E-3</v>
      </c>
      <c r="M31" s="14"/>
      <c r="N31" s="36"/>
      <c r="P31" s="14"/>
    </row>
    <row r="32" spans="1:16" ht="12.75" customHeight="1" x14ac:dyDescent="0.2">
      <c r="A32">
        <f>+MAX($A$8:A31)+1</f>
        <v>24</v>
      </c>
      <c r="B32" t="s">
        <v>252</v>
      </c>
      <c r="C32" t="s">
        <v>140</v>
      </c>
      <c r="D32" t="s">
        <v>39</v>
      </c>
      <c r="E32" s="28">
        <v>91374</v>
      </c>
      <c r="F32" s="13">
        <v>594.66199200000005</v>
      </c>
      <c r="G32" s="14">
        <f t="shared" si="0"/>
        <v>1.4999999999999999E-2</v>
      </c>
      <c r="H32" s="15" t="s">
        <v>322</v>
      </c>
      <c r="J32" s="14" t="s">
        <v>368</v>
      </c>
      <c r="K32" s="48">
        <f t="shared" si="1"/>
        <v>5.0000000000000001E-3</v>
      </c>
      <c r="M32" s="14"/>
      <c r="N32" s="36"/>
      <c r="P32" s="14"/>
    </row>
    <row r="33" spans="1:16" ht="12.75" customHeight="1" x14ac:dyDescent="0.2">
      <c r="A33">
        <f>+MAX($A$8:A32)+1</f>
        <v>25</v>
      </c>
      <c r="B33" t="s">
        <v>217</v>
      </c>
      <c r="C33" t="s">
        <v>96</v>
      </c>
      <c r="D33" t="s">
        <v>19</v>
      </c>
      <c r="E33" s="28">
        <v>60750</v>
      </c>
      <c r="F33" s="13">
        <v>568.58962499999996</v>
      </c>
      <c r="G33" s="14">
        <f t="shared" si="0"/>
        <v>1.44E-2</v>
      </c>
      <c r="H33" s="15" t="s">
        <v>322</v>
      </c>
      <c r="J33" s="14" t="s">
        <v>98</v>
      </c>
      <c r="K33" s="48">
        <f t="shared" si="1"/>
        <v>0</v>
      </c>
      <c r="M33" s="14"/>
      <c r="N33" s="36"/>
      <c r="P33" s="14"/>
    </row>
    <row r="34" spans="1:16" ht="12.75" customHeight="1" x14ac:dyDescent="0.2">
      <c r="A34">
        <f>+MAX($A$8:A33)+1</f>
        <v>26</v>
      </c>
      <c r="B34" t="s">
        <v>277</v>
      </c>
      <c r="C34" t="s">
        <v>65</v>
      </c>
      <c r="D34" t="s">
        <v>17</v>
      </c>
      <c r="E34" s="28">
        <v>479230</v>
      </c>
      <c r="F34" s="13">
        <v>560.938715</v>
      </c>
      <c r="G34" s="14">
        <f t="shared" si="0"/>
        <v>1.4200000000000001E-2</v>
      </c>
      <c r="H34" s="15" t="s">
        <v>322</v>
      </c>
      <c r="J34" s="14" t="s">
        <v>62</v>
      </c>
      <c r="K34" s="48">
        <f>+SUMIFS($G$5:$G$998,$B$5:$B$998,"CBLO / Reverse Repo")+SUMIFS($G$5:$G$998,$B$5:$B$998,"Net Receivable/Payable")</f>
        <v>2.7899999999999998E-2</v>
      </c>
      <c r="M34" s="14"/>
      <c r="N34" s="36"/>
      <c r="P34" s="14"/>
    </row>
    <row r="35" spans="1:16" ht="12.75" customHeight="1" x14ac:dyDescent="0.2">
      <c r="A35">
        <f>+MAX($A$8:A34)+1</f>
        <v>27</v>
      </c>
      <c r="B35" t="s">
        <v>215</v>
      </c>
      <c r="C35" t="s">
        <v>664</v>
      </c>
      <c r="D35" t="s">
        <v>24</v>
      </c>
      <c r="E35" s="28">
        <v>92580</v>
      </c>
      <c r="F35" s="13">
        <v>543.49089000000004</v>
      </c>
      <c r="G35" s="14">
        <f t="shared" si="0"/>
        <v>1.37E-2</v>
      </c>
      <c r="H35" s="15" t="s">
        <v>322</v>
      </c>
    </row>
    <row r="36" spans="1:16" ht="12.75" customHeight="1" x14ac:dyDescent="0.2">
      <c r="A36">
        <f>+MAX($A$8:A35)+1</f>
        <v>28</v>
      </c>
      <c r="B36" t="s">
        <v>212</v>
      </c>
      <c r="C36" t="s">
        <v>76</v>
      </c>
      <c r="D36" t="s">
        <v>49</v>
      </c>
      <c r="E36" s="28">
        <v>207412</v>
      </c>
      <c r="F36" s="13">
        <v>541.55273199999999</v>
      </c>
      <c r="G36" s="14">
        <f t="shared" si="0"/>
        <v>1.37E-2</v>
      </c>
      <c r="H36" s="15" t="s">
        <v>322</v>
      </c>
    </row>
    <row r="37" spans="1:16" ht="12.75" customHeight="1" x14ac:dyDescent="0.2">
      <c r="A37">
        <f>+MAX($A$8:A36)+1</f>
        <v>29</v>
      </c>
      <c r="B37" t="s">
        <v>208</v>
      </c>
      <c r="C37" t="s">
        <v>64</v>
      </c>
      <c r="D37" t="s">
        <v>26</v>
      </c>
      <c r="E37" s="28">
        <v>148268</v>
      </c>
      <c r="F37" s="13">
        <v>493.36176999999998</v>
      </c>
      <c r="G37" s="14">
        <f t="shared" si="0"/>
        <v>1.2500000000000001E-2</v>
      </c>
      <c r="H37" s="15" t="s">
        <v>322</v>
      </c>
    </row>
    <row r="38" spans="1:16" ht="12.75" customHeight="1" x14ac:dyDescent="0.2">
      <c r="A38">
        <f>+MAX($A$8:A37)+1</f>
        <v>30</v>
      </c>
      <c r="B38" t="s">
        <v>190</v>
      </c>
      <c r="C38" t="s">
        <v>50</v>
      </c>
      <c r="D38" t="s">
        <v>39</v>
      </c>
      <c r="E38" s="28">
        <v>588703</v>
      </c>
      <c r="F38" s="13">
        <v>480.38164799999998</v>
      </c>
      <c r="G38" s="14">
        <f t="shared" si="0"/>
        <v>1.21E-2</v>
      </c>
      <c r="H38" s="15" t="s">
        <v>322</v>
      </c>
    </row>
    <row r="39" spans="1:16" ht="12.75" customHeight="1" x14ac:dyDescent="0.2">
      <c r="A39">
        <f>+MAX($A$8:A38)+1</f>
        <v>31</v>
      </c>
      <c r="B39" t="s">
        <v>189</v>
      </c>
      <c r="C39" t="s">
        <v>48</v>
      </c>
      <c r="D39" t="s">
        <v>21</v>
      </c>
      <c r="E39" s="28">
        <v>6246</v>
      </c>
      <c r="F39" s="13">
        <v>478.86832799999996</v>
      </c>
      <c r="G39" s="14">
        <f t="shared" si="0"/>
        <v>1.21E-2</v>
      </c>
      <c r="H39" s="15" t="s">
        <v>322</v>
      </c>
    </row>
    <row r="40" spans="1:16" ht="12.75" customHeight="1" x14ac:dyDescent="0.2">
      <c r="A40">
        <f>+MAX($A$8:A39)+1</f>
        <v>32</v>
      </c>
      <c r="B40" t="s">
        <v>481</v>
      </c>
      <c r="C40" t="s">
        <v>355</v>
      </c>
      <c r="D40" t="s">
        <v>9</v>
      </c>
      <c r="E40" s="28">
        <v>471203</v>
      </c>
      <c r="F40" s="13">
        <v>471.4386015</v>
      </c>
      <c r="G40" s="14">
        <f t="shared" si="0"/>
        <v>1.1900000000000001E-2</v>
      </c>
      <c r="H40" s="15" t="s">
        <v>322</v>
      </c>
    </row>
    <row r="41" spans="1:16" ht="12.75" customHeight="1" x14ac:dyDescent="0.2">
      <c r="A41">
        <f>+MAX($A$8:A40)+1</f>
        <v>33</v>
      </c>
      <c r="B41" t="s">
        <v>286</v>
      </c>
      <c r="C41" t="s">
        <v>287</v>
      </c>
      <c r="D41" t="s">
        <v>9</v>
      </c>
      <c r="E41" s="28">
        <v>248964</v>
      </c>
      <c r="F41" s="13">
        <v>427.96911600000004</v>
      </c>
      <c r="G41" s="14">
        <f t="shared" ref="G41:G71" si="2">+ROUND(F41/VLOOKUP("Grand Total",$B$4:$F$276,5,0),4)</f>
        <v>1.0800000000000001E-2</v>
      </c>
      <c r="H41" s="15" t="s">
        <v>322</v>
      </c>
    </row>
    <row r="42" spans="1:16" ht="12.75" customHeight="1" x14ac:dyDescent="0.2">
      <c r="A42">
        <f>+MAX($A$8:A41)+1</f>
        <v>34</v>
      </c>
      <c r="B42" t="s">
        <v>155</v>
      </c>
      <c r="C42" t="s">
        <v>166</v>
      </c>
      <c r="D42" t="s">
        <v>9</v>
      </c>
      <c r="E42" s="28">
        <v>149524</v>
      </c>
      <c r="F42" s="13">
        <v>425.39578</v>
      </c>
      <c r="G42" s="14">
        <f t="shared" si="2"/>
        <v>1.0800000000000001E-2</v>
      </c>
      <c r="H42" s="15" t="s">
        <v>322</v>
      </c>
    </row>
    <row r="43" spans="1:16" ht="12.75" customHeight="1" x14ac:dyDescent="0.2">
      <c r="A43">
        <f>+MAX($A$8:A42)+1</f>
        <v>35</v>
      </c>
      <c r="B43" t="s">
        <v>365</v>
      </c>
      <c r="C43" t="s">
        <v>66</v>
      </c>
      <c r="D43" t="s">
        <v>21</v>
      </c>
      <c r="E43" s="28">
        <v>74439</v>
      </c>
      <c r="F43" s="13">
        <v>423.18571500000002</v>
      </c>
      <c r="G43" s="14">
        <f t="shared" si="2"/>
        <v>1.0699999999999999E-2</v>
      </c>
      <c r="H43" s="15" t="s">
        <v>322</v>
      </c>
    </row>
    <row r="44" spans="1:16" ht="12.75" customHeight="1" x14ac:dyDescent="0.2">
      <c r="A44">
        <f>+MAX($A$8:A43)+1</f>
        <v>36</v>
      </c>
      <c r="B44" t="s">
        <v>445</v>
      </c>
      <c r="C44" t="s">
        <v>395</v>
      </c>
      <c r="D44" t="s">
        <v>21</v>
      </c>
      <c r="E44" s="28">
        <v>162601</v>
      </c>
      <c r="F44" s="13">
        <v>421.38049150000001</v>
      </c>
      <c r="G44" s="14">
        <f t="shared" si="2"/>
        <v>1.0699999999999999E-2</v>
      </c>
      <c r="H44" s="15" t="s">
        <v>322</v>
      </c>
    </row>
    <row r="45" spans="1:16" ht="12.75" customHeight="1" x14ac:dyDescent="0.2">
      <c r="A45">
        <f>+MAX($A$8:A44)+1</f>
        <v>37</v>
      </c>
      <c r="B45" t="s">
        <v>188</v>
      </c>
      <c r="C45" t="s">
        <v>51</v>
      </c>
      <c r="D45" t="s">
        <v>17</v>
      </c>
      <c r="E45" s="28">
        <v>9782</v>
      </c>
      <c r="F45" s="13">
        <v>410.23751600000003</v>
      </c>
      <c r="G45" s="14">
        <f t="shared" si="2"/>
        <v>1.04E-2</v>
      </c>
      <c r="H45" s="15" t="s">
        <v>322</v>
      </c>
    </row>
    <row r="46" spans="1:16" ht="12.75" customHeight="1" x14ac:dyDescent="0.2">
      <c r="A46">
        <f>+MAX($A$8:A45)+1</f>
        <v>38</v>
      </c>
      <c r="B46" t="s">
        <v>410</v>
      </c>
      <c r="C46" t="s">
        <v>411</v>
      </c>
      <c r="D46" t="s">
        <v>22</v>
      </c>
      <c r="E46" s="28">
        <v>29674</v>
      </c>
      <c r="F46" s="13">
        <v>410.13919100000004</v>
      </c>
      <c r="G46" s="14">
        <f t="shared" si="2"/>
        <v>1.04E-2</v>
      </c>
      <c r="H46" s="15" t="s">
        <v>322</v>
      </c>
    </row>
    <row r="47" spans="1:16" ht="12.75" customHeight="1" x14ac:dyDescent="0.2">
      <c r="A47">
        <f>+MAX($A$8:A46)+1</f>
        <v>39</v>
      </c>
      <c r="B47" t="s">
        <v>226</v>
      </c>
      <c r="C47" t="s">
        <v>109</v>
      </c>
      <c r="D47" t="s">
        <v>13</v>
      </c>
      <c r="E47" s="28">
        <v>60000</v>
      </c>
      <c r="F47" s="13">
        <v>408.45</v>
      </c>
      <c r="G47" s="14">
        <f t="shared" si="2"/>
        <v>1.03E-2</v>
      </c>
      <c r="H47" s="15" t="s">
        <v>322</v>
      </c>
    </row>
    <row r="48" spans="1:16" ht="12.75" customHeight="1" x14ac:dyDescent="0.2">
      <c r="A48">
        <f>+MAX($A$8:A47)+1</f>
        <v>40</v>
      </c>
      <c r="B48" t="s">
        <v>297</v>
      </c>
      <c r="C48" t="s">
        <v>298</v>
      </c>
      <c r="D48" t="s">
        <v>17</v>
      </c>
      <c r="E48" s="28">
        <v>49646</v>
      </c>
      <c r="F48" s="13">
        <v>385.52601299999998</v>
      </c>
      <c r="G48" s="14">
        <f t="shared" si="2"/>
        <v>9.7000000000000003E-3</v>
      </c>
      <c r="H48" s="15" t="s">
        <v>322</v>
      </c>
    </row>
    <row r="49" spans="1:8" ht="12.75" customHeight="1" x14ac:dyDescent="0.2">
      <c r="A49">
        <f>+MAX($A$8:A48)+1</f>
        <v>41</v>
      </c>
      <c r="B49" t="s">
        <v>38</v>
      </c>
      <c r="C49" t="s">
        <v>40</v>
      </c>
      <c r="D49" t="s">
        <v>9</v>
      </c>
      <c r="E49" s="28">
        <v>246565</v>
      </c>
      <c r="F49" s="13">
        <v>378.10742749999997</v>
      </c>
      <c r="G49" s="14">
        <f t="shared" si="2"/>
        <v>9.5999999999999992E-3</v>
      </c>
      <c r="H49" s="15" t="s">
        <v>322</v>
      </c>
    </row>
    <row r="50" spans="1:8" ht="12.75" customHeight="1" x14ac:dyDescent="0.2">
      <c r="A50">
        <f>+MAX($A$8:A49)+1</f>
        <v>42</v>
      </c>
      <c r="B50" t="s">
        <v>199</v>
      </c>
      <c r="C50" t="s">
        <v>59</v>
      </c>
      <c r="D50" t="s">
        <v>21</v>
      </c>
      <c r="E50" s="28">
        <v>63656</v>
      </c>
      <c r="F50" s="13">
        <v>376.55706799999996</v>
      </c>
      <c r="G50" s="14">
        <f t="shared" si="2"/>
        <v>9.4999999999999998E-3</v>
      </c>
      <c r="H50" s="15" t="s">
        <v>322</v>
      </c>
    </row>
    <row r="51" spans="1:8" ht="12.75" customHeight="1" x14ac:dyDescent="0.2">
      <c r="A51">
        <f>+MAX($A$8:A50)+1</f>
        <v>43</v>
      </c>
      <c r="B51" t="s">
        <v>181</v>
      </c>
      <c r="C51" t="s">
        <v>23</v>
      </c>
      <c r="D51" t="s">
        <v>13</v>
      </c>
      <c r="E51" s="28">
        <v>38569</v>
      </c>
      <c r="F51" s="13">
        <v>372.22941900000001</v>
      </c>
      <c r="G51" s="14">
        <f t="shared" si="2"/>
        <v>9.4000000000000004E-3</v>
      </c>
      <c r="H51" s="15" t="s">
        <v>322</v>
      </c>
    </row>
    <row r="52" spans="1:8" ht="12.75" customHeight="1" x14ac:dyDescent="0.2">
      <c r="A52">
        <f>+MAX($A$8:A51)+1</f>
        <v>44</v>
      </c>
      <c r="B52" t="s">
        <v>201</v>
      </c>
      <c r="C52" t="s">
        <v>27</v>
      </c>
      <c r="D52" t="s">
        <v>9</v>
      </c>
      <c r="E52" s="28">
        <v>67240</v>
      </c>
      <c r="F52" s="13">
        <v>370.08895999999999</v>
      </c>
      <c r="G52" s="14">
        <f t="shared" si="2"/>
        <v>9.4000000000000004E-3</v>
      </c>
      <c r="H52" s="15" t="s">
        <v>322</v>
      </c>
    </row>
    <row r="53" spans="1:8" ht="12.75" customHeight="1" x14ac:dyDescent="0.2">
      <c r="A53">
        <f>+MAX($A$8:A52)+1</f>
        <v>45</v>
      </c>
      <c r="B53" s="65" t="s">
        <v>450</v>
      </c>
      <c r="C53" s="65" t="s">
        <v>451</v>
      </c>
      <c r="D53" t="s">
        <v>9</v>
      </c>
      <c r="E53" s="28">
        <v>588497</v>
      </c>
      <c r="F53" s="13">
        <v>365.16238850000002</v>
      </c>
      <c r="G53" s="14">
        <f t="shared" si="2"/>
        <v>9.1999999999999998E-3</v>
      </c>
      <c r="H53" s="15" t="s">
        <v>322</v>
      </c>
    </row>
    <row r="54" spans="1:8" ht="12.75" customHeight="1" x14ac:dyDescent="0.2">
      <c r="A54">
        <f>+MAX($A$8:A53)+1</f>
        <v>46</v>
      </c>
      <c r="B54" t="s">
        <v>204</v>
      </c>
      <c r="C54" t="s">
        <v>61</v>
      </c>
      <c r="D54" t="s">
        <v>34</v>
      </c>
      <c r="E54" s="28">
        <v>97294</v>
      </c>
      <c r="F54" s="13">
        <v>364.463324</v>
      </c>
      <c r="G54" s="14">
        <f t="shared" si="2"/>
        <v>9.1999999999999998E-3</v>
      </c>
      <c r="H54" s="15" t="s">
        <v>322</v>
      </c>
    </row>
    <row r="55" spans="1:8" ht="12.75" customHeight="1" x14ac:dyDescent="0.2">
      <c r="A55">
        <f>+MAX($A$8:A54)+1</f>
        <v>47</v>
      </c>
      <c r="B55" t="s">
        <v>470</v>
      </c>
      <c r="C55" t="s">
        <v>471</v>
      </c>
      <c r="D55" t="s">
        <v>102</v>
      </c>
      <c r="E55" s="28">
        <v>470000</v>
      </c>
      <c r="F55" s="13">
        <v>364.25</v>
      </c>
      <c r="G55" s="14">
        <f t="shared" si="2"/>
        <v>9.1999999999999998E-3</v>
      </c>
      <c r="H55" s="15" t="s">
        <v>322</v>
      </c>
    </row>
    <row r="56" spans="1:8" ht="12.75" customHeight="1" x14ac:dyDescent="0.2">
      <c r="A56">
        <f>+MAX($A$8:A55)+1</f>
        <v>48</v>
      </c>
      <c r="B56" t="s">
        <v>207</v>
      </c>
      <c r="C56" t="s">
        <v>68</v>
      </c>
      <c r="D56" t="s">
        <v>9</v>
      </c>
      <c r="E56" s="28">
        <v>408135</v>
      </c>
      <c r="F56" s="13">
        <v>363.24015000000003</v>
      </c>
      <c r="G56" s="14">
        <f t="shared" si="2"/>
        <v>9.1999999999999998E-3</v>
      </c>
      <c r="H56" s="15" t="s">
        <v>322</v>
      </c>
    </row>
    <row r="57" spans="1:8" ht="12.75" customHeight="1" x14ac:dyDescent="0.2">
      <c r="A57">
        <f>+MAX($A$8:A56)+1</f>
        <v>49</v>
      </c>
      <c r="B57" t="s">
        <v>484</v>
      </c>
      <c r="C57" t="s">
        <v>485</v>
      </c>
      <c r="D57" t="s">
        <v>102</v>
      </c>
      <c r="E57" s="28">
        <v>438469</v>
      </c>
      <c r="F57" s="13">
        <v>361.95615950000001</v>
      </c>
      <c r="G57" s="14">
        <f t="shared" si="2"/>
        <v>9.1000000000000004E-3</v>
      </c>
      <c r="H57" s="15" t="s">
        <v>322</v>
      </c>
    </row>
    <row r="58" spans="1:8" ht="12.75" customHeight="1" x14ac:dyDescent="0.2">
      <c r="A58">
        <f>+MAX($A$8:A57)+1</f>
        <v>50</v>
      </c>
      <c r="B58" t="s">
        <v>318</v>
      </c>
      <c r="C58" t="s">
        <v>319</v>
      </c>
      <c r="D58" t="s">
        <v>36</v>
      </c>
      <c r="E58" s="28">
        <v>499724</v>
      </c>
      <c r="F58" s="13">
        <v>360.55086600000004</v>
      </c>
      <c r="G58" s="14">
        <f t="shared" si="2"/>
        <v>9.1000000000000004E-3</v>
      </c>
      <c r="H58" s="15" t="s">
        <v>322</v>
      </c>
    </row>
    <row r="59" spans="1:8" ht="12.75" customHeight="1" x14ac:dyDescent="0.2">
      <c r="A59">
        <f>+MAX($A$8:A58)+1</f>
        <v>51</v>
      </c>
      <c r="B59" t="s">
        <v>510</v>
      </c>
      <c r="C59" t="s">
        <v>511</v>
      </c>
      <c r="D59" t="s">
        <v>35</v>
      </c>
      <c r="E59" s="28">
        <v>38581</v>
      </c>
      <c r="F59" s="13">
        <v>358.68755700000003</v>
      </c>
      <c r="G59" s="14">
        <f t="shared" si="2"/>
        <v>9.1000000000000004E-3</v>
      </c>
      <c r="H59" s="15" t="s">
        <v>322</v>
      </c>
    </row>
    <row r="60" spans="1:8" ht="12.75" customHeight="1" x14ac:dyDescent="0.2">
      <c r="A60">
        <f>+MAX($A$8:A59)+1</f>
        <v>52</v>
      </c>
      <c r="B60" t="s">
        <v>225</v>
      </c>
      <c r="C60" t="s">
        <v>108</v>
      </c>
      <c r="D60" t="s">
        <v>19</v>
      </c>
      <c r="E60" s="28">
        <v>10848</v>
      </c>
      <c r="F60" s="13">
        <v>357.381936</v>
      </c>
      <c r="G60" s="14">
        <f t="shared" si="2"/>
        <v>8.9999999999999993E-3</v>
      </c>
      <c r="H60" s="15" t="s">
        <v>322</v>
      </c>
    </row>
    <row r="61" spans="1:8" ht="12.75" customHeight="1" x14ac:dyDescent="0.2">
      <c r="A61">
        <f>+MAX($A$8:A60)+1</f>
        <v>53</v>
      </c>
      <c r="B61" t="s">
        <v>214</v>
      </c>
      <c r="C61" t="s">
        <v>78</v>
      </c>
      <c r="D61" t="s">
        <v>43</v>
      </c>
      <c r="E61" s="28">
        <v>125426</v>
      </c>
      <c r="F61" s="13">
        <v>351.25551299999995</v>
      </c>
      <c r="G61" s="14">
        <f t="shared" si="2"/>
        <v>8.8999999999999999E-3</v>
      </c>
      <c r="H61" s="15" t="s">
        <v>322</v>
      </c>
    </row>
    <row r="62" spans="1:8" ht="12.75" customHeight="1" x14ac:dyDescent="0.2">
      <c r="A62">
        <f>+MAX($A$8:A61)+1</f>
        <v>54</v>
      </c>
      <c r="B62" t="s">
        <v>408</v>
      </c>
      <c r="C62" t="s">
        <v>409</v>
      </c>
      <c r="D62" t="s">
        <v>41</v>
      </c>
      <c r="E62" s="28">
        <v>40485</v>
      </c>
      <c r="F62" s="13">
        <v>338.47484250000002</v>
      </c>
      <c r="G62" s="14">
        <f t="shared" si="2"/>
        <v>8.6E-3</v>
      </c>
      <c r="H62" s="15" t="s">
        <v>322</v>
      </c>
    </row>
    <row r="63" spans="1:8" ht="12.75" customHeight="1" x14ac:dyDescent="0.2">
      <c r="A63">
        <f>+MAX($A$8:A62)+1</f>
        <v>55</v>
      </c>
      <c r="B63" t="s">
        <v>183</v>
      </c>
      <c r="C63" t="s">
        <v>37</v>
      </c>
      <c r="D63" t="s">
        <v>19</v>
      </c>
      <c r="E63" s="28">
        <v>12020</v>
      </c>
      <c r="F63" s="13">
        <v>324.54601000000002</v>
      </c>
      <c r="G63" s="14">
        <f t="shared" si="2"/>
        <v>8.2000000000000007E-3</v>
      </c>
      <c r="H63" s="15" t="s">
        <v>322</v>
      </c>
    </row>
    <row r="64" spans="1:8" ht="12.75" customHeight="1" x14ac:dyDescent="0.2">
      <c r="A64">
        <f>+MAX($A$8:A63)+1</f>
        <v>56</v>
      </c>
      <c r="B64" t="s">
        <v>446</v>
      </c>
      <c r="C64" t="s">
        <v>447</v>
      </c>
      <c r="D64" t="s">
        <v>127</v>
      </c>
      <c r="E64" s="28">
        <v>151654</v>
      </c>
      <c r="F64" s="13">
        <v>298.00011000000001</v>
      </c>
      <c r="G64" s="14">
        <f t="shared" si="2"/>
        <v>7.4999999999999997E-3</v>
      </c>
      <c r="H64" s="15" t="s">
        <v>322</v>
      </c>
    </row>
    <row r="65" spans="1:9" ht="12.75" customHeight="1" x14ac:dyDescent="0.2">
      <c r="A65">
        <f>+MAX($A$8:A64)+1</f>
        <v>57</v>
      </c>
      <c r="B65" t="s">
        <v>516</v>
      </c>
      <c r="C65" t="s">
        <v>517</v>
      </c>
      <c r="D65" t="s">
        <v>30</v>
      </c>
      <c r="E65" s="28">
        <v>146000</v>
      </c>
      <c r="F65" s="13">
        <v>297.32900000000001</v>
      </c>
      <c r="G65" s="14">
        <f t="shared" si="2"/>
        <v>7.4999999999999997E-3</v>
      </c>
      <c r="H65" s="15" t="s">
        <v>322</v>
      </c>
    </row>
    <row r="66" spans="1:9" ht="12.75" customHeight="1" x14ac:dyDescent="0.2">
      <c r="A66">
        <f>+MAX($A$8:A65)+1</f>
        <v>58</v>
      </c>
      <c r="B66" t="s">
        <v>448</v>
      </c>
      <c r="C66" t="s">
        <v>449</v>
      </c>
      <c r="D66" t="s">
        <v>43</v>
      </c>
      <c r="E66" s="28">
        <v>454547</v>
      </c>
      <c r="F66" s="13">
        <v>279.77367850000002</v>
      </c>
      <c r="G66" s="14">
        <f t="shared" si="2"/>
        <v>7.1000000000000004E-3</v>
      </c>
      <c r="H66" s="15" t="s">
        <v>322</v>
      </c>
    </row>
    <row r="67" spans="1:9" ht="12.75" customHeight="1" x14ac:dyDescent="0.2">
      <c r="A67">
        <f>+MAX($A$8:A66)+1</f>
        <v>59</v>
      </c>
      <c r="B67" t="s">
        <v>198</v>
      </c>
      <c r="C67" t="s">
        <v>63</v>
      </c>
      <c r="D67" t="s">
        <v>32</v>
      </c>
      <c r="E67" s="28">
        <v>63471</v>
      </c>
      <c r="F67" s="13">
        <v>247.91772600000002</v>
      </c>
      <c r="G67" s="14">
        <f t="shared" si="2"/>
        <v>6.3E-3</v>
      </c>
      <c r="H67" s="15" t="s">
        <v>322</v>
      </c>
    </row>
    <row r="68" spans="1:9" ht="12.75" customHeight="1" x14ac:dyDescent="0.2">
      <c r="A68">
        <f>+MAX($A$8:A67)+1</f>
        <v>60</v>
      </c>
      <c r="B68" t="s">
        <v>191</v>
      </c>
      <c r="C68" t="s">
        <v>31</v>
      </c>
      <c r="D68" t="s">
        <v>17</v>
      </c>
      <c r="E68" s="28">
        <v>32195</v>
      </c>
      <c r="F68" s="13">
        <v>247.32199</v>
      </c>
      <c r="G68" s="14">
        <f t="shared" si="2"/>
        <v>6.3E-3</v>
      </c>
      <c r="H68" s="15" t="s">
        <v>322</v>
      </c>
    </row>
    <row r="69" spans="1:9" ht="12.75" customHeight="1" x14ac:dyDescent="0.2">
      <c r="A69">
        <f>+MAX($A$8:A68)+1</f>
        <v>61</v>
      </c>
      <c r="B69" t="s">
        <v>482</v>
      </c>
      <c r="C69" t="s">
        <v>483</v>
      </c>
      <c r="D69" t="s">
        <v>9</v>
      </c>
      <c r="E69" s="28">
        <v>442985</v>
      </c>
      <c r="F69" s="13">
        <v>200.22922</v>
      </c>
      <c r="G69" s="14">
        <f t="shared" si="2"/>
        <v>5.1000000000000004E-3</v>
      </c>
      <c r="H69" s="15" t="s">
        <v>322</v>
      </c>
    </row>
    <row r="70" spans="1:9" ht="12.75" customHeight="1" x14ac:dyDescent="0.2">
      <c r="A70">
        <f>+MAX($A$8:A69)+1</f>
        <v>62</v>
      </c>
      <c r="B70" t="s">
        <v>366</v>
      </c>
      <c r="C70" t="s">
        <v>367</v>
      </c>
      <c r="D70" t="s">
        <v>368</v>
      </c>
      <c r="E70" s="28">
        <v>118442</v>
      </c>
      <c r="F70" s="13">
        <v>196.96904600000002</v>
      </c>
      <c r="G70" s="14">
        <f t="shared" si="2"/>
        <v>5.0000000000000001E-3</v>
      </c>
      <c r="H70" s="15" t="s">
        <v>322</v>
      </c>
    </row>
    <row r="71" spans="1:9" ht="12.75" customHeight="1" x14ac:dyDescent="0.2">
      <c r="A71">
        <f>+MAX($A$8:A70)+1</f>
        <v>63</v>
      </c>
      <c r="B71" t="s">
        <v>284</v>
      </c>
      <c r="C71" t="s">
        <v>70</v>
      </c>
      <c r="D71" t="s">
        <v>26</v>
      </c>
      <c r="E71" s="28">
        <v>838614</v>
      </c>
      <c r="F71" s="13">
        <v>98.117838000000006</v>
      </c>
      <c r="G71" s="14">
        <f t="shared" si="2"/>
        <v>2.5000000000000001E-3</v>
      </c>
      <c r="H71" s="15" t="s">
        <v>322</v>
      </c>
    </row>
    <row r="72" spans="1:9" ht="12.75" customHeight="1" x14ac:dyDescent="0.2">
      <c r="A72">
        <f>+MAX($A$8:A71)+1</f>
        <v>64</v>
      </c>
      <c r="B72" t="s">
        <v>203</v>
      </c>
      <c r="C72" t="s">
        <v>73</v>
      </c>
      <c r="D72" t="s">
        <v>34</v>
      </c>
      <c r="E72" s="28">
        <v>2533170</v>
      </c>
      <c r="F72" s="13">
        <v>93.727289999999996</v>
      </c>
      <c r="G72" s="14">
        <f t="shared" ref="G72" si="3">+ROUND(F72/VLOOKUP("Grand Total",$B$4:$F$276,5,0),4)</f>
        <v>2.3999999999999998E-3</v>
      </c>
      <c r="H72" s="15" t="s">
        <v>322</v>
      </c>
    </row>
    <row r="73" spans="1:9" ht="12.75" customHeight="1" x14ac:dyDescent="0.2">
      <c r="A73">
        <f>+MAX($A$8:A72)+1</f>
        <v>65</v>
      </c>
      <c r="B73" t="s">
        <v>387</v>
      </c>
      <c r="C73" s="120" t="s">
        <v>704</v>
      </c>
      <c r="D73" t="s">
        <v>36</v>
      </c>
      <c r="E73" s="28">
        <v>2250</v>
      </c>
      <c r="F73" s="13">
        <v>0</v>
      </c>
      <c r="G73" s="107" t="s">
        <v>443</v>
      </c>
      <c r="H73" s="15" t="s">
        <v>322</v>
      </c>
    </row>
    <row r="74" spans="1:9" ht="12.75" customHeight="1" x14ac:dyDescent="0.2">
      <c r="A74">
        <f>+MAX($A$8:A73)+1</f>
        <v>66</v>
      </c>
      <c r="B74" t="s">
        <v>462</v>
      </c>
      <c r="C74" t="s">
        <v>81</v>
      </c>
      <c r="D74" t="s">
        <v>98</v>
      </c>
      <c r="E74" s="28">
        <v>374002</v>
      </c>
      <c r="F74" s="13">
        <v>0</v>
      </c>
      <c r="G74" s="107" t="s">
        <v>443</v>
      </c>
      <c r="H74" s="15" t="s">
        <v>322</v>
      </c>
    </row>
    <row r="75" spans="1:9" ht="12.75" customHeight="1" x14ac:dyDescent="0.2">
      <c r="B75" s="18" t="s">
        <v>82</v>
      </c>
      <c r="C75" s="18"/>
      <c r="D75" s="18"/>
      <c r="E75" s="29"/>
      <c r="F75" s="19">
        <f>SUM(F9:F74)</f>
        <v>38442.811329499971</v>
      </c>
      <c r="G75" s="20">
        <f>SUM(G9:G74)</f>
        <v>0.97209999999999985</v>
      </c>
      <c r="H75" s="21"/>
      <c r="I75" s="49"/>
    </row>
    <row r="76" spans="1:9" ht="12.75" customHeight="1" x14ac:dyDescent="0.2">
      <c r="F76" s="13"/>
      <c r="G76" s="14"/>
      <c r="H76" s="15"/>
    </row>
    <row r="77" spans="1:9" ht="12.75" customHeight="1" x14ac:dyDescent="0.2">
      <c r="B77" s="16" t="s">
        <v>91</v>
      </c>
      <c r="C77" s="16"/>
      <c r="F77" s="13"/>
      <c r="G77" s="14"/>
      <c r="H77" s="15"/>
    </row>
    <row r="78" spans="1:9" ht="12.75" customHeight="1" x14ac:dyDescent="0.2">
      <c r="A78" s="94" t="s">
        <v>321</v>
      </c>
      <c r="B78" s="16" t="s">
        <v>658</v>
      </c>
      <c r="C78" s="16"/>
      <c r="F78" s="13">
        <v>1865.6682900000001</v>
      </c>
      <c r="G78" s="14">
        <f>+ROUND(F78/VLOOKUP("Grand Total",$B$4:$F$276,5,0),4)</f>
        <v>4.7199999999999999E-2</v>
      </c>
      <c r="H78" s="15">
        <v>43313</v>
      </c>
    </row>
    <row r="79" spans="1:9" ht="12.75" customHeight="1" x14ac:dyDescent="0.2">
      <c r="B79" s="16" t="s">
        <v>92</v>
      </c>
      <c r="C79" s="16"/>
      <c r="F79" s="79">
        <v>-746.31637259999843</v>
      </c>
      <c r="G79" s="127">
        <f>+ROUND(F79/VLOOKUP("Grand Total",$B$4:$F$276,5,0),4)-0.04%</f>
        <v>-1.9300000000000001E-2</v>
      </c>
      <c r="H79" s="15"/>
    </row>
    <row r="80" spans="1:9" ht="12.75" customHeight="1" x14ac:dyDescent="0.2">
      <c r="B80" s="18" t="s">
        <v>82</v>
      </c>
      <c r="C80" s="18"/>
      <c r="D80" s="18"/>
      <c r="E80" s="29"/>
      <c r="F80" s="19">
        <f>SUM(F78:F79)</f>
        <v>1119.3519174000016</v>
      </c>
      <c r="G80" s="20">
        <f>SUM(G78:G79)</f>
        <v>2.7899999999999998E-2</v>
      </c>
      <c r="H80" s="21"/>
      <c r="I80" s="35"/>
    </row>
    <row r="81" spans="2:9" ht="12.75" customHeight="1" x14ac:dyDescent="0.2">
      <c r="B81" s="22" t="s">
        <v>93</v>
      </c>
      <c r="C81" s="22"/>
      <c r="D81" s="22"/>
      <c r="E81" s="30"/>
      <c r="F81" s="23">
        <f>+SUMIF($B$5:B80,"Total",$F$5:F80)</f>
        <v>39562.163246899974</v>
      </c>
      <c r="G81" s="24">
        <f>+SUMIF($B$5:B80,"Total",$G$5:G80)</f>
        <v>0.99999999999999989</v>
      </c>
      <c r="H81" s="25"/>
      <c r="I81" s="35"/>
    </row>
    <row r="82" spans="2:9" ht="12.75" customHeight="1" x14ac:dyDescent="0.2"/>
    <row r="83" spans="2:9" ht="12.75" customHeight="1" x14ac:dyDescent="0.2">
      <c r="B83" s="16" t="s">
        <v>172</v>
      </c>
      <c r="C83" s="16"/>
    </row>
    <row r="84" spans="2:9" ht="12.75" customHeight="1" x14ac:dyDescent="0.2">
      <c r="B84" s="16" t="s">
        <v>174</v>
      </c>
      <c r="C84" s="16"/>
      <c r="F84" s="43"/>
      <c r="G84" s="43"/>
    </row>
    <row r="85" spans="2:9" ht="12.75" customHeight="1" x14ac:dyDescent="0.2">
      <c r="B85" s="16" t="s">
        <v>171</v>
      </c>
      <c r="C85" s="16"/>
    </row>
    <row r="86" spans="2:9" ht="12.75" customHeight="1" x14ac:dyDescent="0.2">
      <c r="B86" s="53" t="s">
        <v>274</v>
      </c>
    </row>
    <row r="87" spans="2:9" ht="12.75" customHeight="1" x14ac:dyDescent="0.2"/>
    <row r="88" spans="2:9" ht="12.75" customHeight="1" x14ac:dyDescent="0.2"/>
    <row r="89" spans="2:9" ht="12.75" customHeight="1" x14ac:dyDescent="0.2"/>
    <row r="90" spans="2:9" ht="12.75" customHeight="1" x14ac:dyDescent="0.2"/>
    <row r="91" spans="2:9" ht="12.75" customHeight="1" x14ac:dyDescent="0.2"/>
    <row r="92" spans="2:9" ht="12.75" customHeight="1" x14ac:dyDescent="0.2"/>
    <row r="93" spans="2:9" ht="12.75" customHeight="1" x14ac:dyDescent="0.2"/>
    <row r="94" spans="2:9" ht="12.75" customHeight="1" x14ac:dyDescent="0.2"/>
    <row r="95" spans="2:9" ht="12.75" customHeight="1" x14ac:dyDescent="0.2"/>
    <row r="96" spans="2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</sheetData>
  <sortState ref="J8:K28">
    <sortCondition descending="1" ref="K10:K30"/>
  </sortState>
  <mergeCells count="1">
    <mergeCell ref="B1:H1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1"/>
  <sheetViews>
    <sheetView zoomScaleNormal="100" workbookViewId="0"/>
  </sheetViews>
  <sheetFormatPr defaultColWidth="9.140625" defaultRowHeight="12.75" x14ac:dyDescent="0.2"/>
  <cols>
    <col min="1" max="1" width="6.42578125" bestFit="1" customWidth="1"/>
    <col min="2" max="2" width="63" customWidth="1"/>
    <col min="3" max="3" width="13.28515625" bestFit="1" customWidth="1"/>
    <col min="4" max="4" width="14.85546875" bestFit="1" customWidth="1"/>
    <col min="5" max="5" width="11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33" customWidth="1"/>
    <col min="10" max="10" width="16.28515625" bestFit="1" customWidth="1"/>
    <col min="11" max="11" width="8" style="36" bestFit="1" customWidth="1"/>
  </cols>
  <sheetData>
    <row r="1" spans="1:13" ht="18.75" x14ac:dyDescent="0.2">
      <c r="A1" s="93" t="s">
        <v>330</v>
      </c>
      <c r="B1" s="129" t="s">
        <v>154</v>
      </c>
      <c r="C1" s="130"/>
      <c r="D1" s="130"/>
      <c r="E1" s="130"/>
      <c r="F1" s="130"/>
      <c r="G1" s="130"/>
      <c r="H1" s="131"/>
    </row>
    <row r="2" spans="1:13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3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3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3" ht="12.75" customHeight="1" x14ac:dyDescent="0.2">
      <c r="F5" s="13"/>
      <c r="G5" s="14"/>
      <c r="H5" s="15"/>
    </row>
    <row r="6" spans="1:13" ht="12.75" customHeight="1" x14ac:dyDescent="0.2">
      <c r="F6" s="13"/>
      <c r="G6" s="14"/>
      <c r="H6" s="15"/>
    </row>
    <row r="7" spans="1:13" ht="12.75" customHeight="1" x14ac:dyDescent="0.2">
      <c r="B7" s="31" t="s">
        <v>169</v>
      </c>
      <c r="F7" s="13"/>
      <c r="G7" s="14"/>
      <c r="H7" s="15"/>
    </row>
    <row r="8" spans="1:13" ht="12.75" customHeight="1" x14ac:dyDescent="0.2">
      <c r="B8" s="31" t="s">
        <v>170</v>
      </c>
      <c r="C8" s="16"/>
      <c r="F8" s="13"/>
      <c r="G8" s="14"/>
      <c r="H8" s="15"/>
      <c r="J8" s="17" t="s">
        <v>509</v>
      </c>
      <c r="K8" s="37" t="s">
        <v>11</v>
      </c>
    </row>
    <row r="9" spans="1:13" ht="12.75" customHeight="1" x14ac:dyDescent="0.2">
      <c r="A9">
        <f>+MAX($A$8:A8)+1</f>
        <v>1</v>
      </c>
      <c r="B9" t="s">
        <v>638</v>
      </c>
      <c r="C9" s="120" t="s">
        <v>639</v>
      </c>
      <c r="D9" t="s">
        <v>285</v>
      </c>
      <c r="E9" s="28">
        <v>145049.42139999999</v>
      </c>
      <c r="F9" s="13">
        <v>1756.4179487000001</v>
      </c>
      <c r="G9" s="14">
        <f>+ROUND(F9/VLOOKUP("Grand Total",$B$4:$F$286,5,0),4)</f>
        <v>0.96789999999999998</v>
      </c>
      <c r="H9" s="15" t="s">
        <v>322</v>
      </c>
      <c r="J9" s="14" t="s">
        <v>285</v>
      </c>
      <c r="K9" s="48">
        <f>SUMIFS($G$5:$G$319,$D$5:$D$319,J9)</f>
        <v>0.96789999999999998</v>
      </c>
    </row>
    <row r="10" spans="1:13" ht="12.75" customHeight="1" x14ac:dyDescent="0.2">
      <c r="B10" s="18" t="s">
        <v>82</v>
      </c>
      <c r="C10" s="18"/>
      <c r="D10" s="18"/>
      <c r="E10" s="29"/>
      <c r="F10" s="19">
        <f>SUM(F9)</f>
        <v>1756.4179487000001</v>
      </c>
      <c r="G10" s="20">
        <f>SUM(G9)</f>
        <v>0.96789999999999998</v>
      </c>
      <c r="H10" s="21"/>
      <c r="I10" s="35"/>
      <c r="J10" s="14" t="s">
        <v>62</v>
      </c>
      <c r="K10" s="48">
        <f>+SUMIFS($G$5:$G$996,$B$5:$B$996,"CBLO / Reverse Repo")+SUMIFS($G$5:$G$996,$B$5:$B$996,"Net Receivable/Payable")</f>
        <v>3.2100000000000004E-2</v>
      </c>
    </row>
    <row r="11" spans="1:13" ht="12.75" customHeight="1" x14ac:dyDescent="0.2">
      <c r="F11" s="13"/>
      <c r="G11" s="14"/>
      <c r="H11" s="15"/>
      <c r="J11" s="14"/>
      <c r="K11" s="48"/>
    </row>
    <row r="12" spans="1:13" ht="12.75" customHeight="1" x14ac:dyDescent="0.2">
      <c r="B12" s="16" t="s">
        <v>91</v>
      </c>
      <c r="C12" s="16"/>
      <c r="F12" s="13"/>
      <c r="G12" s="14"/>
      <c r="H12" s="15"/>
    </row>
    <row r="13" spans="1:13" ht="12.75" customHeight="1" x14ac:dyDescent="0.2">
      <c r="A13" s="94" t="s">
        <v>321</v>
      </c>
      <c r="B13" s="16" t="s">
        <v>658</v>
      </c>
      <c r="C13" s="16"/>
      <c r="F13" s="13">
        <v>100.63647</v>
      </c>
      <c r="G13" s="14">
        <f>+ROUND(F13/VLOOKUP("Grand Total",$B$4:$F$286,5,0),4)</f>
        <v>5.5500000000000001E-2</v>
      </c>
      <c r="H13" s="15">
        <v>43313</v>
      </c>
      <c r="J13" s="14"/>
      <c r="L13" s="54"/>
      <c r="M13" s="62"/>
    </row>
    <row r="14" spans="1:13" ht="12.75" customHeight="1" x14ac:dyDescent="0.2">
      <c r="B14" s="16" t="s">
        <v>92</v>
      </c>
      <c r="C14" s="16"/>
      <c r="F14" s="43">
        <v>-42.30707150000012</v>
      </c>
      <c r="G14" s="121">
        <f>+ROUND(F14/VLOOKUP("Grand Total",$B$4:$F$286,5,0),4)-0.01%</f>
        <v>-2.3400000000000001E-2</v>
      </c>
      <c r="H14" s="15"/>
    </row>
    <row r="15" spans="1:13" ht="12.75" customHeight="1" x14ac:dyDescent="0.2">
      <c r="B15" s="18" t="s">
        <v>82</v>
      </c>
      <c r="C15" s="18"/>
      <c r="D15" s="18"/>
      <c r="E15" s="29"/>
      <c r="F15" s="50">
        <f>SUM(F13:F14)</f>
        <v>58.329398499999883</v>
      </c>
      <c r="G15" s="20">
        <f>SUM(G13:G14)</f>
        <v>3.2100000000000004E-2</v>
      </c>
      <c r="H15" s="21"/>
      <c r="I15" s="35"/>
    </row>
    <row r="16" spans="1:13" ht="12.75" customHeight="1" x14ac:dyDescent="0.2">
      <c r="B16" s="22" t="s">
        <v>93</v>
      </c>
      <c r="C16" s="22"/>
      <c r="D16" s="22"/>
      <c r="E16" s="30"/>
      <c r="F16" s="23">
        <f>+SUMIF($B$5:B15,"Total",$F$5:F15)</f>
        <v>1814.7473471999999</v>
      </c>
      <c r="G16" s="24">
        <f>+SUMIF($B$5:B15,"Total",$G$5:G15)</f>
        <v>1</v>
      </c>
      <c r="H16" s="25"/>
      <c r="I16" s="35"/>
    </row>
    <row r="17" spans="2:7" ht="12.75" customHeight="1" x14ac:dyDescent="0.2"/>
    <row r="18" spans="2:7" ht="12.75" customHeight="1" x14ac:dyDescent="0.2">
      <c r="B18" s="16"/>
      <c r="C18" s="16"/>
      <c r="G18" s="87"/>
    </row>
    <row r="19" spans="2:7" ht="12.75" customHeight="1" x14ac:dyDescent="0.2">
      <c r="B19" s="16"/>
      <c r="C19" s="16"/>
    </row>
    <row r="20" spans="2:7" ht="12.75" customHeight="1" x14ac:dyDescent="0.2">
      <c r="B20" s="16"/>
      <c r="C20" s="16"/>
    </row>
    <row r="21" spans="2:7" ht="12.75" customHeight="1" x14ac:dyDescent="0.2">
      <c r="B21" s="16"/>
      <c r="C21" s="16"/>
    </row>
    <row r="22" spans="2:7" ht="12.75" customHeight="1" x14ac:dyDescent="0.2">
      <c r="B22" s="16"/>
      <c r="C22" s="16"/>
    </row>
    <row r="23" spans="2:7" ht="12.75" customHeight="1" x14ac:dyDescent="0.2"/>
    <row r="24" spans="2:7" ht="12.75" customHeight="1" x14ac:dyDescent="0.2"/>
    <row r="25" spans="2:7" ht="12.75" customHeight="1" x14ac:dyDescent="0.2"/>
    <row r="26" spans="2:7" ht="12.75" customHeight="1" x14ac:dyDescent="0.2"/>
    <row r="27" spans="2:7" ht="12.75" customHeight="1" x14ac:dyDescent="0.2"/>
    <row r="28" spans="2:7" ht="12.75" customHeight="1" x14ac:dyDescent="0.2"/>
    <row r="29" spans="2:7" ht="12.75" customHeight="1" x14ac:dyDescent="0.2"/>
    <row r="30" spans="2:7" ht="12.75" customHeight="1" x14ac:dyDescent="0.2"/>
    <row r="31" spans="2:7" ht="12.75" customHeight="1" x14ac:dyDescent="0.2"/>
    <row r="32" spans="2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</sheetData>
  <mergeCells count="1">
    <mergeCell ref="B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96"/>
  <sheetViews>
    <sheetView workbookViewId="0"/>
  </sheetViews>
  <sheetFormatPr defaultColWidth="9.140625" defaultRowHeight="12.75" x14ac:dyDescent="0.2"/>
  <cols>
    <col min="1" max="1" width="6.42578125" bestFit="1" customWidth="1"/>
    <col min="2" max="2" width="55" customWidth="1"/>
    <col min="3" max="3" width="14.28515625" bestFit="1" customWidth="1"/>
    <col min="4" max="4" width="14.85546875" bestFit="1" customWidth="1"/>
    <col min="5" max="5" width="12.85546875" style="28" customWidth="1"/>
    <col min="6" max="6" width="22.7109375" bestFit="1" customWidth="1"/>
    <col min="7" max="7" width="14" bestFit="1" customWidth="1"/>
    <col min="8" max="8" width="11.85546875" bestFit="1" customWidth="1"/>
    <col min="9" max="9" width="15" style="73" customWidth="1"/>
    <col min="10" max="10" width="16.28515625" bestFit="1" customWidth="1"/>
    <col min="11" max="11" width="8" style="36" customWidth="1"/>
  </cols>
  <sheetData>
    <row r="1" spans="1:16" ht="18.75" x14ac:dyDescent="0.2">
      <c r="A1" s="93" t="s">
        <v>331</v>
      </c>
      <c r="B1" s="129" t="s">
        <v>292</v>
      </c>
      <c r="C1" s="130"/>
      <c r="D1" s="130"/>
      <c r="E1" s="130"/>
      <c r="F1" s="130"/>
      <c r="G1" s="130"/>
      <c r="H1" s="131"/>
    </row>
    <row r="2" spans="1:16" x14ac:dyDescent="0.2">
      <c r="A2" s="95" t="s">
        <v>0</v>
      </c>
      <c r="B2" s="3" t="s">
        <v>706</v>
      </c>
      <c r="C2" s="3"/>
      <c r="D2" s="4"/>
      <c r="E2" s="27"/>
      <c r="F2" s="5"/>
      <c r="G2" s="6"/>
      <c r="H2" s="6"/>
    </row>
    <row r="3" spans="1:16" ht="15.75" customHeight="1" x14ac:dyDescent="0.2">
      <c r="A3" s="7"/>
      <c r="B3" s="8"/>
      <c r="C3" s="8"/>
      <c r="D3" s="2"/>
      <c r="E3" s="27"/>
      <c r="F3" s="5"/>
      <c r="G3" s="6"/>
      <c r="H3" s="6"/>
    </row>
    <row r="4" spans="1:16" x14ac:dyDescent="0.2">
      <c r="A4" s="9" t="s">
        <v>1</v>
      </c>
      <c r="B4" s="10" t="s">
        <v>2</v>
      </c>
      <c r="C4" s="10" t="s">
        <v>7</v>
      </c>
      <c r="D4" s="10" t="s">
        <v>3</v>
      </c>
      <c r="E4" s="26" t="s">
        <v>168</v>
      </c>
      <c r="F4" s="11" t="s">
        <v>4</v>
      </c>
      <c r="G4" s="12" t="s">
        <v>5</v>
      </c>
      <c r="H4" s="32" t="s">
        <v>6</v>
      </c>
      <c r="I4" s="34"/>
    </row>
    <row r="5" spans="1:16" ht="12.75" customHeight="1" x14ac:dyDescent="0.2">
      <c r="F5" s="13"/>
      <c r="G5" s="14"/>
      <c r="H5" s="15"/>
    </row>
    <row r="6" spans="1:16" ht="12.75" customHeight="1" x14ac:dyDescent="0.2">
      <c r="F6" s="13"/>
      <c r="G6" s="14"/>
      <c r="H6" s="15"/>
      <c r="I6" s="97"/>
    </row>
    <row r="7" spans="1:16" ht="12.75" customHeight="1" x14ac:dyDescent="0.2">
      <c r="B7" s="16" t="s">
        <v>88</v>
      </c>
      <c r="C7" s="16"/>
      <c r="F7" s="13"/>
      <c r="G7" s="14"/>
      <c r="H7" s="15"/>
    </row>
    <row r="8" spans="1:16" ht="12.75" customHeight="1" x14ac:dyDescent="0.2">
      <c r="B8" s="16" t="s">
        <v>761</v>
      </c>
      <c r="C8" s="16"/>
      <c r="F8" s="13"/>
      <c r="G8" s="14"/>
      <c r="H8" s="15"/>
      <c r="J8" s="17" t="s">
        <v>509</v>
      </c>
      <c r="K8" s="37" t="s">
        <v>11</v>
      </c>
      <c r="M8" s="14"/>
      <c r="N8" s="36"/>
      <c r="P8" s="14"/>
    </row>
    <row r="9" spans="1:16" ht="12.75" customHeight="1" x14ac:dyDescent="0.2">
      <c r="A9">
        <f>+MAX($A$1:A8)+1</f>
        <v>1</v>
      </c>
      <c r="B9" s="65" t="s">
        <v>176</v>
      </c>
      <c r="C9" s="65" t="s">
        <v>728</v>
      </c>
      <c r="D9" t="s">
        <v>729</v>
      </c>
      <c r="E9" s="28">
        <v>4450</v>
      </c>
      <c r="F9" s="13">
        <v>4259.4777000000004</v>
      </c>
      <c r="G9" s="14">
        <f>+ROUND(F9/VLOOKUP("Grand Total",$B$4:$F$275,5,0),4)</f>
        <v>7.3099999999999998E-2</v>
      </c>
      <c r="H9" s="15">
        <v>43532</v>
      </c>
      <c r="I9" s="98"/>
      <c r="J9" s="14" t="s">
        <v>152</v>
      </c>
      <c r="K9" s="48">
        <f>SUMIFS($G$5:$G$308,$D$5:$D$308,J9)</f>
        <v>0.25319999999999998</v>
      </c>
      <c r="M9" s="14"/>
      <c r="N9" s="36"/>
      <c r="P9" s="14"/>
    </row>
    <row r="10" spans="1:16" ht="12.75" customHeight="1" x14ac:dyDescent="0.2">
      <c r="A10">
        <f>+MAX($A$1:A9)+1</f>
        <v>2</v>
      </c>
      <c r="B10" s="65" t="s">
        <v>762</v>
      </c>
      <c r="C10" s="65" t="s">
        <v>680</v>
      </c>
      <c r="D10" t="s">
        <v>152</v>
      </c>
      <c r="E10" s="28">
        <v>2500</v>
      </c>
      <c r="F10" s="13">
        <v>2342.6475</v>
      </c>
      <c r="G10" s="14">
        <f>+ROUND(F10/VLOOKUP("Grand Total",$B$4:$F$275,5,0),4)</f>
        <v>4.02E-2</v>
      </c>
      <c r="H10" s="15">
        <v>43621</v>
      </c>
      <c r="I10" s="98"/>
      <c r="J10" s="14" t="s">
        <v>315</v>
      </c>
      <c r="K10" s="48">
        <f>SUMIFS($G$5:$G$308,$D$5:$D$308,J10)</f>
        <v>0.1694</v>
      </c>
      <c r="M10" s="14"/>
      <c r="N10" s="36"/>
      <c r="P10" s="14"/>
    </row>
    <row r="11" spans="1:16" ht="12.75" customHeight="1" x14ac:dyDescent="0.2">
      <c r="A11">
        <f>+MAX($A$1:A10)+1</f>
        <v>3</v>
      </c>
      <c r="B11" s="65" t="s">
        <v>763</v>
      </c>
      <c r="C11" s="65" t="s">
        <v>681</v>
      </c>
      <c r="D11" t="s">
        <v>152</v>
      </c>
      <c r="E11" s="28">
        <v>2000</v>
      </c>
      <c r="F11" s="13">
        <v>1914.2539999999999</v>
      </c>
      <c r="G11" s="14">
        <f>+ROUND(F11/VLOOKUP("Grand Total",$B$4:$F$275,5,0),4)</f>
        <v>3.2899999999999999E-2</v>
      </c>
      <c r="H11" s="15">
        <v>43531</v>
      </c>
      <c r="I11" s="98"/>
      <c r="J11" s="14" t="s">
        <v>381</v>
      </c>
      <c r="K11" s="48">
        <f>SUMIFS($G$5:$G$308,$D$5:$D$308,J11)</f>
        <v>0.124</v>
      </c>
      <c r="M11" s="14"/>
      <c r="N11" s="36"/>
      <c r="P11" s="14"/>
    </row>
    <row r="12" spans="1:16" ht="12.75" customHeight="1" x14ac:dyDescent="0.2">
      <c r="B12" s="18" t="s">
        <v>82</v>
      </c>
      <c r="C12" s="18"/>
      <c r="D12" s="18"/>
      <c r="E12" s="29"/>
      <c r="F12" s="19">
        <f>SUM(F9:F11)</f>
        <v>8516.3791999999994</v>
      </c>
      <c r="G12" s="20">
        <f>SUM(G9:G11)</f>
        <v>0.1462</v>
      </c>
      <c r="H12" s="21"/>
      <c r="J12" s="14" t="s">
        <v>263</v>
      </c>
      <c r="K12" s="48">
        <f>SUMIFS($G$5:$G$308,$D$5:$D$308,J12)</f>
        <v>8.2100000000000006E-2</v>
      </c>
      <c r="M12" s="14"/>
      <c r="N12" s="36"/>
      <c r="P12" s="14"/>
    </row>
    <row r="13" spans="1:16" ht="12.75" customHeight="1" x14ac:dyDescent="0.2">
      <c r="B13" s="16"/>
      <c r="C13" s="16"/>
      <c r="F13" s="13"/>
      <c r="G13" s="14"/>
      <c r="H13" s="15"/>
      <c r="J13" s="14" t="s">
        <v>734</v>
      </c>
      <c r="K13" s="48">
        <f t="shared" ref="K13:K21" si="0">SUMIFS($G$5:$G$308,$D$5:$D$308,J13)</f>
        <v>7.4800000000000005E-2</v>
      </c>
      <c r="M13" s="14"/>
    </row>
    <row r="14" spans="1:16" ht="12.75" customHeight="1" x14ac:dyDescent="0.2">
      <c r="B14" s="16" t="s">
        <v>273</v>
      </c>
      <c r="C14" s="16"/>
      <c r="F14" s="13"/>
      <c r="G14" s="14"/>
      <c r="H14" s="15"/>
      <c r="J14" s="14" t="s">
        <v>729</v>
      </c>
      <c r="K14" s="48">
        <f t="shared" si="0"/>
        <v>7.3099999999999998E-2</v>
      </c>
      <c r="M14" s="14"/>
    </row>
    <row r="15" spans="1:16" ht="12.75" customHeight="1" x14ac:dyDescent="0.2">
      <c r="A15">
        <f>+MAX($A$1:A14)+1</f>
        <v>4</v>
      </c>
      <c r="B15" t="s">
        <v>730</v>
      </c>
      <c r="C15" t="s">
        <v>731</v>
      </c>
      <c r="D15" t="s">
        <v>152</v>
      </c>
      <c r="E15" s="28">
        <v>800</v>
      </c>
      <c r="F15" s="13">
        <v>3993.9839999999999</v>
      </c>
      <c r="G15" s="14">
        <f t="shared" ref="G15:G22" si="1">+ROUND(F15/VLOOKUP("Grand Total",$B$4:$F$275,5,0),4)</f>
        <v>6.8599999999999994E-2</v>
      </c>
      <c r="H15" s="15">
        <v>43318</v>
      </c>
      <c r="I15" s="98"/>
      <c r="J15" s="14" t="s">
        <v>104</v>
      </c>
      <c r="K15" s="48">
        <f t="shared" si="0"/>
        <v>6.7299999999999999E-2</v>
      </c>
      <c r="M15" s="14"/>
    </row>
    <row r="16" spans="1:16" ht="12.75" customHeight="1" x14ac:dyDescent="0.2">
      <c r="A16">
        <f>+MAX($A$1:A15)+1</f>
        <v>5</v>
      </c>
      <c r="B16" t="s">
        <v>178</v>
      </c>
      <c r="C16" t="s">
        <v>682</v>
      </c>
      <c r="D16" t="s">
        <v>152</v>
      </c>
      <c r="E16" s="28">
        <v>640</v>
      </c>
      <c r="F16" s="13">
        <v>3179.7408</v>
      </c>
      <c r="G16" s="14">
        <f t="shared" si="1"/>
        <v>5.4600000000000003E-2</v>
      </c>
      <c r="H16" s="15">
        <v>43348</v>
      </c>
      <c r="I16" s="98"/>
      <c r="J16" s="14" t="s">
        <v>463</v>
      </c>
      <c r="K16" s="48">
        <f t="shared" si="0"/>
        <v>4.6699999999999998E-2</v>
      </c>
      <c r="M16" s="14"/>
      <c r="N16" s="36"/>
      <c r="O16" s="14"/>
    </row>
    <row r="17" spans="1:16" ht="12.75" customHeight="1" x14ac:dyDescent="0.2">
      <c r="A17">
        <f>+MAX($A$1:A16)+1</f>
        <v>6</v>
      </c>
      <c r="B17" t="s">
        <v>520</v>
      </c>
      <c r="C17" t="s">
        <v>521</v>
      </c>
      <c r="D17" t="s">
        <v>152</v>
      </c>
      <c r="E17" s="28">
        <v>490</v>
      </c>
      <c r="F17" s="13">
        <v>2435.0500999999999</v>
      </c>
      <c r="G17" s="14">
        <f t="shared" si="1"/>
        <v>4.1799999999999997E-2</v>
      </c>
      <c r="H17" s="15">
        <v>43347</v>
      </c>
      <c r="I17" s="98"/>
      <c r="J17" s="14" t="s">
        <v>498</v>
      </c>
      <c r="K17" s="48">
        <f t="shared" si="0"/>
        <v>4.2799999999999998E-2</v>
      </c>
      <c r="M17" s="14"/>
      <c r="N17" s="36"/>
      <c r="O17" s="14"/>
    </row>
    <row r="18" spans="1:16" ht="12.75" customHeight="1" x14ac:dyDescent="0.2">
      <c r="A18">
        <f>+MAX($A$1:A17)+1</f>
        <v>7</v>
      </c>
      <c r="B18" t="s">
        <v>262</v>
      </c>
      <c r="C18" t="s">
        <v>477</v>
      </c>
      <c r="D18" t="s">
        <v>463</v>
      </c>
      <c r="E18" s="28">
        <v>440</v>
      </c>
      <c r="F18" s="13">
        <v>2143.3874000000001</v>
      </c>
      <c r="G18" s="14">
        <f t="shared" si="1"/>
        <v>3.6799999999999999E-2</v>
      </c>
      <c r="H18" s="15">
        <v>43430</v>
      </c>
      <c r="I18" s="98"/>
      <c r="J18" s="14" t="s">
        <v>733</v>
      </c>
      <c r="K18" s="48">
        <f t="shared" si="0"/>
        <v>2.41E-2</v>
      </c>
      <c r="M18" s="14"/>
      <c r="N18" s="36"/>
      <c r="O18" s="14"/>
      <c r="P18" s="14"/>
    </row>
    <row r="19" spans="1:16" ht="12.75" customHeight="1" x14ac:dyDescent="0.2">
      <c r="A19">
        <f>+MAX($A$1:A18)+1</f>
        <v>8</v>
      </c>
      <c r="B19" s="65" t="s">
        <v>726</v>
      </c>
      <c r="C19" t="s">
        <v>727</v>
      </c>
      <c r="D19" t="s">
        <v>152</v>
      </c>
      <c r="E19" s="28">
        <v>170</v>
      </c>
      <c r="F19" s="13">
        <v>848.72159999999997</v>
      </c>
      <c r="G19" s="14">
        <f t="shared" si="1"/>
        <v>1.46E-2</v>
      </c>
      <c r="H19" s="15">
        <v>43318</v>
      </c>
      <c r="I19" s="98"/>
      <c r="J19" s="14" t="s">
        <v>497</v>
      </c>
      <c r="K19" s="48">
        <f t="shared" si="0"/>
        <v>1.8200000000000001E-2</v>
      </c>
      <c r="M19" s="14"/>
      <c r="N19" s="36"/>
      <c r="O19" s="14"/>
      <c r="P19" s="14"/>
    </row>
    <row r="20" spans="1:16" ht="12.75" customHeight="1" x14ac:dyDescent="0.2">
      <c r="A20">
        <f>+MAX($A$1:A19)+1</f>
        <v>9</v>
      </c>
      <c r="B20" t="s">
        <v>262</v>
      </c>
      <c r="C20" t="s">
        <v>456</v>
      </c>
      <c r="D20" t="s">
        <v>463</v>
      </c>
      <c r="E20" s="28">
        <v>116</v>
      </c>
      <c r="F20" s="13">
        <v>575.34724000000006</v>
      </c>
      <c r="G20" s="14">
        <f t="shared" si="1"/>
        <v>9.9000000000000008E-3</v>
      </c>
      <c r="H20" s="15">
        <v>43350</v>
      </c>
      <c r="I20" s="98"/>
      <c r="J20" s="14" t="s">
        <v>261</v>
      </c>
      <c r="K20" s="48">
        <f t="shared" si="0"/>
        <v>5.1000000000000004E-3</v>
      </c>
      <c r="M20" s="14"/>
      <c r="N20" s="36"/>
      <c r="O20" s="14"/>
      <c r="P20" s="14"/>
    </row>
    <row r="21" spans="1:16" ht="12.75" customHeight="1" x14ac:dyDescent="0.2">
      <c r="A21">
        <f>+MAX($A$1:A20)+1</f>
        <v>10</v>
      </c>
      <c r="B21" t="s">
        <v>534</v>
      </c>
      <c r="C21" t="s">
        <v>683</v>
      </c>
      <c r="D21" t="s">
        <v>261</v>
      </c>
      <c r="E21" s="28">
        <v>60</v>
      </c>
      <c r="F21" s="13">
        <v>295.90859999999998</v>
      </c>
      <c r="G21" s="14">
        <f t="shared" si="1"/>
        <v>5.1000000000000004E-3</v>
      </c>
      <c r="H21" s="15">
        <v>43367</v>
      </c>
      <c r="I21" s="98"/>
      <c r="J21" s="14" t="s">
        <v>354</v>
      </c>
      <c r="K21" s="48">
        <f t="shared" si="0"/>
        <v>3.3999999999999998E-3</v>
      </c>
      <c r="M21" s="14"/>
      <c r="N21" s="36"/>
      <c r="O21" s="14"/>
      <c r="P21" s="14"/>
    </row>
    <row r="22" spans="1:16" ht="12.75" customHeight="1" x14ac:dyDescent="0.2">
      <c r="A22">
        <f>+MAX($A$1:A21)+1</f>
        <v>11</v>
      </c>
      <c r="B22" t="s">
        <v>514</v>
      </c>
      <c r="C22" t="s">
        <v>698</v>
      </c>
      <c r="D22" t="s">
        <v>152</v>
      </c>
      <c r="E22" s="28">
        <v>6</v>
      </c>
      <c r="F22" s="13">
        <v>29.668859999999999</v>
      </c>
      <c r="G22" s="14">
        <f t="shared" si="1"/>
        <v>5.0000000000000001E-4</v>
      </c>
      <c r="H22" s="15">
        <v>43362</v>
      </c>
      <c r="I22" s="98"/>
      <c r="J22" s="14" t="s">
        <v>62</v>
      </c>
      <c r="K22" s="48">
        <f>+SUMIFS($G$5:$G$998,$B$5:$B$998,"CBLO / Reverse Repo")+SUMIFS($G$5:$G$998,$B$5:$B$998,"Net Receivable/Payable")</f>
        <v>1.5800000000000002E-2</v>
      </c>
      <c r="M22" s="14"/>
      <c r="N22" s="36"/>
      <c r="O22" s="14"/>
      <c r="P22" s="14"/>
    </row>
    <row r="23" spans="1:16" ht="12.75" customHeight="1" x14ac:dyDescent="0.2">
      <c r="B23" s="18" t="s">
        <v>82</v>
      </c>
      <c r="C23" s="18"/>
      <c r="D23" s="18"/>
      <c r="E23" s="29"/>
      <c r="F23" s="19">
        <f>SUM(F15:F22)</f>
        <v>13501.8086</v>
      </c>
      <c r="G23" s="20">
        <f>SUM(G15:G22)</f>
        <v>0.2319</v>
      </c>
      <c r="H23" s="21"/>
      <c r="J23" s="14"/>
      <c r="K23" s="48"/>
      <c r="L23" s="54"/>
      <c r="N23" s="36"/>
      <c r="O23" s="14"/>
      <c r="P23" s="14"/>
    </row>
    <row r="24" spans="1:16" ht="12.75" customHeight="1" x14ac:dyDescent="0.2">
      <c r="F24" s="13"/>
      <c r="G24" s="14"/>
      <c r="H24" s="15"/>
      <c r="J24" s="14"/>
      <c r="K24" s="48"/>
      <c r="M24" s="89"/>
      <c r="N24" s="36"/>
      <c r="O24" s="14"/>
      <c r="P24" s="14"/>
    </row>
    <row r="25" spans="1:16" ht="12.75" customHeight="1" x14ac:dyDescent="0.2">
      <c r="B25" s="16" t="s">
        <v>157</v>
      </c>
      <c r="C25" s="16"/>
      <c r="F25" s="13"/>
      <c r="G25" s="14"/>
      <c r="H25" s="15"/>
      <c r="I25" s="35"/>
      <c r="J25" s="14"/>
      <c r="K25" s="48"/>
      <c r="M25" s="14"/>
      <c r="N25" s="36"/>
      <c r="O25" s="14"/>
      <c r="P25" s="14"/>
    </row>
    <row r="26" spans="1:16" ht="12.75" customHeight="1" x14ac:dyDescent="0.2">
      <c r="A26">
        <f>+MAX($A$1:A25)+1</f>
        <v>12</v>
      </c>
      <c r="B26" s="65" t="s">
        <v>464</v>
      </c>
      <c r="C26" t="s">
        <v>675</v>
      </c>
      <c r="D26" t="s">
        <v>354</v>
      </c>
      <c r="E26" s="28">
        <v>200000</v>
      </c>
      <c r="F26" s="13">
        <v>198.98759999999999</v>
      </c>
      <c r="G26" s="14">
        <f>+ROUND(F26/VLOOKUP("Grand Total",$B$4:$F$275,5,0),4)</f>
        <v>3.3999999999999998E-3</v>
      </c>
      <c r="H26" s="15">
        <v>43342</v>
      </c>
      <c r="I26" s="98"/>
      <c r="J26" s="14"/>
      <c r="K26" s="48"/>
      <c r="N26" s="36"/>
      <c r="O26" s="14"/>
      <c r="P26" s="14"/>
    </row>
    <row r="27" spans="1:16" ht="12.75" customHeight="1" x14ac:dyDescent="0.2">
      <c r="B27" s="18" t="s">
        <v>82</v>
      </c>
      <c r="C27" s="18"/>
      <c r="D27" s="18"/>
      <c r="E27" s="29"/>
      <c r="F27" s="19">
        <f>SUM(F26:F26)</f>
        <v>198.98759999999999</v>
      </c>
      <c r="G27" s="20">
        <f>SUM(G26:G26)</f>
        <v>3.3999999999999998E-3</v>
      </c>
      <c r="H27" s="21"/>
      <c r="J27" s="14"/>
      <c r="K27" s="48"/>
      <c r="L27" s="54"/>
      <c r="M27" s="14"/>
      <c r="N27" s="36"/>
      <c r="O27" s="14"/>
      <c r="P27" s="14"/>
    </row>
    <row r="28" spans="1:16" ht="12.75" customHeight="1" x14ac:dyDescent="0.2">
      <c r="F28" s="13"/>
      <c r="G28" s="14"/>
      <c r="H28" s="15"/>
      <c r="J28" s="14"/>
      <c r="K28" s="48"/>
      <c r="M28" s="89"/>
      <c r="N28" s="36"/>
      <c r="O28" s="14"/>
      <c r="P28" s="14"/>
    </row>
    <row r="29" spans="1:16" ht="12.75" customHeight="1" x14ac:dyDescent="0.2">
      <c r="B29" s="16" t="s">
        <v>120</v>
      </c>
      <c r="C29" s="16"/>
      <c r="F29" s="13"/>
      <c r="G29" s="14"/>
      <c r="H29" s="15"/>
      <c r="I29" s="35"/>
      <c r="N29" s="36"/>
      <c r="P29" s="14"/>
    </row>
    <row r="30" spans="1:16" ht="12.75" customHeight="1" x14ac:dyDescent="0.2">
      <c r="B30" s="31" t="s">
        <v>272</v>
      </c>
      <c r="C30" s="16"/>
      <c r="F30" s="13"/>
      <c r="G30" s="14"/>
      <c r="H30" s="15"/>
      <c r="N30" s="36"/>
      <c r="P30" s="14"/>
    </row>
    <row r="31" spans="1:16" ht="12.75" customHeight="1" x14ac:dyDescent="0.2">
      <c r="A31">
        <f>+MAX($A$1:A30)+1</f>
        <v>13</v>
      </c>
      <c r="B31" s="65" t="s">
        <v>522</v>
      </c>
      <c r="C31" t="s">
        <v>346</v>
      </c>
      <c r="D31" t="s">
        <v>315</v>
      </c>
      <c r="E31" s="28">
        <v>500</v>
      </c>
      <c r="F31" s="13">
        <v>4981.6899999999996</v>
      </c>
      <c r="G31" s="14">
        <f t="shared" ref="G31:G40" si="2">+ROUND(F31/VLOOKUP("Grand Total",$B$4:$F$275,5,0),4)</f>
        <v>8.5500000000000007E-2</v>
      </c>
      <c r="H31" s="15">
        <v>43892</v>
      </c>
      <c r="I31" s="98"/>
    </row>
    <row r="32" spans="1:16" s="65" customFormat="1" ht="12.75" customHeight="1" x14ac:dyDescent="0.2">
      <c r="A32">
        <f>+MAX($A$1:A31)+1</f>
        <v>14</v>
      </c>
      <c r="B32" s="65" t="s">
        <v>405</v>
      </c>
      <c r="C32" s="65" t="s">
        <v>406</v>
      </c>
      <c r="D32" s="65" t="s">
        <v>263</v>
      </c>
      <c r="E32" s="84">
        <v>480</v>
      </c>
      <c r="F32" s="85">
        <v>4781.3904000000002</v>
      </c>
      <c r="G32" s="89">
        <f t="shared" si="2"/>
        <v>8.2100000000000006E-2</v>
      </c>
      <c r="H32" s="88">
        <v>43630</v>
      </c>
      <c r="I32" s="98"/>
      <c r="N32" s="83"/>
      <c r="P32" s="89"/>
    </row>
    <row r="33" spans="1:16" ht="12.75" customHeight="1" x14ac:dyDescent="0.2">
      <c r="A33">
        <f>+MAX($A$1:A32)+1</f>
        <v>15</v>
      </c>
      <c r="B33" s="65" t="s">
        <v>547</v>
      </c>
      <c r="C33" t="s">
        <v>548</v>
      </c>
      <c r="D33" t="s">
        <v>381</v>
      </c>
      <c r="E33" s="28">
        <v>485000</v>
      </c>
      <c r="F33" s="13">
        <v>4732.8191500000003</v>
      </c>
      <c r="G33" s="14">
        <f t="shared" si="2"/>
        <v>8.1299999999999997E-2</v>
      </c>
      <c r="H33" s="15">
        <v>44366</v>
      </c>
      <c r="I33" s="98"/>
      <c r="N33" s="36"/>
      <c r="P33" s="14"/>
    </row>
    <row r="34" spans="1:16" ht="12.75" customHeight="1" x14ac:dyDescent="0.2">
      <c r="A34">
        <f>+MAX($A$1:A33)+1</f>
        <v>16</v>
      </c>
      <c r="B34" t="s">
        <v>684</v>
      </c>
      <c r="C34" s="65" t="s">
        <v>489</v>
      </c>
      <c r="D34" s="65" t="s">
        <v>104</v>
      </c>
      <c r="E34" s="84">
        <v>393</v>
      </c>
      <c r="F34" s="85">
        <v>3921.31077</v>
      </c>
      <c r="G34" s="89">
        <f t="shared" si="2"/>
        <v>6.7299999999999999E-2</v>
      </c>
      <c r="H34" s="15">
        <v>43584</v>
      </c>
      <c r="I34" s="98"/>
    </row>
    <row r="35" spans="1:16" ht="12.75" customHeight="1" x14ac:dyDescent="0.2">
      <c r="A35">
        <f>+MAX($A$1:A34)+1</f>
        <v>17</v>
      </c>
      <c r="B35" s="65" t="s">
        <v>523</v>
      </c>
      <c r="C35" t="s">
        <v>392</v>
      </c>
      <c r="D35" t="s">
        <v>498</v>
      </c>
      <c r="E35" s="28">
        <v>250</v>
      </c>
      <c r="F35" s="13">
        <v>2494.2674999999999</v>
      </c>
      <c r="G35" s="14">
        <f t="shared" si="2"/>
        <v>4.2799999999999998E-2</v>
      </c>
      <c r="H35" s="15">
        <v>43469</v>
      </c>
      <c r="I35" s="98"/>
      <c r="N35" s="36"/>
      <c r="P35" s="14"/>
    </row>
    <row r="36" spans="1:16" ht="12.75" customHeight="1" x14ac:dyDescent="0.2">
      <c r="A36">
        <f>+MAX($A$1:A35)+1</f>
        <v>18</v>
      </c>
      <c r="B36" s="65" t="s">
        <v>439</v>
      </c>
      <c r="C36" t="s">
        <v>423</v>
      </c>
      <c r="D36" t="s">
        <v>381</v>
      </c>
      <c r="E36" s="28">
        <v>250</v>
      </c>
      <c r="F36" s="13">
        <v>2484.3274999999999</v>
      </c>
      <c r="G36" s="14">
        <f t="shared" si="2"/>
        <v>4.2700000000000002E-2</v>
      </c>
      <c r="H36" s="15">
        <v>43671</v>
      </c>
      <c r="I36" s="98"/>
      <c r="N36" s="36"/>
      <c r="P36" s="14"/>
    </row>
    <row r="37" spans="1:16" ht="12.75" customHeight="1" x14ac:dyDescent="0.2">
      <c r="A37">
        <f>+MAX($A$1:A36)+1</f>
        <v>19</v>
      </c>
      <c r="B37" s="65" t="s">
        <v>676</v>
      </c>
      <c r="C37" t="s">
        <v>677</v>
      </c>
      <c r="D37" t="s">
        <v>315</v>
      </c>
      <c r="E37" s="28">
        <v>250000</v>
      </c>
      <c r="F37" s="13">
        <v>2462.1849999999999</v>
      </c>
      <c r="G37" s="14">
        <f t="shared" si="2"/>
        <v>4.2299999999999997E-2</v>
      </c>
      <c r="H37" s="15">
        <v>44351</v>
      </c>
      <c r="I37" s="98"/>
    </row>
    <row r="38" spans="1:16" ht="12.75" customHeight="1" x14ac:dyDescent="0.2">
      <c r="A38">
        <f>+MAX($A$1:A37)+1</f>
        <v>20</v>
      </c>
      <c r="B38" s="65" t="s">
        <v>382</v>
      </c>
      <c r="C38" t="s">
        <v>363</v>
      </c>
      <c r="D38" t="s">
        <v>315</v>
      </c>
      <c r="E38" s="28">
        <v>243000</v>
      </c>
      <c r="F38" s="13">
        <v>2420.73684</v>
      </c>
      <c r="G38" s="14">
        <f t="shared" si="2"/>
        <v>4.1599999999999998E-2</v>
      </c>
      <c r="H38" s="15">
        <v>43717</v>
      </c>
      <c r="I38" s="98"/>
    </row>
    <row r="39" spans="1:16" ht="12.75" customHeight="1" x14ac:dyDescent="0.2">
      <c r="A39">
        <f>+MAX($A$1:A38)+1</f>
        <v>21</v>
      </c>
      <c r="B39" s="65" t="s">
        <v>732</v>
      </c>
      <c r="C39" t="s">
        <v>293</v>
      </c>
      <c r="D39" t="s">
        <v>733</v>
      </c>
      <c r="E39" s="28">
        <v>140</v>
      </c>
      <c r="F39" s="13">
        <v>1404.8327999999999</v>
      </c>
      <c r="G39" s="14">
        <f t="shared" si="2"/>
        <v>2.41E-2</v>
      </c>
      <c r="H39" s="15">
        <v>43621</v>
      </c>
      <c r="I39" s="98"/>
    </row>
    <row r="40" spans="1:16" ht="12.75" customHeight="1" x14ac:dyDescent="0.2">
      <c r="A40">
        <f>+MAX($A$1:A39)+1</f>
        <v>22</v>
      </c>
      <c r="B40" s="65" t="s">
        <v>524</v>
      </c>
      <c r="C40" t="s">
        <v>503</v>
      </c>
      <c r="D40" t="s">
        <v>497</v>
      </c>
      <c r="E40" s="28">
        <v>150</v>
      </c>
      <c r="F40" s="13">
        <v>1062.162</v>
      </c>
      <c r="G40" s="14">
        <f t="shared" si="2"/>
        <v>1.8200000000000001E-2</v>
      </c>
      <c r="H40" s="15">
        <v>43826</v>
      </c>
      <c r="I40" s="98"/>
    </row>
    <row r="41" spans="1:16" ht="12.75" customHeight="1" x14ac:dyDescent="0.2">
      <c r="B41" s="18" t="s">
        <v>82</v>
      </c>
      <c r="C41" s="18"/>
      <c r="D41" s="18"/>
      <c r="E41" s="29"/>
      <c r="F41" s="19">
        <f>SUM(F31:F40)</f>
        <v>30745.721960000003</v>
      </c>
      <c r="G41" s="20">
        <f>SUM(G31:G40)</f>
        <v>0.52790000000000004</v>
      </c>
      <c r="H41" s="21"/>
      <c r="J41" s="52"/>
      <c r="K41"/>
    </row>
    <row r="42" spans="1:16" ht="12.75" customHeight="1" x14ac:dyDescent="0.2">
      <c r="F42" s="13"/>
      <c r="G42" s="14"/>
      <c r="H42" s="15"/>
      <c r="M42" s="89"/>
      <c r="N42" s="36"/>
      <c r="O42" s="14"/>
      <c r="P42" s="14"/>
    </row>
    <row r="43" spans="1:16" ht="12.75" customHeight="1" x14ac:dyDescent="0.2">
      <c r="B43" s="16" t="s">
        <v>560</v>
      </c>
      <c r="C43" s="16"/>
      <c r="F43" s="13"/>
      <c r="G43" s="14"/>
      <c r="H43" s="15"/>
      <c r="I43" s="35"/>
      <c r="J43" s="14"/>
      <c r="M43" s="14"/>
      <c r="N43" s="36"/>
      <c r="O43" s="14"/>
      <c r="P43" s="14"/>
    </row>
    <row r="44" spans="1:16" ht="12.75" customHeight="1" x14ac:dyDescent="0.2">
      <c r="A44">
        <f>+MAX($A$1:A43)+1</f>
        <v>23</v>
      </c>
      <c r="B44" s="65" t="s">
        <v>525</v>
      </c>
      <c r="C44" t="s">
        <v>441</v>
      </c>
      <c r="D44" t="s">
        <v>734</v>
      </c>
      <c r="E44" s="28">
        <v>400</v>
      </c>
      <c r="F44" s="13">
        <v>4353.4719999999998</v>
      </c>
      <c r="G44" s="14">
        <f>+ROUND(F44/VLOOKUP("Grand Total",$B$4:$F$275,5,0),4)</f>
        <v>7.4800000000000005E-2</v>
      </c>
      <c r="H44" s="15">
        <v>43321</v>
      </c>
      <c r="I44" s="98"/>
      <c r="J44" s="14"/>
      <c r="N44" s="36"/>
      <c r="O44" s="14"/>
      <c r="P44" s="14"/>
    </row>
    <row r="45" spans="1:16" ht="12.75" customHeight="1" x14ac:dyDescent="0.2">
      <c r="B45" s="18" t="s">
        <v>82</v>
      </c>
      <c r="C45" s="18"/>
      <c r="D45" s="18"/>
      <c r="E45" s="29"/>
      <c r="F45" s="19">
        <f>SUM(F44:F44)</f>
        <v>4353.4719999999998</v>
      </c>
      <c r="G45" s="20">
        <f>SUM(G44:G44)</f>
        <v>7.4800000000000005E-2</v>
      </c>
      <c r="H45" s="21"/>
      <c r="L45" s="54"/>
      <c r="M45" s="14"/>
      <c r="N45" s="36"/>
      <c r="O45" s="14"/>
      <c r="P45" s="14"/>
    </row>
    <row r="46" spans="1:16" ht="12.75" customHeight="1" x14ac:dyDescent="0.2">
      <c r="F46" s="13"/>
      <c r="G46" s="14"/>
      <c r="H46" s="15"/>
      <c r="M46" s="89"/>
      <c r="N46" s="36"/>
      <c r="O46" s="14"/>
      <c r="P46" s="14"/>
    </row>
    <row r="47" spans="1:16" ht="12.75" customHeight="1" x14ac:dyDescent="0.2">
      <c r="B47" s="16" t="s">
        <v>91</v>
      </c>
      <c r="C47" s="16"/>
      <c r="F47" s="13"/>
      <c r="G47" s="14"/>
      <c r="H47" s="15"/>
      <c r="I47" s="35"/>
      <c r="K47"/>
    </row>
    <row r="48" spans="1:16" ht="12.75" customHeight="1" x14ac:dyDescent="0.2">
      <c r="A48" s="94" t="s">
        <v>321</v>
      </c>
      <c r="B48" s="16" t="s">
        <v>658</v>
      </c>
      <c r="C48" s="16"/>
      <c r="F48" s="13">
        <v>55.809310000000004</v>
      </c>
      <c r="G48" s="14">
        <f>+ROUND(F48/VLOOKUP("Grand Total",$B$4:$F$275,5,0),4)</f>
        <v>1E-3</v>
      </c>
      <c r="H48" s="15">
        <v>43313</v>
      </c>
      <c r="I48" s="98"/>
      <c r="J48" s="52"/>
      <c r="K48"/>
    </row>
    <row r="49" spans="2:11" ht="12.75" customHeight="1" x14ac:dyDescent="0.2">
      <c r="B49" s="16" t="s">
        <v>92</v>
      </c>
      <c r="C49" s="16"/>
      <c r="F49" s="13">
        <v>859.31270799999766</v>
      </c>
      <c r="G49" s="14">
        <f>+ROUND(F49/VLOOKUP("Grand Total",$B$4:$F$275,5,0),4)</f>
        <v>1.4800000000000001E-2</v>
      </c>
      <c r="H49" s="15"/>
      <c r="K49"/>
    </row>
    <row r="50" spans="2:11" ht="12.75" customHeight="1" x14ac:dyDescent="0.2">
      <c r="B50" s="18" t="s">
        <v>82</v>
      </c>
      <c r="C50" s="18"/>
      <c r="D50" s="18"/>
      <c r="E50" s="29"/>
      <c r="F50" s="19">
        <f>SUM(F48:F49)</f>
        <v>915.12201799999764</v>
      </c>
      <c r="G50" s="20">
        <f>SUM(G48:G49)</f>
        <v>1.5800000000000002E-2</v>
      </c>
      <c r="H50" s="21"/>
      <c r="K50"/>
    </row>
    <row r="51" spans="2:11" ht="12.75" customHeight="1" x14ac:dyDescent="0.2">
      <c r="B51" s="22" t="s">
        <v>93</v>
      </c>
      <c r="C51" s="22"/>
      <c r="D51" s="22"/>
      <c r="E51" s="30"/>
      <c r="F51" s="23">
        <f>+SUMIF($B$5:B50,"Total",$F$5:F50)</f>
        <v>58231.491377999999</v>
      </c>
      <c r="G51" s="24">
        <f>+SUMIF($B$5:B50,"Total",$G$5:G50)</f>
        <v>1</v>
      </c>
      <c r="H51" s="25"/>
      <c r="K51"/>
    </row>
    <row r="52" spans="2:11" ht="12.75" customHeight="1" x14ac:dyDescent="0.2">
      <c r="I52" s="35"/>
      <c r="K52"/>
    </row>
    <row r="53" spans="2:11" ht="12.75" customHeight="1" x14ac:dyDescent="0.2">
      <c r="B53" s="16" t="s">
        <v>499</v>
      </c>
      <c r="C53" s="16"/>
      <c r="F53" s="42"/>
      <c r="I53" s="35"/>
      <c r="K53"/>
    </row>
    <row r="54" spans="2:11" ht="12.75" customHeight="1" x14ac:dyDescent="0.2">
      <c r="B54" s="16" t="s">
        <v>171</v>
      </c>
      <c r="C54" s="16"/>
      <c r="F54" s="42"/>
      <c r="K54"/>
    </row>
    <row r="55" spans="2:11" ht="12.75" customHeight="1" x14ac:dyDescent="0.2">
      <c r="B55" s="16" t="s">
        <v>753</v>
      </c>
      <c r="C55" s="16"/>
      <c r="K55"/>
    </row>
    <row r="56" spans="2:11" ht="12.75" customHeight="1" x14ac:dyDescent="0.2">
      <c r="K56"/>
    </row>
    <row r="57" spans="2:11" ht="12.75" customHeight="1" x14ac:dyDescent="0.2">
      <c r="K57"/>
    </row>
    <row r="58" spans="2:11" ht="12.75" customHeight="1" x14ac:dyDescent="0.2">
      <c r="K58"/>
    </row>
    <row r="59" spans="2:11" ht="12.75" customHeight="1" x14ac:dyDescent="0.2">
      <c r="K59"/>
    </row>
    <row r="60" spans="2:11" ht="12.75" customHeight="1" x14ac:dyDescent="0.2">
      <c r="E60"/>
      <c r="I60"/>
      <c r="K60"/>
    </row>
    <row r="61" spans="2:11" ht="12.75" customHeight="1" x14ac:dyDescent="0.2">
      <c r="E61"/>
      <c r="I61"/>
      <c r="K61"/>
    </row>
    <row r="62" spans="2:11" ht="12.75" customHeight="1" x14ac:dyDescent="0.2">
      <c r="E62"/>
      <c r="I62"/>
      <c r="K62"/>
    </row>
    <row r="63" spans="2:11" ht="12.75" customHeight="1" x14ac:dyDescent="0.2">
      <c r="E63"/>
      <c r="I63"/>
      <c r="K63"/>
    </row>
    <row r="64" spans="2:11" ht="12.75" customHeight="1" x14ac:dyDescent="0.2">
      <c r="E64"/>
      <c r="I64"/>
      <c r="K64"/>
    </row>
    <row r="65" spans="5:11" ht="12.75" customHeight="1" x14ac:dyDescent="0.2">
      <c r="E65"/>
      <c r="I65"/>
      <c r="K65"/>
    </row>
    <row r="66" spans="5:11" ht="12.75" customHeight="1" x14ac:dyDescent="0.2">
      <c r="E66"/>
      <c r="I66"/>
      <c r="K66"/>
    </row>
    <row r="67" spans="5:11" ht="12.75" customHeight="1" x14ac:dyDescent="0.2">
      <c r="E67"/>
      <c r="I67"/>
      <c r="K67"/>
    </row>
    <row r="68" spans="5:11" ht="12.75" customHeight="1" x14ac:dyDescent="0.2">
      <c r="E68"/>
      <c r="I68"/>
      <c r="K68"/>
    </row>
    <row r="69" spans="5:11" ht="12.75" customHeight="1" x14ac:dyDescent="0.2">
      <c r="E69"/>
      <c r="I69"/>
      <c r="K69"/>
    </row>
    <row r="70" spans="5:11" ht="12.75" customHeight="1" x14ac:dyDescent="0.2">
      <c r="E70"/>
      <c r="I70"/>
      <c r="K70"/>
    </row>
    <row r="71" spans="5:11" ht="12.75" customHeight="1" x14ac:dyDescent="0.2">
      <c r="E71"/>
      <c r="I71"/>
      <c r="K71"/>
    </row>
    <row r="72" spans="5:11" ht="12.75" customHeight="1" x14ac:dyDescent="0.2">
      <c r="E72"/>
      <c r="I72"/>
      <c r="K72"/>
    </row>
    <row r="73" spans="5:11" ht="12.75" customHeight="1" x14ac:dyDescent="0.2">
      <c r="E73"/>
      <c r="I73"/>
      <c r="K73"/>
    </row>
    <row r="74" spans="5:11" ht="12.75" customHeight="1" x14ac:dyDescent="0.2">
      <c r="E74"/>
      <c r="I74"/>
      <c r="K74"/>
    </row>
    <row r="75" spans="5:11" ht="12.75" customHeight="1" x14ac:dyDescent="0.2">
      <c r="E75"/>
      <c r="I75"/>
      <c r="K75"/>
    </row>
    <row r="76" spans="5:11" ht="12.75" customHeight="1" x14ac:dyDescent="0.2">
      <c r="E76"/>
      <c r="I76"/>
      <c r="K76"/>
    </row>
    <row r="77" spans="5:11" ht="12.75" customHeight="1" x14ac:dyDescent="0.2">
      <c r="E77"/>
      <c r="I77"/>
      <c r="K77"/>
    </row>
    <row r="78" spans="5:11" ht="12.75" customHeight="1" x14ac:dyDescent="0.2">
      <c r="E78"/>
      <c r="I78"/>
      <c r="K78"/>
    </row>
    <row r="79" spans="5:11" ht="12.75" customHeight="1" x14ac:dyDescent="0.2">
      <c r="E79"/>
      <c r="I79"/>
      <c r="K79"/>
    </row>
    <row r="80" spans="5:11" ht="12.75" customHeight="1" x14ac:dyDescent="0.2">
      <c r="E80"/>
      <c r="I80"/>
      <c r="K80"/>
    </row>
    <row r="81" spans="5:11" ht="12.75" customHeight="1" x14ac:dyDescent="0.2">
      <c r="E81"/>
      <c r="I81"/>
      <c r="K81"/>
    </row>
    <row r="82" spans="5:11" ht="12.75" customHeight="1" x14ac:dyDescent="0.2">
      <c r="E82"/>
      <c r="I82"/>
      <c r="K82"/>
    </row>
    <row r="83" spans="5:11" ht="12.75" customHeight="1" x14ac:dyDescent="0.2">
      <c r="E83"/>
      <c r="I83"/>
      <c r="K83"/>
    </row>
    <row r="84" spans="5:11" ht="12.75" customHeight="1" x14ac:dyDescent="0.2">
      <c r="E84"/>
      <c r="I84"/>
      <c r="K84"/>
    </row>
    <row r="85" spans="5:11" ht="12.75" customHeight="1" x14ac:dyDescent="0.2">
      <c r="E85"/>
      <c r="I85"/>
      <c r="K85"/>
    </row>
    <row r="86" spans="5:11" ht="12.75" customHeight="1" x14ac:dyDescent="0.2">
      <c r="E86"/>
      <c r="I86"/>
      <c r="K86"/>
    </row>
    <row r="87" spans="5:11" ht="12.75" customHeight="1" x14ac:dyDescent="0.2">
      <c r="E87"/>
      <c r="I87"/>
      <c r="K87"/>
    </row>
    <row r="88" spans="5:11" ht="12.75" customHeight="1" x14ac:dyDescent="0.2">
      <c r="E88"/>
      <c r="I88"/>
      <c r="K88"/>
    </row>
    <row r="89" spans="5:11" ht="12.75" customHeight="1" x14ac:dyDescent="0.2">
      <c r="E89"/>
      <c r="I89"/>
      <c r="K89"/>
    </row>
    <row r="90" spans="5:11" ht="12.75" customHeight="1" x14ac:dyDescent="0.2">
      <c r="E90"/>
      <c r="I90"/>
      <c r="K90"/>
    </row>
    <row r="91" spans="5:11" ht="12.75" customHeight="1" x14ac:dyDescent="0.2">
      <c r="E91"/>
      <c r="I91"/>
      <c r="K91"/>
    </row>
    <row r="92" spans="5:11" ht="12.75" customHeight="1" x14ac:dyDescent="0.2">
      <c r="E92"/>
      <c r="I92"/>
      <c r="K92"/>
    </row>
    <row r="93" spans="5:11" ht="12.75" customHeight="1" x14ac:dyDescent="0.2">
      <c r="E93"/>
      <c r="I93"/>
      <c r="K93"/>
    </row>
    <row r="94" spans="5:11" x14ac:dyDescent="0.2">
      <c r="E94"/>
      <c r="I94"/>
      <c r="K94"/>
    </row>
    <row r="95" spans="5:11" x14ac:dyDescent="0.2">
      <c r="E95"/>
      <c r="I95"/>
      <c r="K95"/>
    </row>
    <row r="96" spans="5:11" x14ac:dyDescent="0.2">
      <c r="E96"/>
      <c r="I96"/>
      <c r="K96"/>
    </row>
  </sheetData>
  <sortState ref="J9:K25">
    <sortCondition descending="1" ref="K9:K25"/>
  </sortState>
  <mergeCells count="1">
    <mergeCell ref="B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GROWTH</vt:lpstr>
      <vt:lpstr>100 EQUAL WEIGHT</vt:lpstr>
      <vt:lpstr>FOCUSED MULTICAP</vt:lpstr>
      <vt:lpstr>DIVIDEND YIELD</vt:lpstr>
      <vt:lpstr>EMERGING BLUECHIP</vt:lpstr>
      <vt:lpstr>PERSONAL TAX SAVER</vt:lpstr>
      <vt:lpstr>TAX SAVINGS</vt:lpstr>
      <vt:lpstr>GLOBAL OPP</vt:lpstr>
      <vt:lpstr>LOW DURATION</vt:lpstr>
      <vt:lpstr>CREDIT RISK</vt:lpstr>
      <vt:lpstr>DYNAMIC BOND</vt:lpstr>
      <vt:lpstr>SHORT TERM</vt:lpstr>
      <vt:lpstr>CORPORATE BOND</vt:lpstr>
      <vt:lpstr>Hybrid Equity</vt:lpstr>
      <vt:lpstr>CASH MANAGEMENT</vt:lpstr>
      <vt:lpstr>ULTRA SHORT TERM</vt:lpstr>
      <vt:lpstr>Retirement-PROG</vt:lpstr>
      <vt:lpstr>Balanced Advantage</vt:lpstr>
      <vt:lpstr>Equity Savings</vt:lpstr>
      <vt:lpstr>Retirement-MP</vt:lpstr>
      <vt:lpstr>Retirement-CP</vt:lpstr>
      <vt:lpstr>ARBITRAGE FUND</vt:lpstr>
    </vt:vector>
  </TitlesOfParts>
  <Company>CITI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ss44493</dc:creator>
  <cp:lastModifiedBy>Nandwana, Varun</cp:lastModifiedBy>
  <cp:lastPrinted>2017-06-02T07:09:07Z</cp:lastPrinted>
  <dcterms:created xsi:type="dcterms:W3CDTF">2011-07-16T04:33:57Z</dcterms:created>
  <dcterms:modified xsi:type="dcterms:W3CDTF">2018-08-08T07:31:55Z</dcterms:modified>
</cp:coreProperties>
</file>