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Mar 2018\"/>
    </mc:Choice>
  </mc:AlternateContent>
  <bookViews>
    <workbookView xWindow="0" yWindow="495" windowWidth="15480" windowHeight="1116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Savings'!$A$38:$Q$93</definedName>
    <definedName name="_xlnm._FilterDatabase" localSheetId="0" hidden="1">GROWTH!$D$4:$D$147</definedName>
    <definedName name="_xlnm._FilterDatabase" localSheetId="6" hidden="1">'SMART EQUITY'!$A$37:$Q$68</definedName>
  </definedNames>
  <calcPr calcId="152511" iterateCount="1"/>
</workbook>
</file>

<file path=xl/calcChain.xml><?xml version="1.0" encoding="utf-8"?>
<calcChain xmlns="http://schemas.openxmlformats.org/spreadsheetml/2006/main">
  <c r="F35" i="36" l="1"/>
  <c r="H34" i="36"/>
  <c r="H32" i="36"/>
  <c r="H30" i="36"/>
  <c r="H28" i="36"/>
  <c r="H26" i="36"/>
  <c r="H24" i="36"/>
  <c r="H22" i="36"/>
  <c r="H20" i="36"/>
  <c r="H18" i="36"/>
  <c r="H16" i="36"/>
  <c r="H14" i="36"/>
  <c r="H12" i="36"/>
  <c r="H10" i="36"/>
  <c r="F36" i="17"/>
  <c r="F93" i="17"/>
  <c r="G61" i="17"/>
  <c r="G49" i="17"/>
  <c r="G83" i="17"/>
  <c r="G79" i="17"/>
  <c r="G85" i="17"/>
  <c r="G51" i="17"/>
  <c r="G73" i="17"/>
  <c r="G91" i="17"/>
  <c r="G67" i="17"/>
  <c r="G89" i="17"/>
  <c r="G87" i="17"/>
  <c r="G55" i="17"/>
  <c r="G53" i="17"/>
  <c r="L29" i="17" s="1"/>
  <c r="G81" i="17"/>
  <c r="G57" i="17"/>
  <c r="L30" i="17" s="1"/>
  <c r="G69" i="17"/>
  <c r="L33" i="17" s="1"/>
  <c r="G63" i="17"/>
  <c r="G75" i="17"/>
  <c r="L27" i="17" s="1"/>
  <c r="G77" i="17"/>
  <c r="G39" i="17"/>
  <c r="G41" i="17"/>
  <c r="G43" i="17"/>
  <c r="L17" i="17" s="1"/>
  <c r="G45" i="17"/>
  <c r="L18" i="17" s="1"/>
  <c r="G65" i="17"/>
  <c r="L32" i="17" s="1"/>
  <c r="G59" i="17"/>
  <c r="G71" i="17"/>
  <c r="G47" i="17"/>
  <c r="F68" i="8"/>
  <c r="G54" i="8"/>
  <c r="G52" i="8"/>
  <c r="G40" i="8"/>
  <c r="G42" i="8"/>
  <c r="G64" i="8"/>
  <c r="G62" i="8"/>
  <c r="G44" i="8"/>
  <c r="G50" i="8"/>
  <c r="G46" i="8"/>
  <c r="L21" i="8" s="1"/>
  <c r="G56" i="8"/>
  <c r="G38" i="8"/>
  <c r="G60" i="8"/>
  <c r="G48" i="8"/>
  <c r="G66" i="8"/>
  <c r="G58" i="8"/>
  <c r="H92" i="17"/>
  <c r="H90" i="17"/>
  <c r="H88" i="17"/>
  <c r="H86" i="17"/>
  <c r="H84" i="17"/>
  <c r="H82" i="17"/>
  <c r="H80" i="17"/>
  <c r="H78" i="17"/>
  <c r="H76" i="17"/>
  <c r="H74" i="17"/>
  <c r="H72" i="17"/>
  <c r="H70" i="17"/>
  <c r="H68" i="17"/>
  <c r="H66" i="17"/>
  <c r="H64" i="17"/>
  <c r="H62" i="17"/>
  <c r="H60" i="17"/>
  <c r="H58" i="17"/>
  <c r="H56" i="17"/>
  <c r="H54" i="17"/>
  <c r="H52" i="17"/>
  <c r="H50" i="17"/>
  <c r="H48" i="17"/>
  <c r="H46" i="17"/>
  <c r="H44" i="17"/>
  <c r="H42" i="17"/>
  <c r="H40" i="17"/>
  <c r="H67" i="8"/>
  <c r="H65" i="8"/>
  <c r="H63" i="8"/>
  <c r="H61" i="8"/>
  <c r="H59" i="8"/>
  <c r="H57" i="8"/>
  <c r="H55" i="8"/>
  <c r="H53" i="8"/>
  <c r="H51" i="8"/>
  <c r="H49" i="8"/>
  <c r="H47" i="8"/>
  <c r="H45" i="8"/>
  <c r="H43" i="8"/>
  <c r="H41" i="8"/>
  <c r="H39" i="8"/>
  <c r="H35" i="36" l="1"/>
  <c r="H93" i="17"/>
  <c r="G93" i="17"/>
  <c r="G68" i="8"/>
  <c r="H68" i="8"/>
  <c r="K52" i="19" l="1"/>
  <c r="K32" i="7"/>
  <c r="K31" i="7"/>
  <c r="F29" i="21" l="1"/>
  <c r="F132" i="19"/>
  <c r="F78" i="19"/>
  <c r="F14" i="14"/>
  <c r="F28" i="14"/>
  <c r="F11" i="11"/>
  <c r="K39" i="2" l="1"/>
  <c r="F15" i="18"/>
  <c r="F87" i="2"/>
  <c r="F35" i="8" l="1"/>
  <c r="F90" i="8" l="1"/>
  <c r="F76" i="8"/>
  <c r="F42" i="36" l="1"/>
  <c r="F136" i="19" l="1"/>
  <c r="F104" i="6"/>
  <c r="F111" i="17" l="1"/>
  <c r="K38" i="2" l="1"/>
  <c r="F73" i="9"/>
  <c r="F64" i="7"/>
  <c r="A9" i="36"/>
  <c r="F17" i="16"/>
  <c r="A11" i="36" l="1"/>
  <c r="A9" i="14"/>
  <c r="A13" i="14" s="1"/>
  <c r="F33" i="21"/>
  <c r="F12" i="20"/>
  <c r="F89" i="19"/>
  <c r="F100" i="17"/>
  <c r="F10" i="14"/>
  <c r="F25" i="11"/>
  <c r="F61" i="4"/>
  <c r="F65" i="4"/>
  <c r="A13" i="36" l="1"/>
  <c r="A17" i="14"/>
  <c r="A15" i="36" l="1"/>
  <c r="A18" i="14"/>
  <c r="A17" i="36" l="1"/>
  <c r="A19" i="14"/>
  <c r="A20" i="14" s="1"/>
  <c r="F35" i="20"/>
  <c r="A9" i="20"/>
  <c r="F117" i="19"/>
  <c r="F41" i="12"/>
  <c r="F17" i="12"/>
  <c r="F44" i="11"/>
  <c r="A19" i="36" l="1"/>
  <c r="A10" i="20"/>
  <c r="A11" i="20" s="1"/>
  <c r="A21" i="14"/>
  <c r="A22" i="14" s="1"/>
  <c r="F36" i="16"/>
  <c r="A21" i="36" l="1"/>
  <c r="A26" i="14"/>
  <c r="A23" i="36" l="1"/>
  <c r="A27" i="14"/>
  <c r="A32" i="14" s="1"/>
  <c r="F139" i="19"/>
  <c r="F127" i="19"/>
  <c r="F113" i="19"/>
  <c r="F71" i="19"/>
  <c r="F38" i="20"/>
  <c r="F30" i="20"/>
  <c r="A25" i="36" l="1"/>
  <c r="A27" i="36" s="1"/>
  <c r="A29" i="36" s="1"/>
  <c r="A31" i="36" s="1"/>
  <c r="A33" i="36" s="1"/>
  <c r="A33" i="14"/>
  <c r="A34" i="14" s="1"/>
  <c r="A35" i="14" s="1"/>
  <c r="A36" i="14" s="1"/>
  <c r="A37" i="14" s="1"/>
  <c r="A38" i="14" s="1"/>
  <c r="A39" i="14" s="1"/>
  <c r="A40" i="14" s="1"/>
  <c r="A41" i="14" s="1"/>
  <c r="F10" i="18"/>
  <c r="A9" i="18"/>
  <c r="F49" i="36" l="1"/>
  <c r="F46" i="36"/>
  <c r="F52" i="36" s="1"/>
  <c r="G52" i="36" s="1"/>
  <c r="F94" i="8" l="1"/>
  <c r="F73" i="2" l="1"/>
  <c r="F80" i="5" l="1"/>
  <c r="F77" i="5"/>
  <c r="F73" i="5"/>
  <c r="F65" i="5"/>
  <c r="F12" i="35" l="1"/>
  <c r="F11" i="34"/>
  <c r="F12" i="31"/>
  <c r="F36" i="21"/>
  <c r="F12" i="21"/>
  <c r="F34" i="18"/>
  <c r="F31" i="18"/>
  <c r="F115" i="17"/>
  <c r="F39" i="16"/>
  <c r="F10" i="16"/>
  <c r="F45" i="14"/>
  <c r="F42" i="14"/>
  <c r="F23" i="14"/>
  <c r="F44" i="12"/>
  <c r="F37" i="12"/>
  <c r="F13" i="12"/>
  <c r="F47" i="11"/>
  <c r="F40" i="11"/>
  <c r="F21" i="11"/>
  <c r="F13" i="10"/>
  <c r="F10" i="10"/>
  <c r="F76" i="9"/>
  <c r="F97" i="8"/>
  <c r="F100" i="8" s="1"/>
  <c r="F80" i="8"/>
  <c r="F72" i="7"/>
  <c r="F69" i="7"/>
  <c r="F112" i="6"/>
  <c r="F109" i="6"/>
  <c r="F99" i="6"/>
  <c r="F58" i="4"/>
  <c r="F66" i="4" s="1"/>
  <c r="G64" i="4" s="1"/>
  <c r="F59" i="3"/>
  <c r="F56" i="3"/>
  <c r="F90" i="2"/>
  <c r="F83" i="2"/>
  <c r="G65" i="4" l="1"/>
  <c r="G60" i="4"/>
  <c r="K30" i="4" s="1"/>
  <c r="G61" i="4" l="1"/>
  <c r="F14" i="34"/>
  <c r="F22" i="31"/>
  <c r="F18" i="31"/>
  <c r="F40" i="21"/>
  <c r="F143" i="19"/>
  <c r="F38" i="18"/>
  <c r="F118" i="17"/>
  <c r="F121" i="17" s="1"/>
  <c r="F43" i="16"/>
  <c r="F49" i="14"/>
  <c r="F48" i="12"/>
  <c r="F51" i="11"/>
  <c r="F52" i="11" s="1"/>
  <c r="G50" i="11" s="1"/>
  <c r="F17" i="10"/>
  <c r="F80" i="9"/>
  <c r="F76" i="7"/>
  <c r="F116" i="6"/>
  <c r="F117" i="6" s="1"/>
  <c r="G115" i="6" s="1"/>
  <c r="F84" i="5"/>
  <c r="F85" i="5" s="1"/>
  <c r="G83" i="5" s="1"/>
  <c r="F63" i="3"/>
  <c r="F94" i="2"/>
  <c r="G10" i="11" l="1"/>
  <c r="G108" i="6"/>
  <c r="G98" i="6"/>
  <c r="G94" i="6"/>
  <c r="G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96" i="6"/>
  <c r="G88" i="6"/>
  <c r="G76" i="6"/>
  <c r="G64" i="6"/>
  <c r="G56" i="6"/>
  <c r="G44" i="6"/>
  <c r="G32" i="6"/>
  <c r="G16" i="6"/>
  <c r="G107" i="6"/>
  <c r="G97" i="6"/>
  <c r="G93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103" i="6"/>
  <c r="G92" i="6"/>
  <c r="G84" i="6"/>
  <c r="G72" i="6"/>
  <c r="G60" i="6"/>
  <c r="G48" i="6"/>
  <c r="G40" i="6"/>
  <c r="G28" i="6"/>
  <c r="G20" i="6"/>
  <c r="G111" i="6"/>
  <c r="K38" i="6" s="1"/>
  <c r="G102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80" i="6"/>
  <c r="G68" i="6"/>
  <c r="G52" i="6"/>
  <c r="G36" i="6"/>
  <c r="G24" i="6"/>
  <c r="G12" i="6"/>
  <c r="G116" i="6"/>
  <c r="G62" i="5"/>
  <c r="G63" i="5"/>
  <c r="G24" i="11"/>
  <c r="K24" i="11" s="1"/>
  <c r="G60" i="5"/>
  <c r="G61" i="5"/>
  <c r="G43" i="11"/>
  <c r="G35" i="11"/>
  <c r="G57" i="5"/>
  <c r="G59" i="5"/>
  <c r="G58" i="5"/>
  <c r="G57" i="4"/>
  <c r="G56" i="4"/>
  <c r="G55" i="4"/>
  <c r="G20" i="11"/>
  <c r="G19" i="11"/>
  <c r="G18" i="11"/>
  <c r="G54" i="4"/>
  <c r="G52" i="4"/>
  <c r="G53" i="4"/>
  <c r="K36" i="6" l="1"/>
  <c r="K37" i="6"/>
  <c r="G104" i="6"/>
  <c r="K35" i="6"/>
  <c r="G44" i="11"/>
  <c r="G25" i="11"/>
  <c r="G109" i="6"/>
  <c r="K34" i="6"/>
  <c r="G112" i="6"/>
  <c r="A9" i="11" l="1"/>
  <c r="A10" i="11" s="1"/>
  <c r="G51" i="11" l="1"/>
  <c r="G32" i="11"/>
  <c r="G14" i="11"/>
  <c r="G34" i="11"/>
  <c r="G29" i="11"/>
  <c r="G15" i="11"/>
  <c r="G37" i="11"/>
  <c r="G31" i="11"/>
  <c r="G17" i="11"/>
  <c r="G30" i="11"/>
  <c r="G33" i="11"/>
  <c r="G38" i="11"/>
  <c r="K23" i="11" s="1"/>
  <c r="G39" i="11"/>
  <c r="G9" i="11"/>
  <c r="G11" i="11" s="1"/>
  <c r="G16" i="11"/>
  <c r="K13" i="11" s="1"/>
  <c r="G36" i="11"/>
  <c r="G46" i="11"/>
  <c r="K25" i="11" s="1"/>
  <c r="K22" i="11" l="1"/>
  <c r="K10" i="11"/>
  <c r="K12" i="11"/>
  <c r="K18" i="11"/>
  <c r="K20" i="11"/>
  <c r="K21" i="11"/>
  <c r="K14" i="11"/>
  <c r="K16" i="11"/>
  <c r="K15" i="11"/>
  <c r="K19" i="11"/>
  <c r="K17" i="11"/>
  <c r="K9" i="11"/>
  <c r="K11" i="11"/>
  <c r="G47" i="11"/>
  <c r="G40" i="11"/>
  <c r="G21" i="11"/>
  <c r="G52" i="11" l="1"/>
  <c r="A14" i="11" l="1"/>
  <c r="A15" i="11" l="1"/>
  <c r="A16" i="11" l="1"/>
  <c r="A9" i="17" l="1"/>
  <c r="A17" i="11"/>
  <c r="I138" i="7"/>
  <c r="I134" i="7"/>
  <c r="I130" i="7"/>
  <c r="I129" i="7"/>
  <c r="I124" i="7"/>
  <c r="I123" i="7"/>
  <c r="I119" i="7"/>
  <c r="I115" i="7"/>
  <c r="I114" i="7"/>
  <c r="I113" i="7"/>
  <c r="I112" i="7"/>
  <c r="I111" i="7"/>
  <c r="I110" i="7"/>
  <c r="A10" i="17" l="1"/>
  <c r="A11" i="17"/>
  <c r="A12" i="17"/>
  <c r="A18" i="11"/>
  <c r="A19" i="11" s="1"/>
  <c r="A20" i="11" s="1"/>
  <c r="A13" i="17" l="1"/>
  <c r="A14" i="17" s="1"/>
  <c r="A15" i="17" l="1"/>
  <c r="F15" i="35"/>
  <c r="A16" i="17" l="1"/>
  <c r="A24" i="11"/>
  <c r="A13" i="18"/>
  <c r="A17" i="17" l="1"/>
  <c r="A14" i="18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F15" i="3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7"/>
  <c r="A9" i="6"/>
  <c r="A9" i="5"/>
  <c r="A9" i="4"/>
  <c r="A9" i="3"/>
  <c r="A9" i="2"/>
  <c r="F42" i="20"/>
  <c r="F43" i="20" s="1"/>
  <c r="G41" i="20" s="1"/>
  <c r="F81" i="9"/>
  <c r="F64" i="3"/>
  <c r="G62" i="3" s="1"/>
  <c r="A18" i="17" l="1"/>
  <c r="G79" i="9"/>
  <c r="G69" i="9"/>
  <c r="K32" i="9"/>
  <c r="G70" i="9"/>
  <c r="G58" i="3"/>
  <c r="K29" i="3" s="1"/>
  <c r="G55" i="3"/>
  <c r="G51" i="3"/>
  <c r="G47" i="3"/>
  <c r="G43" i="3"/>
  <c r="G39" i="3"/>
  <c r="G35" i="3"/>
  <c r="G31" i="3"/>
  <c r="G23" i="3"/>
  <c r="G15" i="3"/>
  <c r="G10" i="3"/>
  <c r="G54" i="3"/>
  <c r="G50" i="3"/>
  <c r="G46" i="3"/>
  <c r="G42" i="3"/>
  <c r="G38" i="3"/>
  <c r="G34" i="3"/>
  <c r="G30" i="3"/>
  <c r="G26" i="3"/>
  <c r="G22" i="3"/>
  <c r="G18" i="3"/>
  <c r="G53" i="3"/>
  <c r="G49" i="3"/>
  <c r="G45" i="3"/>
  <c r="G41" i="3"/>
  <c r="G37" i="3"/>
  <c r="G33" i="3"/>
  <c r="G29" i="3"/>
  <c r="G25" i="3"/>
  <c r="G21" i="3"/>
  <c r="G17" i="3"/>
  <c r="G13" i="3"/>
  <c r="G52" i="3"/>
  <c r="G48" i="3"/>
  <c r="G44" i="3"/>
  <c r="G40" i="3"/>
  <c r="G36" i="3"/>
  <c r="G32" i="3"/>
  <c r="G28" i="3"/>
  <c r="G24" i="3"/>
  <c r="G20" i="3"/>
  <c r="G16" i="3"/>
  <c r="G12" i="3"/>
  <c r="G27" i="3"/>
  <c r="G19" i="3"/>
  <c r="G11" i="3"/>
  <c r="G14" i="3"/>
  <c r="G63" i="3"/>
  <c r="G11" i="20"/>
  <c r="G10" i="20"/>
  <c r="G80" i="9"/>
  <c r="G28" i="20"/>
  <c r="G29" i="20"/>
  <c r="G34" i="20"/>
  <c r="G67" i="9"/>
  <c r="G68" i="9"/>
  <c r="K31" i="9" s="1"/>
  <c r="G66" i="9"/>
  <c r="K30" i="9" s="1"/>
  <c r="G65" i="9"/>
  <c r="G9" i="20"/>
  <c r="A10" i="12"/>
  <c r="G64" i="9"/>
  <c r="G63" i="9"/>
  <c r="K29" i="9" s="1"/>
  <c r="G84" i="5"/>
  <c r="G55" i="5"/>
  <c r="G56" i="5"/>
  <c r="A9" i="35"/>
  <c r="A9" i="34"/>
  <c r="A10" i="34" s="1"/>
  <c r="A10" i="6"/>
  <c r="A10" i="5"/>
  <c r="A10" i="19"/>
  <c r="A10" i="9"/>
  <c r="F44" i="16"/>
  <c r="F95" i="2"/>
  <c r="G93" i="2" s="1"/>
  <c r="A10" i="3"/>
  <c r="A11" i="3" s="1"/>
  <c r="F20" i="35"/>
  <c r="G18" i="35" s="1"/>
  <c r="A10" i="4"/>
  <c r="A10" i="2"/>
  <c r="F49" i="12"/>
  <c r="G47" i="12" s="1"/>
  <c r="F50" i="14"/>
  <c r="F144" i="19"/>
  <c r="F19" i="34"/>
  <c r="G17" i="34" s="1"/>
  <c r="F41" i="21"/>
  <c r="G39" i="21" s="1"/>
  <c r="A10" i="7"/>
  <c r="F39" i="18"/>
  <c r="G37" i="18" s="1"/>
  <c r="F23" i="31"/>
  <c r="G21" i="31" s="1"/>
  <c r="K21" i="3"/>
  <c r="F18" i="10"/>
  <c r="G16" i="10" s="1"/>
  <c r="K23" i="3"/>
  <c r="F77" i="7"/>
  <c r="G75" i="7" s="1"/>
  <c r="A19" i="17" l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G131" i="19"/>
  <c r="G142" i="19"/>
  <c r="G143" i="19" s="1"/>
  <c r="G13" i="14"/>
  <c r="G48" i="14"/>
  <c r="K28" i="3"/>
  <c r="G27" i="21"/>
  <c r="G23" i="21"/>
  <c r="G19" i="21"/>
  <c r="G28" i="21"/>
  <c r="G24" i="21"/>
  <c r="G20" i="21"/>
  <c r="G25" i="21"/>
  <c r="G21" i="21"/>
  <c r="G26" i="21"/>
  <c r="G22" i="21"/>
  <c r="G11" i="21"/>
  <c r="K13" i="21" s="1"/>
  <c r="G40" i="21"/>
  <c r="G16" i="21"/>
  <c r="G17" i="21"/>
  <c r="G18" i="21"/>
  <c r="K10" i="21" s="1"/>
  <c r="G15" i="21"/>
  <c r="G88" i="19"/>
  <c r="G87" i="19"/>
  <c r="G77" i="19"/>
  <c r="G76" i="19"/>
  <c r="K38" i="19" s="1"/>
  <c r="G30" i="18"/>
  <c r="G29" i="18"/>
  <c r="G27" i="18"/>
  <c r="G28" i="18"/>
  <c r="K17" i="18" s="1"/>
  <c r="G26" i="18"/>
  <c r="G42" i="16"/>
  <c r="G43" i="16" s="1"/>
  <c r="G16" i="16"/>
  <c r="G15" i="16"/>
  <c r="G49" i="14"/>
  <c r="G27" i="14"/>
  <c r="G35" i="12"/>
  <c r="G36" i="12"/>
  <c r="G61" i="7"/>
  <c r="G60" i="7"/>
  <c r="G62" i="7"/>
  <c r="K30" i="7" s="1"/>
  <c r="K22" i="3"/>
  <c r="G94" i="2"/>
  <c r="G71" i="2"/>
  <c r="K37" i="2"/>
  <c r="G86" i="19"/>
  <c r="G14" i="18"/>
  <c r="G34" i="16"/>
  <c r="G35" i="16"/>
  <c r="G22" i="14"/>
  <c r="G48" i="12"/>
  <c r="G34" i="12"/>
  <c r="G125" i="19"/>
  <c r="G121" i="19"/>
  <c r="G111" i="19"/>
  <c r="G107" i="19"/>
  <c r="G103" i="19"/>
  <c r="G99" i="19"/>
  <c r="G95" i="19"/>
  <c r="K32" i="19" s="1"/>
  <c r="G85" i="19"/>
  <c r="G81" i="19"/>
  <c r="G69" i="19"/>
  <c r="K51" i="19" s="1"/>
  <c r="G65" i="19"/>
  <c r="G61" i="19"/>
  <c r="K48" i="19" s="1"/>
  <c r="G57" i="19"/>
  <c r="G53" i="19"/>
  <c r="G49" i="19"/>
  <c r="G45" i="19"/>
  <c r="G41" i="19"/>
  <c r="G37" i="19"/>
  <c r="G33" i="19"/>
  <c r="G29" i="19"/>
  <c r="G25" i="19"/>
  <c r="G21" i="19"/>
  <c r="K25" i="19" s="1"/>
  <c r="G17" i="19"/>
  <c r="G13" i="19"/>
  <c r="K17" i="19" s="1"/>
  <c r="G15" i="19"/>
  <c r="G30" i="19"/>
  <c r="G14" i="19"/>
  <c r="G130" i="19"/>
  <c r="G132" i="19" s="1"/>
  <c r="G124" i="19"/>
  <c r="G120" i="19"/>
  <c r="G110" i="19"/>
  <c r="K49" i="19" s="1"/>
  <c r="G106" i="19"/>
  <c r="G102" i="19"/>
  <c r="K45" i="19" s="1"/>
  <c r="G98" i="19"/>
  <c r="G94" i="19"/>
  <c r="G84" i="19"/>
  <c r="G75" i="19"/>
  <c r="G68" i="19"/>
  <c r="G64" i="19"/>
  <c r="G60" i="19"/>
  <c r="G56" i="19"/>
  <c r="K39" i="19" s="1"/>
  <c r="G52" i="19"/>
  <c r="G48" i="19"/>
  <c r="G44" i="19"/>
  <c r="G40" i="19"/>
  <c r="G36" i="19"/>
  <c r="G32" i="19"/>
  <c r="K35" i="19" s="1"/>
  <c r="G28" i="19"/>
  <c r="G24" i="19"/>
  <c r="K33" i="19" s="1"/>
  <c r="G20" i="19"/>
  <c r="G16" i="19"/>
  <c r="G12" i="19"/>
  <c r="G38" i="19"/>
  <c r="K37" i="19" s="1"/>
  <c r="G22" i="19"/>
  <c r="G138" i="19"/>
  <c r="K53" i="19" s="1"/>
  <c r="G123" i="19"/>
  <c r="G116" i="19"/>
  <c r="K43" i="19" s="1"/>
  <c r="G109" i="19"/>
  <c r="G105" i="19"/>
  <c r="K44" i="19" s="1"/>
  <c r="G101" i="19"/>
  <c r="G97" i="19"/>
  <c r="G93" i="19"/>
  <c r="G83" i="19"/>
  <c r="K40" i="19" s="1"/>
  <c r="G67" i="19"/>
  <c r="G63" i="19"/>
  <c r="G59" i="19"/>
  <c r="K42" i="19" s="1"/>
  <c r="G55" i="19"/>
  <c r="G51" i="19"/>
  <c r="G47" i="19"/>
  <c r="G43" i="19"/>
  <c r="K27" i="19" s="1"/>
  <c r="G39" i="19"/>
  <c r="K22" i="19" s="1"/>
  <c r="G35" i="19"/>
  <c r="K36" i="19" s="1"/>
  <c r="G31" i="19"/>
  <c r="G27" i="19"/>
  <c r="K34" i="19" s="1"/>
  <c r="G23" i="19"/>
  <c r="G19" i="19"/>
  <c r="K23" i="19" s="1"/>
  <c r="G11" i="19"/>
  <c r="G26" i="19"/>
  <c r="G10" i="19"/>
  <c r="G135" i="19"/>
  <c r="K30" i="19" s="1"/>
  <c r="G126" i="19"/>
  <c r="G122" i="19"/>
  <c r="G112" i="19"/>
  <c r="K50" i="19" s="1"/>
  <c r="G108" i="19"/>
  <c r="K46" i="19" s="1"/>
  <c r="G104" i="19"/>
  <c r="G100" i="19"/>
  <c r="K41" i="19" s="1"/>
  <c r="G96" i="19"/>
  <c r="G82" i="19"/>
  <c r="K24" i="19" s="1"/>
  <c r="G66" i="19"/>
  <c r="G62" i="19"/>
  <c r="K47" i="19" s="1"/>
  <c r="G58" i="19"/>
  <c r="G54" i="19"/>
  <c r="G50" i="19"/>
  <c r="G46" i="19"/>
  <c r="G42" i="19"/>
  <c r="G34" i="19"/>
  <c r="G18" i="19"/>
  <c r="G26" i="14"/>
  <c r="G28" i="14" s="1"/>
  <c r="G33" i="12"/>
  <c r="K20" i="3"/>
  <c r="G31" i="12"/>
  <c r="G30" i="12"/>
  <c r="G32" i="12"/>
  <c r="G29" i="12"/>
  <c r="A43" i="11"/>
  <c r="G28" i="12"/>
  <c r="G59" i="7"/>
  <c r="G23" i="18"/>
  <c r="K13" i="18" s="1"/>
  <c r="G21" i="18"/>
  <c r="G24" i="18"/>
  <c r="G22" i="18"/>
  <c r="G25" i="18"/>
  <c r="G20" i="18"/>
  <c r="G13" i="16"/>
  <c r="G14" i="16"/>
  <c r="G12" i="20"/>
  <c r="G9" i="14"/>
  <c r="K14" i="14" s="1"/>
  <c r="G58" i="7"/>
  <c r="G68" i="2"/>
  <c r="G70" i="2"/>
  <c r="G66" i="2"/>
  <c r="G69" i="2"/>
  <c r="G67" i="2"/>
  <c r="G40" i="12"/>
  <c r="G41" i="12" s="1"/>
  <c r="A11" i="12"/>
  <c r="G16" i="12"/>
  <c r="G57" i="7"/>
  <c r="K33" i="2"/>
  <c r="K35" i="2"/>
  <c r="K34" i="2"/>
  <c r="G32" i="16"/>
  <c r="G71" i="7"/>
  <c r="K33" i="7" s="1"/>
  <c r="G53" i="7"/>
  <c r="G49" i="7"/>
  <c r="G45" i="7"/>
  <c r="G41" i="7"/>
  <c r="G37" i="7"/>
  <c r="G33" i="7"/>
  <c r="G29" i="7"/>
  <c r="G25" i="7"/>
  <c r="G21" i="7"/>
  <c r="G17" i="7"/>
  <c r="G13" i="7"/>
  <c r="G11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K28" i="7" s="1"/>
  <c r="G46" i="7"/>
  <c r="G42" i="7"/>
  <c r="G38" i="7"/>
  <c r="G34" i="7"/>
  <c r="G30" i="7"/>
  <c r="G26" i="7"/>
  <c r="G22" i="7"/>
  <c r="G18" i="7"/>
  <c r="G14" i="7"/>
  <c r="G10" i="7"/>
  <c r="G21" i="14"/>
  <c r="G27" i="12"/>
  <c r="G11" i="12"/>
  <c r="G12" i="12"/>
  <c r="G9" i="34"/>
  <c r="G8" i="34"/>
  <c r="G10" i="34"/>
  <c r="G32" i="21"/>
  <c r="K14" i="21" s="1"/>
  <c r="G20" i="14"/>
  <c r="G9" i="18"/>
  <c r="G86" i="2"/>
  <c r="G87" i="2" s="1"/>
  <c r="G89" i="2"/>
  <c r="G26" i="12"/>
  <c r="G41" i="14"/>
  <c r="K17" i="14" s="1"/>
  <c r="G40" i="14"/>
  <c r="K16" i="14" s="1"/>
  <c r="G39" i="14"/>
  <c r="G9" i="12"/>
  <c r="G10" i="12"/>
  <c r="G59" i="3"/>
  <c r="G38" i="14"/>
  <c r="G37" i="14"/>
  <c r="G22" i="31"/>
  <c r="G18" i="14"/>
  <c r="G17" i="14"/>
  <c r="G19" i="14"/>
  <c r="G36" i="14"/>
  <c r="K13" i="14" s="1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K32" i="2" s="1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33" i="16"/>
  <c r="K17" i="16" s="1"/>
  <c r="G31" i="16"/>
  <c r="K16" i="16" s="1"/>
  <c r="G27" i="16"/>
  <c r="K12" i="16" s="1"/>
  <c r="G23" i="16"/>
  <c r="K10" i="16" s="1"/>
  <c r="G30" i="16"/>
  <c r="G26" i="16"/>
  <c r="K11" i="16" s="1"/>
  <c r="G22" i="16"/>
  <c r="G24" i="16"/>
  <c r="G38" i="16"/>
  <c r="K18" i="16" s="1"/>
  <c r="G29" i="16"/>
  <c r="K14" i="16" s="1"/>
  <c r="G25" i="16"/>
  <c r="G21" i="16"/>
  <c r="G28" i="16"/>
  <c r="G9" i="16"/>
  <c r="K13" i="16" s="1"/>
  <c r="G35" i="14"/>
  <c r="A10" i="35"/>
  <c r="A11" i="35" s="1"/>
  <c r="G10" i="35"/>
  <c r="G11" i="35"/>
  <c r="G18" i="34"/>
  <c r="G13" i="34"/>
  <c r="K10" i="34" s="1"/>
  <c r="G13" i="18"/>
  <c r="A11" i="6"/>
  <c r="G24" i="20"/>
  <c r="G21" i="20"/>
  <c r="G17" i="20"/>
  <c r="G23" i="20"/>
  <c r="G27" i="20"/>
  <c r="G22" i="20"/>
  <c r="G18" i="20"/>
  <c r="G25" i="20"/>
  <c r="A11" i="9"/>
  <c r="A12" i="9" s="1"/>
  <c r="A11" i="7"/>
  <c r="G79" i="5"/>
  <c r="K33" i="5" s="1"/>
  <c r="A11" i="5"/>
  <c r="A11" i="2"/>
  <c r="G14" i="35"/>
  <c r="K10" i="35" s="1"/>
  <c r="G24" i="12"/>
  <c r="G22" i="12"/>
  <c r="G25" i="12"/>
  <c r="G23" i="12"/>
  <c r="G28" i="5"/>
  <c r="A11" i="4"/>
  <c r="A11" i="19"/>
  <c r="G61" i="9"/>
  <c r="G18" i="9"/>
  <c r="G53" i="5"/>
  <c r="G48" i="5"/>
  <c r="G76" i="5"/>
  <c r="K32" i="5" s="1"/>
  <c r="G31" i="5"/>
  <c r="G31" i="9"/>
  <c r="G38" i="9"/>
  <c r="G49" i="9"/>
  <c r="G42" i="9"/>
  <c r="K27" i="9" s="1"/>
  <c r="G46" i="9"/>
  <c r="G9" i="35"/>
  <c r="G8" i="35"/>
  <c r="G16" i="20"/>
  <c r="G21" i="12"/>
  <c r="G39" i="9"/>
  <c r="K25" i="9" s="1"/>
  <c r="G41" i="9"/>
  <c r="G50" i="9"/>
  <c r="G24" i="9"/>
  <c r="G53" i="9"/>
  <c r="G35" i="9"/>
  <c r="G26" i="9"/>
  <c r="K23" i="9" s="1"/>
  <c r="G52" i="9"/>
  <c r="G23" i="9"/>
  <c r="K19" i="9" s="1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35" i="21"/>
  <c r="K15" i="21" s="1"/>
  <c r="G44" i="14"/>
  <c r="K18" i="14" s="1"/>
  <c r="G42" i="20"/>
  <c r="A12" i="3"/>
  <c r="A13" i="3" s="1"/>
  <c r="G14" i="31"/>
  <c r="K10" i="31" s="1"/>
  <c r="G17" i="31"/>
  <c r="G18" i="31" s="1"/>
  <c r="G10" i="31"/>
  <c r="G15" i="20"/>
  <c r="G20" i="20"/>
  <c r="G19" i="20"/>
  <c r="G38" i="18"/>
  <c r="G34" i="14"/>
  <c r="K12" i="14" s="1"/>
  <c r="G43" i="12"/>
  <c r="K21" i="12" s="1"/>
  <c r="G56" i="9"/>
  <c r="K28" i="9" s="1"/>
  <c r="G54" i="9"/>
  <c r="G28" i="9"/>
  <c r="K24" i="3"/>
  <c r="G9" i="3"/>
  <c r="K17" i="3"/>
  <c r="K18" i="3"/>
  <c r="K15" i="3"/>
  <c r="K16" i="3"/>
  <c r="K25" i="3"/>
  <c r="K26" i="3"/>
  <c r="K19" i="3"/>
  <c r="K27" i="3"/>
  <c r="G9" i="2"/>
  <c r="G32" i="14"/>
  <c r="G9" i="31"/>
  <c r="G19" i="35"/>
  <c r="A14" i="3"/>
  <c r="A15" i="3" s="1"/>
  <c r="A16" i="3" s="1"/>
  <c r="G17" i="9"/>
  <c r="G75" i="9"/>
  <c r="K33" i="9" s="1"/>
  <c r="G17" i="10"/>
  <c r="G12" i="10"/>
  <c r="K10" i="10" s="1"/>
  <c r="G8" i="31"/>
  <c r="G11" i="31"/>
  <c r="G10" i="21"/>
  <c r="G9" i="21"/>
  <c r="K12" i="21" s="1"/>
  <c r="G37" i="20"/>
  <c r="K15" i="20" s="1"/>
  <c r="G9" i="19"/>
  <c r="G33" i="18"/>
  <c r="K18" i="18" s="1"/>
  <c r="G19" i="18"/>
  <c r="G33" i="14"/>
  <c r="G9" i="10"/>
  <c r="G10" i="10" s="1"/>
  <c r="G29" i="9"/>
  <c r="G37" i="9"/>
  <c r="G13" i="9"/>
  <c r="K21" i="9" s="1"/>
  <c r="G40" i="9"/>
  <c r="K26" i="9" s="1"/>
  <c r="G12" i="9"/>
  <c r="G33" i="9"/>
  <c r="G14" i="9"/>
  <c r="G25" i="9"/>
  <c r="K17" i="9" s="1"/>
  <c r="G48" i="9"/>
  <c r="G16" i="9"/>
  <c r="G55" i="9"/>
  <c r="G22" i="9"/>
  <c r="G62" i="9"/>
  <c r="G15" i="9"/>
  <c r="K22" i="9" s="1"/>
  <c r="G57" i="9"/>
  <c r="G11" i="9"/>
  <c r="K11" i="9" s="1"/>
  <c r="G58" i="9"/>
  <c r="G47" i="9"/>
  <c r="G19" i="9"/>
  <c r="G9" i="9"/>
  <c r="G32" i="9"/>
  <c r="G60" i="9"/>
  <c r="G44" i="9"/>
  <c r="G36" i="9"/>
  <c r="G20" i="9"/>
  <c r="G51" i="9"/>
  <c r="G43" i="9"/>
  <c r="G34" i="9"/>
  <c r="K12" i="3"/>
  <c r="K13" i="3"/>
  <c r="G33" i="20"/>
  <c r="G35" i="20" s="1"/>
  <c r="G26" i="20"/>
  <c r="G9" i="7"/>
  <c r="G45" i="9"/>
  <c r="K18" i="9" s="1"/>
  <c r="G10" i="9"/>
  <c r="A19" i="18"/>
  <c r="K11" i="21" l="1"/>
  <c r="A39" i="17"/>
  <c r="K15" i="9"/>
  <c r="K12" i="9"/>
  <c r="K20" i="9"/>
  <c r="K14" i="9"/>
  <c r="K16" i="9"/>
  <c r="K13" i="9"/>
  <c r="K24" i="9"/>
  <c r="K13" i="19"/>
  <c r="K31" i="19"/>
  <c r="K16" i="18"/>
  <c r="K15" i="16"/>
  <c r="K14" i="20"/>
  <c r="K12" i="19"/>
  <c r="K14" i="19"/>
  <c r="K21" i="19"/>
  <c r="K16" i="19"/>
  <c r="K29" i="19"/>
  <c r="K20" i="19"/>
  <c r="G78" i="19"/>
  <c r="K26" i="19"/>
  <c r="K28" i="19"/>
  <c r="K15" i="19"/>
  <c r="K18" i="19"/>
  <c r="K19" i="19"/>
  <c r="K11" i="14"/>
  <c r="G14" i="14"/>
  <c r="K15" i="14"/>
  <c r="K19" i="12"/>
  <c r="K20" i="12"/>
  <c r="K40" i="2"/>
  <c r="G29" i="21"/>
  <c r="K8" i="21"/>
  <c r="K9" i="21"/>
  <c r="K14" i="18"/>
  <c r="G15" i="18"/>
  <c r="K16" i="12"/>
  <c r="K15" i="18"/>
  <c r="A12" i="7"/>
  <c r="A13" i="7" s="1"/>
  <c r="K11" i="3"/>
  <c r="K10" i="3"/>
  <c r="K14" i="3"/>
  <c r="K9" i="3"/>
  <c r="K17" i="12"/>
  <c r="K18" i="12"/>
  <c r="K10" i="20"/>
  <c r="K11" i="20"/>
  <c r="G117" i="19"/>
  <c r="G136" i="19"/>
  <c r="K9" i="16"/>
  <c r="A12" i="12"/>
  <c r="K31" i="2"/>
  <c r="K31" i="5"/>
  <c r="K28" i="2"/>
  <c r="K30" i="2"/>
  <c r="G73" i="9"/>
  <c r="G64" i="7"/>
  <c r="G77" i="5"/>
  <c r="K30" i="5"/>
  <c r="K13" i="20"/>
  <c r="G17" i="16"/>
  <c r="K22" i="2"/>
  <c r="K14" i="12"/>
  <c r="G33" i="21"/>
  <c r="K8" i="16"/>
  <c r="K20" i="2"/>
  <c r="K29" i="2"/>
  <c r="K26" i="2"/>
  <c r="K11" i="18"/>
  <c r="K12" i="20"/>
  <c r="G89" i="19"/>
  <c r="K12" i="18"/>
  <c r="G10" i="14"/>
  <c r="K15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G17" i="12"/>
  <c r="K9" i="20"/>
  <c r="G76" i="7"/>
  <c r="K10" i="18"/>
  <c r="K10" i="14"/>
  <c r="K12" i="12"/>
  <c r="K11" i="12"/>
  <c r="G38" i="20"/>
  <c r="G71" i="19"/>
  <c r="G113" i="19"/>
  <c r="G139" i="19"/>
  <c r="G127" i="19"/>
  <c r="K29" i="7"/>
  <c r="G30" i="20"/>
  <c r="G10" i="18"/>
  <c r="K9" i="18"/>
  <c r="K13" i="12"/>
  <c r="K27" i="7"/>
  <c r="K26" i="7"/>
  <c r="K25" i="7"/>
  <c r="K9" i="35"/>
  <c r="K9" i="34"/>
  <c r="G14" i="34"/>
  <c r="K10" i="12"/>
  <c r="K24" i="7"/>
  <c r="G73" i="2"/>
  <c r="A12" i="2"/>
  <c r="G72" i="7"/>
  <c r="G13" i="10"/>
  <c r="K9" i="5"/>
  <c r="G65" i="5"/>
  <c r="G80" i="5"/>
  <c r="G36" i="21"/>
  <c r="G34" i="18"/>
  <c r="G39" i="16"/>
  <c r="G45" i="14"/>
  <c r="G44" i="12"/>
  <c r="A12" i="4"/>
  <c r="A13" i="4" s="1"/>
  <c r="K17" i="7"/>
  <c r="G76" i="9"/>
  <c r="G90" i="2"/>
  <c r="G12" i="35"/>
  <c r="G11" i="34"/>
  <c r="G12" i="31"/>
  <c r="G31" i="18"/>
  <c r="G12" i="21"/>
  <c r="G10" i="16"/>
  <c r="G36" i="16"/>
  <c r="G42" i="14"/>
  <c r="G23" i="14"/>
  <c r="G37" i="12"/>
  <c r="G13" i="12"/>
  <c r="G56" i="3"/>
  <c r="K9" i="19"/>
  <c r="K22" i="7"/>
  <c r="K16" i="7"/>
  <c r="A12" i="5"/>
  <c r="K16" i="5"/>
  <c r="K25" i="5"/>
  <c r="K29" i="5"/>
  <c r="K26" i="5"/>
  <c r="G15" i="35"/>
  <c r="L13" i="35"/>
  <c r="K9" i="31"/>
  <c r="G15" i="31"/>
  <c r="K10" i="19"/>
  <c r="K9" i="12"/>
  <c r="K9" i="10"/>
  <c r="K13" i="7"/>
  <c r="K21" i="7"/>
  <c r="K20" i="7"/>
  <c r="K18" i="7"/>
  <c r="A12" i="6"/>
  <c r="K27" i="5"/>
  <c r="K24" i="5"/>
  <c r="K17" i="5"/>
  <c r="K19" i="5"/>
  <c r="K28" i="5"/>
  <c r="K9" i="2"/>
  <c r="K11" i="19"/>
  <c r="K13" i="5"/>
  <c r="K10" i="9"/>
  <c r="K9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A20" i="18"/>
  <c r="A21" i="18" s="1"/>
  <c r="A12" i="19"/>
  <c r="A13" i="9"/>
  <c r="A14" i="7"/>
  <c r="A17" i="3"/>
  <c r="A18" i="3" s="1"/>
  <c r="A41" i="17" l="1"/>
  <c r="L29" i="21"/>
  <c r="A9" i="8"/>
  <c r="A13" i="5"/>
  <c r="A16" i="12"/>
  <c r="G19" i="34"/>
  <c r="A13" i="2"/>
  <c r="A22" i="18"/>
  <c r="A23" i="18" s="1"/>
  <c r="G23" i="31"/>
  <c r="L17" i="18"/>
  <c r="L12" i="34"/>
  <c r="L12" i="31"/>
  <c r="L12" i="21"/>
  <c r="L32" i="19"/>
  <c r="G44" i="16"/>
  <c r="G18" i="10"/>
  <c r="G81" i="9"/>
  <c r="A13" i="6"/>
  <c r="L32" i="3"/>
  <c r="G144" i="19"/>
  <c r="L29" i="9"/>
  <c r="L26" i="7"/>
  <c r="G85" i="5"/>
  <c r="A14" i="9"/>
  <c r="G95" i="2"/>
  <c r="A13" i="19"/>
  <c r="A15" i="7"/>
  <c r="A14" i="4"/>
  <c r="G20" i="35"/>
  <c r="G41" i="21"/>
  <c r="G49" i="12"/>
  <c r="G50" i="14"/>
  <c r="G43" i="20"/>
  <c r="A9" i="21"/>
  <c r="G64" i="3"/>
  <c r="G39" i="18"/>
  <c r="G77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10" i="8" l="1"/>
  <c r="A11" i="8" s="1"/>
  <c r="A43" i="17"/>
  <c r="A14" i="5"/>
  <c r="A24" i="18"/>
  <c r="A25" i="18" s="1"/>
  <c r="A26" i="18" s="1"/>
  <c r="A27" i="18" s="1"/>
  <c r="A28" i="18" s="1"/>
  <c r="A14" i="2"/>
  <c r="A15" i="9"/>
  <c r="A16" i="9" s="1"/>
  <c r="A17" i="9" s="1"/>
  <c r="A18" i="9" s="1"/>
  <c r="A14" i="6"/>
  <c r="A10" i="21"/>
  <c r="A11" i="21" s="1"/>
  <c r="A14" i="19"/>
  <c r="A16" i="7"/>
  <c r="A15" i="4"/>
  <c r="A9" i="16"/>
  <c r="A45" i="17" l="1"/>
  <c r="A47" i="17" s="1"/>
  <c r="A49" i="17" s="1"/>
  <c r="A51" i="17" s="1"/>
  <c r="A53" i="17" s="1"/>
  <c r="A12" i="8"/>
  <c r="A13" i="8" s="1"/>
  <c r="A29" i="18"/>
  <c r="A30" i="18" s="1"/>
  <c r="A15" i="5"/>
  <c r="A16" i="5"/>
  <c r="A17" i="5" s="1"/>
  <c r="A21" i="12"/>
  <c r="A15" i="6"/>
  <c r="A16" i="6" s="1"/>
  <c r="A17" i="6" s="1"/>
  <c r="A15" i="2"/>
  <c r="A16" i="2" s="1"/>
  <c r="A15" i="19"/>
  <c r="A19" i="9"/>
  <c r="A17" i="7"/>
  <c r="A16" i="4"/>
  <c r="A14" i="8" l="1"/>
  <c r="A15" i="8" s="1"/>
  <c r="A55" i="17"/>
  <c r="A57" i="17" s="1"/>
  <c r="A59" i="17" s="1"/>
  <c r="A13" i="16"/>
  <c r="A22" i="12"/>
  <c r="A23" i="12" s="1"/>
  <c r="A24" i="12" s="1"/>
  <c r="A25" i="12" s="1"/>
  <c r="A26" i="12" s="1"/>
  <c r="A27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8" i="6"/>
  <c r="A19" i="6" s="1"/>
  <c r="A16" i="19"/>
  <c r="A17" i="19" s="1"/>
  <c r="A20" i="9"/>
  <c r="A18" i="7"/>
  <c r="A17" i="4"/>
  <c r="A18" i="4" s="1"/>
  <c r="A17" i="2"/>
  <c r="A18" i="2" s="1"/>
  <c r="A16" i="8" l="1"/>
  <c r="A17" i="8" s="1"/>
  <c r="A18" i="8" s="1"/>
  <c r="A61" i="17"/>
  <c r="A63" i="17" s="1"/>
  <c r="A14" i="16"/>
  <c r="A15" i="16" s="1"/>
  <c r="A16" i="16" s="1"/>
  <c r="A28" i="12"/>
  <c r="A56" i="5"/>
  <c r="A57" i="5" s="1"/>
  <c r="A20" i="6"/>
  <c r="A21" i="6" s="1"/>
  <c r="A18" i="19"/>
  <c r="A19" i="19" s="1"/>
  <c r="A21" i="9"/>
  <c r="A19" i="7"/>
  <c r="A19" i="4"/>
  <c r="A19" i="2"/>
  <c r="A19" i="8" l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65" i="17"/>
  <c r="A29" i="12"/>
  <c r="A58" i="5"/>
  <c r="A59" i="5" s="1"/>
  <c r="A60" i="5" s="1"/>
  <c r="A61" i="5" s="1"/>
  <c r="A62" i="5" s="1"/>
  <c r="A63" i="5" s="1"/>
  <c r="A64" i="5" s="1"/>
  <c r="A22" i="6"/>
  <c r="A23" i="6" s="1"/>
  <c r="A20" i="19"/>
  <c r="A22" i="9"/>
  <c r="A20" i="7"/>
  <c r="A20" i="4"/>
  <c r="A20" i="2"/>
  <c r="A67" i="17" l="1"/>
  <c r="A69" i="17" s="1"/>
  <c r="A71" i="17" s="1"/>
  <c r="A73" i="17" s="1"/>
  <c r="A75" i="17" s="1"/>
  <c r="A77" i="17" s="1"/>
  <c r="A15" i="21"/>
  <c r="A30" i="12"/>
  <c r="A21" i="16"/>
  <c r="A22" i="16" s="1"/>
  <c r="A23" i="16" s="1"/>
  <c r="A24" i="16" s="1"/>
  <c r="A25" i="16" s="1"/>
  <c r="A26" i="16" s="1"/>
  <c r="A24" i="6"/>
  <c r="A25" i="6" s="1"/>
  <c r="A21" i="19"/>
  <c r="A23" i="9"/>
  <c r="A21" i="7"/>
  <c r="A21" i="4"/>
  <c r="A21" i="2"/>
  <c r="A79" i="17" l="1"/>
  <c r="A81" i="17" s="1"/>
  <c r="A83" i="17" s="1"/>
  <c r="A16" i="21"/>
  <c r="A17" i="21" s="1"/>
  <c r="A18" i="21" s="1"/>
  <c r="A20" i="21" s="1"/>
  <c r="A19" i="21"/>
  <c r="A38" i="8"/>
  <c r="A31" i="12"/>
  <c r="A32" i="12" s="1"/>
  <c r="A33" i="12" s="1"/>
  <c r="A34" i="12" s="1"/>
  <c r="A35" i="12" s="1"/>
  <c r="A36" i="12" s="1"/>
  <c r="A27" i="16"/>
  <c r="A28" i="16" s="1"/>
  <c r="A29" i="16" s="1"/>
  <c r="A30" i="16" s="1"/>
  <c r="A31" i="16" s="1"/>
  <c r="A32" i="16" s="1"/>
  <c r="A33" i="16" s="1"/>
  <c r="A15" i="20"/>
  <c r="A22" i="19"/>
  <c r="A24" i="9"/>
  <c r="A22" i="7"/>
  <c r="A26" i="6"/>
  <c r="A22" i="4"/>
  <c r="A22" i="2"/>
  <c r="A21" i="21" l="1"/>
  <c r="A23" i="21" s="1"/>
  <c r="A24" i="21" s="1"/>
  <c r="A22" i="21"/>
  <c r="A85" i="17"/>
  <c r="A87" i="17" s="1"/>
  <c r="A89" i="17" s="1"/>
  <c r="A91" i="17" s="1"/>
  <c r="A40" i="8"/>
  <c r="A42" i="8" s="1"/>
  <c r="A44" i="8" s="1"/>
  <c r="A46" i="8" s="1"/>
  <c r="A48" i="8" s="1"/>
  <c r="A50" i="8" s="1"/>
  <c r="A52" i="8" s="1"/>
  <c r="A34" i="16"/>
  <c r="A35" i="16" s="1"/>
  <c r="A40" i="12"/>
  <c r="A16" i="20"/>
  <c r="A17" i="20" s="1"/>
  <c r="A18" i="20" s="1"/>
  <c r="A19" i="20" s="1"/>
  <c r="A23" i="19"/>
  <c r="A25" i="9"/>
  <c r="A23" i="7"/>
  <c r="A27" i="6"/>
  <c r="A23" i="4"/>
  <c r="A23" i="2"/>
  <c r="A25" i="21" l="1"/>
  <c r="A26" i="21" s="1"/>
  <c r="A27" i="21" s="1"/>
  <c r="A28" i="21" s="1"/>
  <c r="A54" i="8"/>
  <c r="A56" i="8" s="1"/>
  <c r="A58" i="8" s="1"/>
  <c r="A60" i="8" s="1"/>
  <c r="A20" i="20"/>
  <c r="A24" i="19"/>
  <c r="A26" i="9"/>
  <c r="A24" i="7"/>
  <c r="A28" i="6"/>
  <c r="A24" i="4"/>
  <c r="A24" i="2"/>
  <c r="A32" i="21" l="1"/>
  <c r="A62" i="8"/>
  <c r="A21" i="20"/>
  <c r="A25" i="19"/>
  <c r="A27" i="9"/>
  <c r="A25" i="7"/>
  <c r="A29" i="6"/>
  <c r="A25" i="4"/>
  <c r="A25" i="2"/>
  <c r="A64" i="8" l="1"/>
  <c r="A66" i="8" s="1"/>
  <c r="A22" i="20"/>
  <c r="A23" i="20" s="1"/>
  <c r="A24" i="20" s="1"/>
  <c r="A25" i="20" s="1"/>
  <c r="A26" i="20" s="1"/>
  <c r="A26" i="19"/>
  <c r="A28" i="9"/>
  <c r="A26" i="7"/>
  <c r="A30" i="6"/>
  <c r="A26" i="4"/>
  <c r="A26" i="2"/>
  <c r="A27" i="20" l="1"/>
  <c r="A28" i="20" s="1"/>
  <c r="A27" i="19"/>
  <c r="A29" i="9"/>
  <c r="A27" i="7"/>
  <c r="A31" i="6"/>
  <c r="A27" i="4"/>
  <c r="A27" i="2"/>
  <c r="A29" i="20" l="1"/>
  <c r="A28" i="19"/>
  <c r="A30" i="9"/>
  <c r="A28" i="7"/>
  <c r="A32" i="6"/>
  <c r="A28" i="4"/>
  <c r="A28" i="2"/>
  <c r="A33" i="20" l="1"/>
  <c r="A34" i="20" s="1"/>
  <c r="A29" i="19"/>
  <c r="A31" i="9"/>
  <c r="A29" i="7"/>
  <c r="A33" i="6"/>
  <c r="A29" i="4"/>
  <c r="A29" i="2"/>
  <c r="G51" i="4" l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9" i="4" l="1"/>
  <c r="K27" i="4"/>
  <c r="K28" i="4"/>
  <c r="K25" i="4"/>
  <c r="K26" i="4"/>
  <c r="K24" i="4"/>
  <c r="G58" i="4"/>
  <c r="G66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9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17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0" i="19"/>
  <c r="A52" i="9"/>
  <c r="A54" i="6"/>
  <c r="A50" i="2"/>
  <c r="A59" i="7" l="1"/>
  <c r="A60" i="7" s="1"/>
  <c r="A51" i="19"/>
  <c r="A53" i="9"/>
  <c r="A55" i="6"/>
  <c r="A51" i="2"/>
  <c r="A61" i="7" l="1"/>
  <c r="A62" i="7" s="1"/>
  <c r="A63" i="7" s="1"/>
  <c r="A52" i="19"/>
  <c r="A54" i="9"/>
  <c r="A56" i="6"/>
  <c r="A52" i="2"/>
  <c r="A67" i="7" l="1"/>
  <c r="A53" i="19"/>
  <c r="A55" i="9"/>
  <c r="A57" i="6"/>
  <c r="A53" i="2"/>
  <c r="A68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62" i="9"/>
  <c r="A64" i="6"/>
  <c r="A60" i="2"/>
  <c r="A75" i="19" l="1"/>
  <c r="A76" i="19" s="1"/>
  <c r="A77" i="19" s="1"/>
  <c r="A63" i="9"/>
  <c r="A65" i="6"/>
  <c r="A61" i="2"/>
  <c r="A64" i="9" l="1"/>
  <c r="A65" i="9" s="1"/>
  <c r="A66" i="9" s="1"/>
  <c r="A67" i="9" s="1"/>
  <c r="A68" i="9" s="1"/>
  <c r="A69" i="9" s="1"/>
  <c r="A66" i="6"/>
  <c r="A62" i="2"/>
  <c r="A70" i="9" l="1"/>
  <c r="A71" i="9" s="1"/>
  <c r="A72" i="9" s="1"/>
  <c r="A81" i="19"/>
  <c r="A82" i="19" s="1"/>
  <c r="A83" i="19" s="1"/>
  <c r="A67" i="6"/>
  <c r="A63" i="2"/>
  <c r="A84" i="19" l="1"/>
  <c r="A85" i="19" s="1"/>
  <c r="A86" i="19" s="1"/>
  <c r="A87" i="19" s="1"/>
  <c r="A88" i="19" s="1"/>
  <c r="A68" i="6"/>
  <c r="A64" i="2"/>
  <c r="A93" i="19" l="1"/>
  <c r="A94" i="19" s="1"/>
  <c r="A95" i="19" s="1"/>
  <c r="A69" i="6"/>
  <c r="A65" i="2"/>
  <c r="A66" i="2" s="1"/>
  <c r="A67" i="2" s="1"/>
  <c r="A68" i="2" s="1"/>
  <c r="A69" i="2" s="1"/>
  <c r="A70" i="2" s="1"/>
  <c r="A71" i="2" s="1"/>
  <c r="A72" i="2" s="1"/>
  <c r="A96" i="19" l="1"/>
  <c r="A97" i="19" s="1"/>
  <c r="A98" i="19" s="1"/>
  <c r="A70" i="6"/>
  <c r="A99" i="19" l="1"/>
  <c r="A71" i="6"/>
  <c r="A100" i="19" l="1"/>
  <c r="A72" i="6"/>
  <c r="A101" i="19" l="1"/>
  <c r="A102" i="19" s="1"/>
  <c r="A103" i="19" s="1"/>
  <c r="A73" i="6"/>
  <c r="A104" i="19" l="1"/>
  <c r="A105" i="19" s="1"/>
  <c r="A106" i="19" s="1"/>
  <c r="A107" i="19" s="1"/>
  <c r="A108" i="19" s="1"/>
  <c r="A109" i="19" s="1"/>
  <c r="A110" i="19" s="1"/>
  <c r="A111" i="19" s="1"/>
  <c r="A112" i="19" s="1"/>
  <c r="A74" i="6"/>
  <c r="A116" i="19" l="1"/>
  <c r="A120" i="19" s="1"/>
  <c r="A121" i="19" s="1"/>
  <c r="A122" i="19" s="1"/>
  <c r="A123" i="19" s="1"/>
  <c r="A124" i="19" s="1"/>
  <c r="A75" i="6"/>
  <c r="A125" i="19" l="1"/>
  <c r="A126" i="19" s="1"/>
  <c r="A76" i="6"/>
  <c r="A77" i="6" s="1"/>
  <c r="A78" i="6" s="1"/>
  <c r="A79" i="6" s="1"/>
  <c r="A80" i="6" s="1"/>
  <c r="A130" i="19" l="1"/>
  <c r="A131" i="19" s="1"/>
  <c r="A81" i="6"/>
  <c r="A82" i="6" s="1"/>
  <c r="A83" i="6" s="1"/>
  <c r="A84" i="6" s="1"/>
  <c r="A85" i="6" s="1"/>
  <c r="A86" i="6" l="1"/>
  <c r="A87" i="6" s="1"/>
  <c r="A88" i="6" s="1"/>
  <c r="A89" i="6" s="1"/>
  <c r="A68" i="5"/>
  <c r="A69" i="5" s="1"/>
  <c r="A70" i="5" s="1"/>
  <c r="A71" i="5" s="1"/>
  <c r="A72" i="5" s="1"/>
  <c r="A135" i="19" l="1"/>
  <c r="A90" i="6"/>
  <c r="A91" i="6" l="1"/>
  <c r="A92" i="6" s="1"/>
  <c r="A93" i="6" s="1"/>
  <c r="A94" i="6" s="1"/>
  <c r="A95" i="6" s="1"/>
  <c r="A96" i="6" s="1"/>
  <c r="A97" i="6" s="1"/>
  <c r="A98" i="6" s="1"/>
  <c r="A76" i="5"/>
  <c r="A102" i="6" l="1"/>
  <c r="A76" i="2"/>
  <c r="A77" i="2" s="1"/>
  <c r="A78" i="2" s="1"/>
  <c r="A79" i="2" s="1"/>
  <c r="A80" i="2" s="1"/>
  <c r="A103" i="6" l="1"/>
  <c r="A107" i="6" s="1"/>
  <c r="A108" i="6" s="1"/>
  <c r="A81" i="2"/>
  <c r="A82" i="2" s="1"/>
  <c r="A86" i="2" s="1"/>
  <c r="F122" i="17" l="1"/>
  <c r="G121" i="17" s="1"/>
  <c r="G109" i="17" l="1"/>
  <c r="G32" i="17"/>
  <c r="L35" i="17" s="1"/>
  <c r="G28" i="17"/>
  <c r="G24" i="17"/>
  <c r="G35" i="17"/>
  <c r="L15" i="17" s="1"/>
  <c r="G33" i="17"/>
  <c r="G31" i="17"/>
  <c r="G27" i="17"/>
  <c r="G23" i="17"/>
  <c r="G30" i="17"/>
  <c r="G26" i="17"/>
  <c r="G34" i="17"/>
  <c r="G29" i="17"/>
  <c r="G25" i="17"/>
  <c r="L23" i="17" s="1"/>
  <c r="G22" i="17"/>
  <c r="L34" i="17" s="1"/>
  <c r="G110" i="17"/>
  <c r="L36" i="17" s="1"/>
  <c r="G19" i="17"/>
  <c r="G17" i="17"/>
  <c r="G15" i="17"/>
  <c r="L9" i="17" s="1"/>
  <c r="G21" i="17"/>
  <c r="G18" i="17"/>
  <c r="L11" i="17" s="1"/>
  <c r="G20" i="17"/>
  <c r="G16" i="17"/>
  <c r="G12" i="17"/>
  <c r="G11" i="17"/>
  <c r="G99" i="17"/>
  <c r="L20" i="17" s="1"/>
  <c r="G13" i="17"/>
  <c r="G10" i="17"/>
  <c r="G14" i="17"/>
  <c r="L28" i="17" s="1"/>
  <c r="L14" i="17"/>
  <c r="G108" i="17"/>
  <c r="L31" i="17" s="1"/>
  <c r="G9" i="17"/>
  <c r="G107" i="17"/>
  <c r="L24" i="17" s="1"/>
  <c r="G105" i="17"/>
  <c r="L21" i="17" s="1"/>
  <c r="G106" i="17"/>
  <c r="L26" i="17" s="1"/>
  <c r="G122" i="17"/>
  <c r="G98" i="17"/>
  <c r="G97" i="17"/>
  <c r="L12" i="17" s="1"/>
  <c r="G117" i="17"/>
  <c r="L37" i="17" s="1"/>
  <c r="G104" i="17"/>
  <c r="G114" i="17"/>
  <c r="L22" i="17" s="1"/>
  <c r="L16" i="17" l="1"/>
  <c r="G36" i="17"/>
  <c r="L13" i="17"/>
  <c r="L19" i="17"/>
  <c r="L10" i="17"/>
  <c r="L25" i="17"/>
  <c r="G111" i="17"/>
  <c r="G100" i="17"/>
  <c r="G115" i="17"/>
  <c r="G118" i="17"/>
  <c r="G123" i="17" l="1"/>
  <c r="A97" i="17" l="1"/>
  <c r="A98" i="17" l="1"/>
  <c r="A99" i="17" s="1"/>
  <c r="A104" i="17" l="1"/>
  <c r="A105" i="17" s="1"/>
  <c r="A106" i="17" l="1"/>
  <c r="A107" i="17" s="1"/>
  <c r="A108" i="17" s="1"/>
  <c r="A109" i="17" l="1"/>
  <c r="A110" i="17" s="1"/>
  <c r="A72" i="8"/>
  <c r="A73" i="8" s="1"/>
  <c r="A74" i="8" s="1"/>
  <c r="A75" i="8" s="1"/>
  <c r="A114" i="17" l="1"/>
  <c r="A79" i="8"/>
  <c r="A84" i="8" l="1"/>
  <c r="A85" i="8" s="1"/>
  <c r="A86" i="8" s="1"/>
  <c r="A87" i="8" s="1"/>
  <c r="A88" i="8" s="1"/>
  <c r="A89" i="8" l="1"/>
  <c r="A39" i="36"/>
  <c r="A93" i="8" l="1"/>
  <c r="A40" i="36"/>
  <c r="A41" i="36" s="1"/>
  <c r="A45" i="36" l="1"/>
  <c r="F53" i="36" l="1"/>
  <c r="G31" i="36" l="1"/>
  <c r="G19" i="36"/>
  <c r="L15" i="36" s="1"/>
  <c r="G11" i="36"/>
  <c r="L12" i="36" s="1"/>
  <c r="G27" i="36"/>
  <c r="L18" i="36" s="1"/>
  <c r="G25" i="36"/>
  <c r="G15" i="36"/>
  <c r="L13" i="36" s="1"/>
  <c r="G17" i="36"/>
  <c r="L14" i="36" s="1"/>
  <c r="G33" i="36"/>
  <c r="L21" i="36" s="1"/>
  <c r="G23" i="36"/>
  <c r="L17" i="36" s="1"/>
  <c r="G13" i="36"/>
  <c r="L10" i="36" s="1"/>
  <c r="G21" i="36"/>
  <c r="G29" i="36"/>
  <c r="L19" i="36" s="1"/>
  <c r="G41" i="36"/>
  <c r="L20" i="36" s="1"/>
  <c r="G45" i="36"/>
  <c r="G39" i="36"/>
  <c r="L11" i="36" s="1"/>
  <c r="G40" i="36"/>
  <c r="L16" i="36" s="1"/>
  <c r="G9" i="36"/>
  <c r="G48" i="36"/>
  <c r="L22" i="36" s="1"/>
  <c r="G53" i="36"/>
  <c r="G46" i="36" l="1"/>
  <c r="L9" i="36"/>
  <c r="G35" i="36"/>
  <c r="G42" i="36"/>
  <c r="G49" i="36"/>
  <c r="L8" i="36"/>
  <c r="G54" i="36" l="1"/>
  <c r="F101" i="8"/>
  <c r="G26" i="8" l="1"/>
  <c r="G100" i="8"/>
  <c r="G74" i="8"/>
  <c r="L20" i="8" s="1"/>
  <c r="G11" i="8"/>
  <c r="L16" i="8" s="1"/>
  <c r="G14" i="8"/>
  <c r="G73" i="8"/>
  <c r="G96" i="8"/>
  <c r="L32" i="8" s="1"/>
  <c r="G84" i="8"/>
  <c r="L22" i="8" s="1"/>
  <c r="G30" i="8"/>
  <c r="L28" i="8" s="1"/>
  <c r="G86" i="8"/>
  <c r="L25" i="8" s="1"/>
  <c r="G24" i="8"/>
  <c r="G12" i="8"/>
  <c r="G25" i="8"/>
  <c r="G17" i="8"/>
  <c r="G93" i="8"/>
  <c r="L23" i="8" s="1"/>
  <c r="G19" i="8"/>
  <c r="G33" i="8"/>
  <c r="G34" i="8"/>
  <c r="G88" i="8"/>
  <c r="L30" i="8" s="1"/>
  <c r="G13" i="8"/>
  <c r="G29" i="8"/>
  <c r="G18" i="8"/>
  <c r="G28" i="8"/>
  <c r="G10" i="8"/>
  <c r="G87" i="8"/>
  <c r="G15" i="8"/>
  <c r="G23" i="8"/>
  <c r="L27" i="8" s="1"/>
  <c r="G16" i="8"/>
  <c r="G21" i="8"/>
  <c r="L9" i="8" s="1"/>
  <c r="G27" i="8"/>
  <c r="G22" i="8"/>
  <c r="G89" i="8"/>
  <c r="G101" i="8"/>
  <c r="G85" i="8"/>
  <c r="L24" i="8" s="1"/>
  <c r="G79" i="8"/>
  <c r="L31" i="8" s="1"/>
  <c r="G72" i="8"/>
  <c r="L19" i="8" s="1"/>
  <c r="G9" i="8"/>
  <c r="G20" i="8"/>
  <c r="G32" i="8"/>
  <c r="L29" i="8" s="1"/>
  <c r="G75" i="8"/>
  <c r="G31" i="8"/>
  <c r="L13" i="8" s="1"/>
  <c r="G94" i="8"/>
  <c r="L26" i="8" l="1"/>
  <c r="L14" i="8"/>
  <c r="L15" i="8"/>
  <c r="L11" i="8"/>
  <c r="L17" i="8"/>
  <c r="L10" i="8"/>
  <c r="L18" i="8"/>
  <c r="L12" i="8"/>
  <c r="G80" i="8"/>
  <c r="G90" i="8"/>
  <c r="G76" i="8"/>
  <c r="G97" i="8"/>
  <c r="G35" i="8"/>
  <c r="G102" i="8" l="1"/>
</calcChain>
</file>

<file path=xl/sharedStrings.xml><?xml version="1.0" encoding="utf-8"?>
<sst xmlns="http://schemas.openxmlformats.org/spreadsheetml/2006/main" count="4037" uniqueCount="742">
  <si>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</si>
  <si>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</si>
  <si>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</si>
  <si>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</si>
  <si>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</si>
  <si>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</si>
  <si>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</si>
  <si>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</si>
  <si>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</si>
  <si>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</si>
  <si>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</si>
  <si>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</si>
  <si>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</si>
  <si>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</si>
  <si>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</si>
  <si>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</si>
  <si>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</si>
  <si>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</si>
  <si>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</si>
  <si>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</si>
  <si>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</si>
  <si>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</si>
  <si>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</si>
  <si>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</si>
  <si>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</si>
  <si>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</si>
  <si>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</si>
  <si>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</si>
  <si>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</si>
  <si>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</si>
  <si>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</si>
  <si>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</si>
  <si>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</si>
  <si>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</si>
  <si>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</si>
  <si>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</si>
  <si>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</si>
  <si>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</si>
  <si>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</si>
  <si>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</si>
  <si>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</si>
  <si>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</si>
  <si>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</si>
  <si>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</si>
  <si>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</si>
  <si>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</si>
  <si>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</si>
  <si>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</si>
  <si>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</si>
  <si>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</si>
  <si>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</si>
  <si>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</si>
  <si>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</si>
  <si>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</si>
  <si>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</si>
  <si>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</si>
  <si>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</si>
  <si>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</si>
  <si>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</si>
  <si>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</si>
  <si>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</si>
  <si>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</si>
  <si>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</si>
  <si>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</si>
  <si>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</si>
  <si>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</si>
  <si>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</si>
  <si>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</si>
  <si>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</si>
  <si>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</si>
  <si>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</si>
  <si>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</si>
  <si>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</si>
  <si>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</si>
  <si>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</si>
  <si>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</si>
  <si>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</si>
  <si>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</si>
  <si>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</si>
  <si>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</si>
  <si>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</si>
  <si>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</si>
  <si>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</si>
  <si>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</si>
  <si>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</si>
  <si>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</si>
  <si>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</si>
  <si>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</si>
  <si>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</si>
  <si>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</si>
  <si>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</si>
  <si>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</si>
  <si>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</si>
  <si>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</si>
  <si>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</si>
  <si>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</si>
  <si>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</si>
  <si>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</si>
  <si>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</si>
  <si>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</si>
  <si>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</si>
  <si>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</si>
  <si>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</si>
  <si>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</si>
  <si>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</si>
  <si>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</si>
  <si>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</si>
  <si>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</si>
  <si>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</si>
  <si>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</si>
  <si>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</si>
  <si>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</si>
  <si>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</si>
  <si>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</si>
  <si>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</si>
  <si>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</si>
  <si>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</si>
  <si>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</si>
  <si>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</si>
  <si>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</si>
  <si>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</si>
  <si>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</si>
  <si>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</si>
  <si>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</si>
  <si>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</si>
  <si>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INE070A01015</t>
  </si>
  <si>
    <t>INE259A01022</t>
  </si>
  <si>
    <t>IN9155A01020</t>
  </si>
  <si>
    <t>Principal Dividend Yield Fund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</si>
  <si>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</si>
  <si>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</si>
  <si>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</si>
  <si>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</si>
  <si>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</si>
  <si>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</si>
  <si>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</si>
  <si>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</si>
  <si>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</si>
  <si>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</si>
  <si>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</si>
  <si>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</si>
  <si>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</si>
  <si>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</si>
  <si>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</si>
  <si>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</si>
  <si>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</si>
  <si>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</si>
  <si>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</si>
  <si>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</si>
  <si>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</si>
  <si>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</si>
  <si>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</si>
  <si>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</si>
  <si>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</si>
  <si>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</si>
  <si>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</si>
  <si>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</si>
  <si>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</si>
  <si>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</si>
  <si>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</si>
  <si>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</si>
  <si>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</si>
  <si>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</si>
  <si>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</si>
  <si>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</si>
  <si>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</si>
  <si>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</si>
  <si>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</si>
  <si>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</si>
  <si>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</si>
  <si>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</si>
  <si>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</si>
  <si>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</si>
  <si>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</si>
  <si>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</si>
  <si>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</si>
  <si>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</si>
  <si>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</si>
  <si>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</si>
  <si>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</si>
  <si>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</si>
  <si>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</si>
  <si>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</si>
  <si>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</si>
  <si>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</si>
  <si>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</si>
  <si>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</si>
  <si>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</si>
  <si>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</si>
  <si>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</si>
  <si>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</si>
  <si>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</si>
  <si>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</si>
  <si>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</si>
  <si>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</si>
  <si>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</si>
  <si>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</si>
  <si>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</si>
  <si>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</si>
  <si>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</si>
  <si>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</si>
  <si>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</si>
  <si>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</si>
  <si>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</si>
  <si>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</si>
  <si>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</si>
  <si>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</si>
  <si>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</si>
  <si>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</si>
  <si>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</si>
  <si>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</si>
  <si>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</si>
  <si>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</si>
  <si>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</si>
  <si>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</si>
  <si>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</si>
  <si>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</si>
  <si>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</si>
  <si>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</si>
  <si>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</si>
  <si>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</si>
  <si>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</si>
  <si>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</si>
  <si>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</si>
  <si>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</si>
  <si>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</si>
  <si>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</si>
  <si>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</si>
  <si>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</si>
  <si>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</si>
  <si>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</si>
  <si>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</si>
  <si>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</si>
  <si>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</si>
  <si>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</si>
  <si>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</si>
  <si>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</si>
  <si>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</si>
  <si>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</si>
  <si>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</si>
  <si>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</si>
  <si>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</si>
  <si>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</si>
  <si>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</si>
  <si>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</si>
  <si>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</si>
  <si>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</si>
  <si>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</si>
  <si>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</si>
  <si>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</si>
  <si>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</si>
  <si>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</si>
  <si>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Ambuja Cements Ltd.</t>
  </si>
  <si>
    <t>ACC Ltd.</t>
  </si>
  <si>
    <t>Hindalco Industries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</si>
  <si>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</si>
  <si>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</si>
  <si>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</si>
  <si>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</si>
  <si>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</si>
  <si>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</si>
  <si>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</si>
  <si>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</si>
  <si>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</si>
  <si>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</si>
  <si>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</si>
  <si>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</si>
  <si>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</si>
  <si>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</si>
  <si>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</si>
  <si>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</si>
  <si>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</si>
  <si>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</si>
  <si>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</si>
  <si>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</si>
  <si>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</si>
  <si>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</si>
  <si>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</si>
  <si>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</si>
  <si>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</si>
  <si>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</si>
  <si>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</si>
  <si>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</si>
  <si>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</si>
  <si>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</si>
  <si>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</si>
  <si>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</si>
  <si>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</si>
  <si>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</si>
  <si>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</si>
  <si>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</si>
  <si>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</si>
  <si>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</si>
  <si>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</si>
  <si>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</si>
  <si>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</si>
  <si>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</si>
  <si>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</si>
  <si>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</si>
  <si>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</si>
  <si>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</si>
  <si>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</si>
  <si>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</si>
  <si>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</si>
  <si>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</si>
  <si>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</si>
  <si>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</si>
  <si>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</si>
  <si>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</si>
  <si>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</si>
  <si>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</si>
  <si>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</si>
  <si>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</si>
  <si>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</si>
  <si>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</si>
  <si>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Bharti Infratel Ltd.</t>
  </si>
  <si>
    <t>INE121J01017</t>
  </si>
  <si>
    <t>IND A1+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</si>
  <si>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</si>
  <si>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</si>
  <si>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</si>
  <si>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</si>
  <si>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</si>
  <si>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</si>
  <si>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</si>
  <si>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</si>
  <si>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</si>
  <si>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</si>
  <si>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</si>
  <si>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</si>
  <si>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</si>
  <si>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</si>
  <si>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</si>
  <si>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</si>
  <si>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</si>
  <si>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</si>
  <si>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</si>
  <si>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</si>
  <si>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</si>
  <si>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</si>
  <si>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</si>
  <si>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</si>
  <si>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</si>
  <si>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</si>
  <si>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</si>
  <si>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</si>
  <si>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</si>
  <si>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</si>
  <si>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</si>
  <si>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</si>
  <si>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INE296A01024</t>
  </si>
  <si>
    <t>INE586V01016</t>
  </si>
  <si>
    <t>BWR AA-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</si>
  <si>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</si>
  <si>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</si>
  <si>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</si>
  <si>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</si>
  <si>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</si>
  <si>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</si>
  <si>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</si>
  <si>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</si>
  <si>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</si>
  <si>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</si>
  <si>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</si>
  <si>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</si>
  <si>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</si>
  <si>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</si>
  <si>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</si>
  <si>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</si>
  <si>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</si>
  <si>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</si>
  <si>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</si>
  <si>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</si>
  <si>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</si>
  <si>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</si>
  <si>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</si>
  <si>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</si>
  <si>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</si>
  <si>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</si>
  <si>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</si>
  <si>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</si>
  <si>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</si>
  <si>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</si>
  <si>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</si>
  <si>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</si>
  <si>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</si>
  <si>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</si>
  <si>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</si>
  <si>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</si>
  <si>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</si>
  <si>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</si>
  <si>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INE036D01028</t>
  </si>
  <si>
    <t>Listed / awaiting listing on the stock exchanges</t>
  </si>
  <si>
    <t>INE733E07KB4</t>
  </si>
  <si>
    <t>Chambal Fertilisers and Chemicals Ltd.</t>
  </si>
  <si>
    <t>INE085A01013</t>
  </si>
  <si>
    <t>Fertilisers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</si>
  <si>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</si>
  <si>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</si>
  <si>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</si>
  <si>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</si>
  <si>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</si>
  <si>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</si>
  <si>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</si>
  <si>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</si>
  <si>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</si>
  <si>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</si>
  <si>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</si>
  <si>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</si>
  <si>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</si>
  <si>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Coromandel International Ltd.</t>
  </si>
  <si>
    <t>INE169A01031</t>
  </si>
  <si>
    <t>Sheela Foam Ltd.</t>
  </si>
  <si>
    <t>INE916U01025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</si>
  <si>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</si>
  <si>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</si>
  <si>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</si>
  <si>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</si>
  <si>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</si>
  <si>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</si>
  <si>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</si>
  <si>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</si>
  <si>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</si>
  <si>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</si>
  <si>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</si>
  <si>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</si>
  <si>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</si>
  <si>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</si>
  <si>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Himadri Speciality Chemical Ltd.</t>
  </si>
  <si>
    <t>INE019C01026</t>
  </si>
  <si>
    <t>Principal Cash Management Fund - Growth Option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</si>
  <si>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</si>
  <si>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</si>
  <si>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</si>
  <si>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</si>
  <si>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</si>
  <si>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</si>
  <si>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</si>
  <si>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</si>
  <si>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</si>
  <si>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</si>
  <si>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</si>
  <si>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</si>
  <si>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</si>
  <si>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</si>
  <si>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</si>
  <si>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</si>
  <si>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</si>
  <si>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</si>
  <si>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</si>
  <si>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</si>
  <si>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</si>
  <si>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</si>
  <si>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</si>
  <si>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</si>
  <si>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</si>
  <si>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</si>
  <si>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</si>
  <si>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</si>
  <si>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</si>
  <si>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</si>
  <si>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</si>
  <si>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</si>
  <si>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</si>
  <si>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</si>
  <si>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</si>
  <si>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IND AAA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</si>
  <si>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</si>
  <si>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</si>
  <si>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</si>
  <si>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</si>
  <si>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</si>
  <si>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</si>
  <si>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</si>
  <si>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</si>
  <si>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</si>
  <si>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</si>
  <si>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</si>
  <si>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</si>
  <si>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</si>
  <si>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</si>
  <si>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</si>
  <si>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</si>
  <si>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</si>
  <si>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</si>
  <si>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</si>
  <si>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</si>
  <si>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</si>
  <si>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</si>
  <si>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</si>
  <si>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</si>
  <si>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7.50% Power Finance Corporation Ltd.</t>
  </si>
  <si>
    <t>INE134E08IW3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</si>
  <si>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</si>
  <si>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</si>
  <si>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</si>
  <si>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</si>
  <si>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</si>
  <si>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</si>
  <si>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</si>
  <si>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</si>
  <si>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</si>
  <si>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</si>
  <si>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</si>
  <si>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</si>
  <si>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</si>
  <si>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</si>
  <si>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Balrampur Chini Mills Ltd.</t>
  </si>
  <si>
    <t>INE119A01028</t>
  </si>
  <si>
    <t>8.70% JM Financial Products Ltd.</t>
  </si>
  <si>
    <t>CARE AA</t>
  </si>
  <si>
    <t>INE202B07IK1</t>
  </si>
  <si>
    <t>INE148I14SU5</t>
  </si>
  <si>
    <t>7.63% PNB Housing Finance Ltd.</t>
  </si>
  <si>
    <t>INE069R07117</t>
  </si>
  <si>
    <t>INE155A08365</t>
  </si>
  <si>
    <t>***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</si>
  <si>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</si>
  <si>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</si>
  <si>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</si>
  <si>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</si>
  <si>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</si>
  <si>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</si>
  <si>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</si>
  <si>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</si>
  <si>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</si>
  <si>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</si>
  <si>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</si>
  <si>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</si>
  <si>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</si>
  <si>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Chennai Petroleum Corporation Ltd.</t>
  </si>
  <si>
    <t>INE178A01016</t>
  </si>
  <si>
    <t>INE008I14JK1</t>
  </si>
  <si>
    <t>National Bank for Agriculture and Rural Development</t>
  </si>
  <si>
    <t>HCL Infosystems Ltd.</t>
  </si>
  <si>
    <t>[ICRA]A1</t>
  </si>
  <si>
    <t>INE261F08907</t>
  </si>
  <si>
    <t>INE002A08476</t>
  </si>
  <si>
    <t>INE261F08527</t>
  </si>
  <si>
    <t>Gujarat Narmada Valley Fertilizers &amp; Chemicals Ltd.</t>
  </si>
  <si>
    <t>INE113A01013</t>
  </si>
  <si>
    <t>Chennai Super Kings Ltd. @**</t>
  </si>
  <si>
    <t>BWR A1+</t>
  </si>
  <si>
    <t>Kribhco Fertilizers Ltd.</t>
  </si>
  <si>
    <t>INE486H14888</t>
  </si>
  <si>
    <t>TBILL 91 DAYS 2018</t>
  </si>
  <si>
    <t>INE001A07PT5</t>
  </si>
  <si>
    <t>8.13% Tata Motors Ltd.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</si>
  <si>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</si>
  <si>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</si>
  <si>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</si>
  <si>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</si>
  <si>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</si>
  <si>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</si>
  <si>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</si>
  <si>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</si>
  <si>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</si>
  <si>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</si>
  <si>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</si>
  <si>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6.79% Government of India Security</t>
  </si>
  <si>
    <t>IN0020170026</t>
  </si>
  <si>
    <t>INE008I14KL7</t>
  </si>
  <si>
    <t>INE008I14KK9</t>
  </si>
  <si>
    <t>INE020B08591</t>
  </si>
  <si>
    <t>7.59% Government of India Security</t>
  </si>
  <si>
    <t>IN0020150069</t>
  </si>
  <si>
    <t>INE936D07067</t>
  </si>
  <si>
    <t>7.72% Government of India Security</t>
  </si>
  <si>
    <t>IN0020150036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</si>
  <si>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</si>
  <si>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</si>
  <si>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</si>
  <si>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</si>
  <si>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</si>
  <si>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</si>
  <si>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</si>
  <si>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</si>
  <si>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NCC Ltd.</t>
  </si>
  <si>
    <t>INE868B01028</t>
  </si>
  <si>
    <t>Amara Raja Batteries Ltd.</t>
  </si>
  <si>
    <t>INE885A01032</t>
  </si>
  <si>
    <t>INE110L07054</t>
  </si>
  <si>
    <t>INE053F09FU0</t>
  </si>
  <si>
    <t>DLF Ltd.</t>
  </si>
  <si>
    <t>INE271C01023</t>
  </si>
  <si>
    <t>Reliance Capital Ltd.</t>
  </si>
  <si>
    <t>INE013A01015</t>
  </si>
  <si>
    <t>INE001A07QV9</t>
  </si>
  <si>
    <t>Principal Credit Opportunities Fund - Direct Plan - Growth Option</t>
  </si>
  <si>
    <t>INF173K01FX6</t>
  </si>
  <si>
    <t>IND A (SO)</t>
  </si>
  <si>
    <t>CARE AA+ (SO)</t>
  </si>
  <si>
    <t>All corporate ratings are assigned by rating agencies like CRISIL; CARE; ICRA; IND; BRW.</t>
  </si>
  <si>
    <t>Shree Cement Ltd.</t>
  </si>
  <si>
    <t>Rama Steel Tubes Ltd.</t>
  </si>
  <si>
    <t>INE230R01027</t>
  </si>
  <si>
    <t>Orient Electric Ltd. @**</t>
  </si>
  <si>
    <t>INE142Z01019</t>
  </si>
  <si>
    <t>Texmaco Rail &amp; Engineering Ltd.</t>
  </si>
  <si>
    <t>INE621L01012</t>
  </si>
  <si>
    <t>INE600K01018</t>
  </si>
  <si>
    <t>The Ramco Cements Ltd.</t>
  </si>
  <si>
    <t>INE331A01037</t>
  </si>
  <si>
    <t>INE124N07085</t>
  </si>
  <si>
    <t>INE140A07369</t>
  </si>
  <si>
    <t>IN0020150093</t>
  </si>
  <si>
    <t>CESC Ltd.</t>
  </si>
  <si>
    <t>INE486A01013</t>
  </si>
  <si>
    <t>Dish TV India Ltd.</t>
  </si>
  <si>
    <t>INE836F01026</t>
  </si>
  <si>
    <t>INE090A160O6</t>
  </si>
  <si>
    <t>7.17% Government of India Security</t>
  </si>
  <si>
    <t>IN0020170174</t>
  </si>
  <si>
    <t>India Infoline Housing Finance Ltd.</t>
  </si>
  <si>
    <t>INE148I14UG0</t>
  </si>
  <si>
    <t>INE477L14CL5</t>
  </si>
  <si>
    <t>-</t>
  </si>
  <si>
    <t>8.88% Export-Import Bank of India **</t>
  </si>
  <si>
    <t>8.95% Reliance Utilities &amp; Power Private Ltd. **</t>
  </si>
  <si>
    <t>9.10% Dewan Housing Finance Corporation Ltd. **</t>
  </si>
  <si>
    <t>7.48% Housing Development Finance Corporation Ltd. **</t>
  </si>
  <si>
    <t>7.40% Tata Motors Ltd. **</t>
  </si>
  <si>
    <t>8.10% NTPC Ltd. **</t>
  </si>
  <si>
    <t>8.80% Indiabulls Housing Finance Ltd. **</t>
  </si>
  <si>
    <t>9.20% Avanse Financial Services Ltd. **</t>
  </si>
  <si>
    <t>10.85% Aspire Home Finance Corporation Ltd. **</t>
  </si>
  <si>
    <t>10.35% Ess Kay Fincorp Ltd. **</t>
  </si>
  <si>
    <t>8.13% Piramal Enterprises Ltd. **</t>
  </si>
  <si>
    <t>7.21% Housing Development Finance Corporation Ltd. **</t>
  </si>
  <si>
    <t>7.78% LIC Housing Finance Ltd. **</t>
  </si>
  <si>
    <t>7.63% PNB Housing Finance Ltd. **</t>
  </si>
  <si>
    <t>10.70% Aspire Home Finance Corporation Ltd. **</t>
  </si>
  <si>
    <t>Industry / Rating</t>
  </si>
  <si>
    <t>Interglobe Aviation Ltd.</t>
  </si>
  <si>
    <t>INE646L01027</t>
  </si>
  <si>
    <t>Sterlite Technologies Ltd.</t>
  </si>
  <si>
    <t>INE089C01029</t>
  </si>
  <si>
    <t>Galaxy Surfactants Ltd.</t>
  </si>
  <si>
    <t>HSIL Ltd.</t>
  </si>
  <si>
    <t>INE415A14BP1</t>
  </si>
  <si>
    <t>INE008I14LF7</t>
  </si>
  <si>
    <t>INE236A14HJ1</t>
  </si>
  <si>
    <t>8.85% HDFC Bank Ltd.</t>
  </si>
  <si>
    <t>INE002A08484</t>
  </si>
  <si>
    <t>Avanse Financial Services Ltd.</t>
  </si>
  <si>
    <t>INE087P14374</t>
  </si>
  <si>
    <t>INE752E07OF7</t>
  </si>
  <si>
    <t>Cash Future Arbitrage</t>
  </si>
  <si>
    <t>8.55% Indiabulls Housing Finance Ltd. **</t>
  </si>
  <si>
    <t>8.15% Piramal Enterprises Ltd. **</t>
  </si>
  <si>
    <t>8.70% JM Financial Products Ltd. **</t>
  </si>
  <si>
    <t>9.05% Dewan Housing Finance Corporation Ltd. **</t>
  </si>
  <si>
    <t>10.30% Manappuram Finance Ltd. **</t>
  </si>
  <si>
    <t>8.13% Tata Motors Ltd. **</t>
  </si>
  <si>
    <t>8.10% Reliance Jio Infocomm Ltd. **</t>
  </si>
  <si>
    <t>8.85% Power Grid Corporation of India Ltd. **</t>
  </si>
  <si>
    <t>9.48% Rural Electrification Corporation Ltd. **</t>
  </si>
  <si>
    <t>8.55% Indian Railway Finance Corporation Ltd. **</t>
  </si>
  <si>
    <t>7.80% Housing Development Finance Corporation Ltd. **</t>
  </si>
  <si>
    <t>7.25% Small Industries Development Bank of India **</t>
  </si>
  <si>
    <t>9.25% Power Grid Corporation of India Ltd. **</t>
  </si>
  <si>
    <t>7.30% Power Grid Corporation of India Ltd. **</t>
  </si>
  <si>
    <t>Portfolio as on Mar 31, 2018</t>
  </si>
  <si>
    <t>Gayatri Projects Ltd.</t>
  </si>
  <si>
    <t>INE336H01023</t>
  </si>
  <si>
    <t>Bandhan Bank Ltd.</t>
  </si>
  <si>
    <t>INE545U01014</t>
  </si>
  <si>
    <t>IN002017X544</t>
  </si>
  <si>
    <t>INE238A16S56</t>
  </si>
  <si>
    <t>DCB Bank Ltd.</t>
  </si>
  <si>
    <t>INE503A16FA2</t>
  </si>
  <si>
    <t>Rural Electrification Corporation Ltd.</t>
  </si>
  <si>
    <t>INE020B14516</t>
  </si>
  <si>
    <t>INE236A14HK9</t>
  </si>
  <si>
    <t>8.55% Indiabulls Housing Finance Ltd.</t>
  </si>
  <si>
    <t>9.20% Avanse Financial Services Ltd.</t>
  </si>
  <si>
    <t>10.70% Aspire Home Finance Corporation Ltd.</t>
  </si>
  <si>
    <t>10.35% Ess Kay Fincorp Ltd.</t>
  </si>
  <si>
    <t>11.15% Suryoday Small Finance Bank Ltd.</t>
  </si>
  <si>
    <t>INE428Q08057</t>
  </si>
  <si>
    <t>CARE A-</t>
  </si>
  <si>
    <t>Sprit Infrapower &amp; Multiventures Pvt. Ltd. (ZCB)</t>
  </si>
  <si>
    <t>INE428Q08040</t>
  </si>
  <si>
    <t>[ICRA]A-</t>
  </si>
  <si>
    <t>6.98% National Bank for Agriculture and Rural Development</t>
  </si>
  <si>
    <t>6.78% Reliance Industries Ltd.</t>
  </si>
  <si>
    <t>INE090A08UB4</t>
  </si>
  <si>
    <t>[ICRA]AA+</t>
  </si>
  <si>
    <t>7.35% Government of India Security</t>
  </si>
  <si>
    <t>IN0020090034</t>
  </si>
  <si>
    <t>8.90% Maharashtra State Government Security</t>
  </si>
  <si>
    <t>IN2220120066</t>
  </si>
  <si>
    <t>8.85% Maharashtra State Government Security</t>
  </si>
  <si>
    <t>IN2220120041</t>
  </si>
  <si>
    <t>INE514E08FN1</t>
  </si>
  <si>
    <t>7.00% Reliance Industries Ltd.</t>
  </si>
  <si>
    <t>Andhra Bank</t>
  </si>
  <si>
    <t>INE434A16PC5</t>
  </si>
  <si>
    <t>INE557F08FA4</t>
  </si>
  <si>
    <t>8.22% National Bank for Agriculture and Rural Development</t>
  </si>
  <si>
    <t>INE261F08AA4</t>
  </si>
  <si>
    <t>INE134E08JO8</t>
  </si>
  <si>
    <t>The Jammu &amp; Kashmir Bank Ltd.</t>
  </si>
  <si>
    <t>INE168A16LD6</t>
  </si>
  <si>
    <t>Infrastructure Leasing &amp; Financial Services Ltd.</t>
  </si>
  <si>
    <t>INE871D14JB2</t>
  </si>
  <si>
    <t>IL&amp;FS Financial Services Ltd.</t>
  </si>
  <si>
    <t>INE121H14IS9</t>
  </si>
  <si>
    <t>INE261F14CJ9</t>
  </si>
  <si>
    <t>8.37% National Bank for Agriculture and Rural Development</t>
  </si>
  <si>
    <t>7.65% Housing Development Finance Corporation Ltd.</t>
  </si>
  <si>
    <t>9.23% Gujarat State Government Security</t>
  </si>
  <si>
    <t>IN1520110140</t>
  </si>
  <si>
    <t>8.84% Maharashtra State Government Security</t>
  </si>
  <si>
    <t>IN2220120058</t>
  </si>
  <si>
    <t>INE171A16GU4</t>
  </si>
  <si>
    <t>Reliance Jio Infocomm Ltd.</t>
  </si>
  <si>
    <t>INE110L14GV2</t>
  </si>
  <si>
    <t>INE121H14JE7</t>
  </si>
  <si>
    <t>INE087P14424</t>
  </si>
  <si>
    <t>INE881J14NM7</t>
  </si>
  <si>
    <t>Power Finance Corporation Ltd.</t>
  </si>
  <si>
    <t>INE134E14972</t>
  </si>
  <si>
    <t>INE881J14NI5</t>
  </si>
  <si>
    <t>Piramal Enterprises Ltd.</t>
  </si>
  <si>
    <t>INE140A14SA1</t>
  </si>
  <si>
    <t>INE477L14CQ4</t>
  </si>
  <si>
    <t>IN002017X569</t>
  </si>
  <si>
    <t>Certificate of Deposit **</t>
  </si>
  <si>
    <t>Unlisted</t>
  </si>
  <si>
    <t>11.55% Suryoday Small Finance Bank Ltd. **</t>
  </si>
  <si>
    <t>9.15% ICICI Bank Ltd. **</t>
  </si>
  <si>
    <t>7.56% Export-Import Bank of India **</t>
  </si>
  <si>
    <t>7.59% National Housing Bank **</t>
  </si>
  <si>
    <t>7.99% Power Finance Corporation Ltd. **</t>
  </si>
  <si>
    <t>Aggregate investments by other schemes of Principal Mutual Fund at the end of the period is Rs.806.88 Lakhs</t>
  </si>
  <si>
    <t>Aggregate investments by other schemes of Principal Mutual Fund at the end of the period is Rs.1532.65 Lakhs</t>
  </si>
  <si>
    <t>Aggregate investments by other schemes of Principal Mutual Fund at the end of the period is Rs.46.58 Lakhs</t>
  </si>
  <si>
    <t>Aggregate investments by other schemes of Principal Mutual Fund at the end of the period is Rs.156.27 Lakhs</t>
  </si>
  <si>
    <t>Aggregate investments by other schemes of Principal Mutual Fund at the end of the period is Rs.93.38 Lakhs</t>
  </si>
  <si>
    <t>Aggregate investments by other schemes of Principal Mutual Fund at the end of the period is Rs.1388.34 Lakhs</t>
  </si>
  <si>
    <t>Derivatives   % to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</si>
</sst>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75" fontId="0" fillId="0" borderId="0" xfId="0" applyNumberFormat="1"/>
    <xf numFmtId="175" fontId="11" fillId="4" borderId="0" xfId="0" applyNumberFormat="1" applyFont="1" applyFill="1"/>
    <xf numFmtId="10" fontId="11" fillId="4" borderId="0" xfId="0" applyNumberFormat="1" applyFont="1" applyFill="1"/>
    <xf numFmtId="10" fontId="5" fillId="2" borderId="2" xfId="4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7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355</v>
      </c>
      <c r="B1" s="126" t="s">
        <v>0</v>
      </c>
      <c r="C1" s="127"/>
      <c r="D1" s="127"/>
      <c r="E1" s="127"/>
      <c r="F1" s="127"/>
      <c r="G1" s="127"/>
      <c r="H1" s="128"/>
    </row>
    <row r="2" spans="1:15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9</v>
      </c>
      <c r="C7" s="16"/>
      <c r="F7" s="13"/>
      <c r="G7" s="14"/>
      <c r="H7" s="15"/>
    </row>
    <row r="8" spans="1:15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5" ht="12.75" customHeight="1" x14ac:dyDescent="0.2">
      <c r="A9">
        <f>+MAX($A$8:A8)+1</f>
        <v>1</v>
      </c>
      <c r="B9" t="s">
        <v>187</v>
      </c>
      <c r="C9" t="s">
        <v>13</v>
      </c>
      <c r="D9" t="s">
        <v>10</v>
      </c>
      <c r="E9" s="28">
        <v>142365</v>
      </c>
      <c r="F9" s="13">
        <v>2685.1462649999999</v>
      </c>
      <c r="G9" s="14">
        <f t="shared" ref="G9:G40" si="0">+ROUND(F9/VLOOKUP("Grand Total",$B$4:$F$284,5,0),4)</f>
        <v>4.2700000000000002E-2</v>
      </c>
      <c r="H9" s="15"/>
      <c r="I9" s="15"/>
      <c r="J9" s="14" t="s">
        <v>10</v>
      </c>
      <c r="K9" s="48">
        <f t="shared" ref="K9:K39" si="1">SUMIFS($G$5:$G$322,$D$5:$D$322,J9)</f>
        <v>0.17809999999999998</v>
      </c>
    </row>
    <row r="10" spans="1:15" ht="12.75" customHeight="1" x14ac:dyDescent="0.2">
      <c r="A10">
        <f>+MAX($A$8:A9)+1</f>
        <v>2</v>
      </c>
      <c r="B10" t="s">
        <v>190</v>
      </c>
      <c r="C10" t="s">
        <v>11</v>
      </c>
      <c r="D10" t="s">
        <v>10</v>
      </c>
      <c r="E10" s="28">
        <v>778587</v>
      </c>
      <c r="F10" s="13">
        <v>2167.1969144999998</v>
      </c>
      <c r="G10" s="14">
        <f t="shared" si="0"/>
        <v>3.44E-2</v>
      </c>
      <c r="H10" s="15"/>
      <c r="J10" s="14" t="s">
        <v>25</v>
      </c>
      <c r="K10" s="48">
        <f t="shared" si="1"/>
        <v>0.1142</v>
      </c>
    </row>
    <row r="11" spans="1:15" ht="12.75" customHeight="1" x14ac:dyDescent="0.2">
      <c r="A11">
        <f>+MAX($A$8:A10)+1</f>
        <v>3</v>
      </c>
      <c r="B11" t="s">
        <v>188</v>
      </c>
      <c r="C11" t="s">
        <v>15</v>
      </c>
      <c r="D11" t="s">
        <v>14</v>
      </c>
      <c r="E11" s="28">
        <v>164142</v>
      </c>
      <c r="F11" s="13">
        <v>1857.7591559999998</v>
      </c>
      <c r="G11" s="14">
        <f t="shared" si="0"/>
        <v>2.9499999999999998E-2</v>
      </c>
      <c r="H11" s="15"/>
      <c r="J11" s="14" t="s">
        <v>14</v>
      </c>
      <c r="K11" s="48">
        <f t="shared" si="1"/>
        <v>7.1099999999999997E-2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189</v>
      </c>
      <c r="C12" t="s">
        <v>30</v>
      </c>
      <c r="D12" t="s">
        <v>29</v>
      </c>
      <c r="E12" s="28">
        <v>207332</v>
      </c>
      <c r="F12" s="13">
        <v>1830.1195640000001</v>
      </c>
      <c r="G12" s="14">
        <f t="shared" si="0"/>
        <v>2.9100000000000001E-2</v>
      </c>
      <c r="H12" s="15"/>
      <c r="J12" s="14" t="s">
        <v>35</v>
      </c>
      <c r="K12" s="48">
        <f t="shared" si="1"/>
        <v>5.4200000000000005E-2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220</v>
      </c>
      <c r="C13" t="s">
        <v>70</v>
      </c>
      <c r="D13" t="s">
        <v>27</v>
      </c>
      <c r="E13" s="28">
        <v>137696</v>
      </c>
      <c r="F13" s="13">
        <v>1805.0568640000001</v>
      </c>
      <c r="G13" s="14">
        <f t="shared" si="0"/>
        <v>2.87E-2</v>
      </c>
      <c r="H13" s="15"/>
      <c r="J13" s="14" t="s">
        <v>27</v>
      </c>
      <c r="K13" s="48">
        <f t="shared" si="1"/>
        <v>5.2499999999999998E-2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193</v>
      </c>
      <c r="C14" t="s">
        <v>26</v>
      </c>
      <c r="D14" t="s">
        <v>23</v>
      </c>
      <c r="E14" s="28">
        <v>93303</v>
      </c>
      <c r="F14" s="13">
        <v>1703.3395680000001</v>
      </c>
      <c r="G14" s="14">
        <f t="shared" si="0"/>
        <v>2.7099999999999999E-2</v>
      </c>
      <c r="H14" s="15"/>
      <c r="J14" s="14" t="s">
        <v>20</v>
      </c>
      <c r="K14" s="48">
        <f t="shared" si="1"/>
        <v>5.1999999999999998E-2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196</v>
      </c>
      <c r="C15" t="s">
        <v>45</v>
      </c>
      <c r="D15" t="s">
        <v>25</v>
      </c>
      <c r="E15" s="28">
        <v>581201</v>
      </c>
      <c r="F15" s="13">
        <v>1484.9685549999999</v>
      </c>
      <c r="G15" s="14">
        <f t="shared" si="0"/>
        <v>2.3599999999999999E-2</v>
      </c>
      <c r="H15" s="15"/>
      <c r="J15" s="14" t="s">
        <v>23</v>
      </c>
      <c r="K15" s="48">
        <f t="shared" si="1"/>
        <v>4.7899999999999998E-2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308</v>
      </c>
      <c r="C16" t="s">
        <v>309</v>
      </c>
      <c r="D16" t="s">
        <v>141</v>
      </c>
      <c r="E16" s="28">
        <v>262209</v>
      </c>
      <c r="F16" s="13">
        <v>1479.1209690000001</v>
      </c>
      <c r="G16" s="14">
        <f t="shared" si="0"/>
        <v>2.35E-2</v>
      </c>
      <c r="H16" s="15"/>
      <c r="J16" s="14" t="s">
        <v>18</v>
      </c>
      <c r="K16" s="48">
        <f t="shared" si="1"/>
        <v>4.2200000000000001E-2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192</v>
      </c>
      <c r="C17" t="s">
        <v>24</v>
      </c>
      <c r="D17" t="s">
        <v>14</v>
      </c>
      <c r="E17" s="28">
        <v>148986</v>
      </c>
      <c r="F17" s="13">
        <v>1443.0783959999999</v>
      </c>
      <c r="G17" s="14">
        <f t="shared" si="0"/>
        <v>2.29E-2</v>
      </c>
      <c r="H17" s="15"/>
      <c r="J17" s="14" t="s">
        <v>131</v>
      </c>
      <c r="K17" s="48">
        <f t="shared" si="1"/>
        <v>3.9199999999999999E-2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16</v>
      </c>
      <c r="C18" t="s">
        <v>17</v>
      </c>
      <c r="D18" t="s">
        <v>10</v>
      </c>
      <c r="E18" s="28">
        <v>543759</v>
      </c>
      <c r="F18" s="13">
        <v>1358.8537409999999</v>
      </c>
      <c r="G18" s="14">
        <f t="shared" si="0"/>
        <v>2.1600000000000001E-2</v>
      </c>
      <c r="H18" s="15"/>
      <c r="J18" s="14" t="s">
        <v>22</v>
      </c>
      <c r="K18" s="48">
        <f t="shared" si="1"/>
        <v>3.78E-2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226</v>
      </c>
      <c r="C19" t="s">
        <v>77</v>
      </c>
      <c r="D19" t="s">
        <v>25</v>
      </c>
      <c r="E19" s="28">
        <v>41692</v>
      </c>
      <c r="F19" s="13">
        <v>1304.813678</v>
      </c>
      <c r="G19" s="14">
        <f t="shared" si="0"/>
        <v>2.07E-2</v>
      </c>
      <c r="H19" s="15"/>
      <c r="J19" s="14" t="s">
        <v>40</v>
      </c>
      <c r="K19" s="48">
        <f t="shared" si="1"/>
        <v>3.1300000000000001E-2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245</v>
      </c>
      <c r="C20" t="s">
        <v>114</v>
      </c>
      <c r="D20" t="s">
        <v>35</v>
      </c>
      <c r="E20" s="28">
        <v>737700</v>
      </c>
      <c r="F20" s="13">
        <v>1251.8769</v>
      </c>
      <c r="G20" s="14">
        <f t="shared" si="0"/>
        <v>1.9900000000000001E-2</v>
      </c>
      <c r="H20" s="15"/>
      <c r="J20" s="90" t="s">
        <v>37</v>
      </c>
      <c r="K20" s="48">
        <f t="shared" si="1"/>
        <v>2.92E-2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219</v>
      </c>
      <c r="C21" t="s">
        <v>65</v>
      </c>
      <c r="D21" t="s">
        <v>27</v>
      </c>
      <c r="E21" s="28">
        <v>307552</v>
      </c>
      <c r="F21" s="13">
        <v>1198.6839199999999</v>
      </c>
      <c r="G21" s="14">
        <f t="shared" si="0"/>
        <v>1.9E-2</v>
      </c>
      <c r="H21" s="15"/>
      <c r="J21" s="14" t="s">
        <v>29</v>
      </c>
      <c r="K21" s="48">
        <f t="shared" si="1"/>
        <v>2.9100000000000001E-2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211</v>
      </c>
      <c r="C22" t="s">
        <v>19</v>
      </c>
      <c r="D22" t="s">
        <v>14</v>
      </c>
      <c r="E22" s="28">
        <v>41230</v>
      </c>
      <c r="F22" s="13">
        <v>1174.7045450000001</v>
      </c>
      <c r="G22" s="14">
        <f t="shared" si="0"/>
        <v>1.8700000000000001E-2</v>
      </c>
      <c r="H22" s="15"/>
      <c r="J22" s="14" t="s">
        <v>141</v>
      </c>
      <c r="K22" s="48">
        <f t="shared" si="1"/>
        <v>2.35E-2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548</v>
      </c>
      <c r="C23" t="s">
        <v>549</v>
      </c>
      <c r="D23" t="s">
        <v>35</v>
      </c>
      <c r="E23" s="28">
        <v>1450000</v>
      </c>
      <c r="F23" s="13">
        <v>1145.5</v>
      </c>
      <c r="G23" s="14">
        <f t="shared" si="0"/>
        <v>1.8200000000000001E-2</v>
      </c>
      <c r="H23" s="15"/>
      <c r="J23" s="14" t="s">
        <v>396</v>
      </c>
      <c r="K23" s="48">
        <f t="shared" si="1"/>
        <v>1.7299999999999999E-2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550</v>
      </c>
      <c r="C24" t="s">
        <v>551</v>
      </c>
      <c r="D24" t="s">
        <v>25</v>
      </c>
      <c r="E24" s="28">
        <v>18416</v>
      </c>
      <c r="F24" s="13">
        <v>1123.3944159999999</v>
      </c>
      <c r="G24" s="14">
        <f t="shared" si="0"/>
        <v>1.78E-2</v>
      </c>
      <c r="H24" s="15"/>
      <c r="J24" s="14" t="s">
        <v>44</v>
      </c>
      <c r="K24" s="48">
        <f t="shared" si="1"/>
        <v>1.6500000000000001E-2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301</v>
      </c>
      <c r="C25" t="s">
        <v>56</v>
      </c>
      <c r="D25" t="s">
        <v>25</v>
      </c>
      <c r="E25" s="28">
        <v>95728</v>
      </c>
      <c r="F25" s="13">
        <v>1120.783424</v>
      </c>
      <c r="G25" s="14">
        <f t="shared" si="0"/>
        <v>1.78E-2</v>
      </c>
      <c r="H25" s="15"/>
      <c r="J25" s="14" t="s">
        <v>50</v>
      </c>
      <c r="K25" s="48">
        <f t="shared" si="1"/>
        <v>1.2500000000000001E-2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334</v>
      </c>
      <c r="C26" t="s">
        <v>397</v>
      </c>
      <c r="D26" t="s">
        <v>131</v>
      </c>
      <c r="E26" s="28">
        <v>102619</v>
      </c>
      <c r="F26" s="13">
        <v>1114.031864</v>
      </c>
      <c r="G26" s="14">
        <f t="shared" si="0"/>
        <v>1.77E-2</v>
      </c>
      <c r="H26" s="15"/>
      <c r="J26" t="s">
        <v>36</v>
      </c>
      <c r="K26" s="48">
        <f t="shared" si="1"/>
        <v>1.2E-2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394</v>
      </c>
      <c r="C27" t="s">
        <v>395</v>
      </c>
      <c r="D27" t="s">
        <v>396</v>
      </c>
      <c r="E27" s="28">
        <v>663035</v>
      </c>
      <c r="F27" s="13">
        <v>1091.6871275000001</v>
      </c>
      <c r="G27" s="14">
        <f t="shared" si="0"/>
        <v>1.7299999999999999E-2</v>
      </c>
      <c r="H27" s="15"/>
      <c r="J27" t="s">
        <v>470</v>
      </c>
      <c r="K27" s="48">
        <f t="shared" si="1"/>
        <v>1.1900000000000001E-2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380</v>
      </c>
      <c r="C28" t="s">
        <v>379</v>
      </c>
      <c r="D28" t="s">
        <v>25</v>
      </c>
      <c r="E28" s="28">
        <v>329351</v>
      </c>
      <c r="F28" s="13">
        <v>1081.5886840000001</v>
      </c>
      <c r="G28" s="14">
        <f t="shared" si="0"/>
        <v>1.72E-2</v>
      </c>
      <c r="H28" s="15"/>
      <c r="J28" t="s">
        <v>311</v>
      </c>
      <c r="K28" s="48">
        <f t="shared" si="1"/>
        <v>1.01E-2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198</v>
      </c>
      <c r="C29" t="s">
        <v>47</v>
      </c>
      <c r="D29" t="s">
        <v>25</v>
      </c>
      <c r="E29" s="28">
        <v>21639</v>
      </c>
      <c r="F29" s="13">
        <v>1075.5881340000001</v>
      </c>
      <c r="G29" s="14">
        <f t="shared" si="0"/>
        <v>1.7100000000000001E-2</v>
      </c>
      <c r="H29" s="15"/>
      <c r="J29" t="s">
        <v>42</v>
      </c>
      <c r="K29" s="48">
        <f t="shared" si="1"/>
        <v>9.1000000000000004E-3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302</v>
      </c>
      <c r="C30" t="s">
        <v>75</v>
      </c>
      <c r="D30" t="s">
        <v>37</v>
      </c>
      <c r="E30" s="28">
        <v>323315</v>
      </c>
      <c r="F30" s="13">
        <v>1073.4058</v>
      </c>
      <c r="G30" s="14">
        <f t="shared" si="0"/>
        <v>1.7100000000000001E-2</v>
      </c>
      <c r="H30" s="15"/>
      <c r="J30" t="s">
        <v>33</v>
      </c>
      <c r="K30" s="48">
        <f t="shared" si="1"/>
        <v>7.7999999999999996E-3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204</v>
      </c>
      <c r="C31" t="s">
        <v>48</v>
      </c>
      <c r="D31" t="s">
        <v>20</v>
      </c>
      <c r="E31" s="28">
        <v>12016</v>
      </c>
      <c r="F31" s="13">
        <v>1064.7497759999999</v>
      </c>
      <c r="G31" s="14">
        <f t="shared" si="0"/>
        <v>1.6899999999999998E-2</v>
      </c>
      <c r="H31" s="15"/>
      <c r="J31" s="65" t="s">
        <v>31</v>
      </c>
      <c r="K31" s="48">
        <f t="shared" si="1"/>
        <v>7.6E-3</v>
      </c>
      <c r="N31" s="36"/>
      <c r="O31" s="14"/>
    </row>
    <row r="32" spans="1:15" ht="12.75" customHeight="1" x14ac:dyDescent="0.2">
      <c r="A32">
        <f>+MAX($A$8:A31)+1</f>
        <v>24</v>
      </c>
      <c r="B32" t="s">
        <v>201</v>
      </c>
      <c r="C32" t="s">
        <v>51</v>
      </c>
      <c r="D32" t="s">
        <v>40</v>
      </c>
      <c r="E32" s="28">
        <v>944272</v>
      </c>
      <c r="F32" s="13">
        <v>1005.177544</v>
      </c>
      <c r="G32" s="14">
        <f t="shared" si="0"/>
        <v>1.6E-2</v>
      </c>
      <c r="H32" s="15"/>
      <c r="J32" t="s">
        <v>418</v>
      </c>
      <c r="K32" s="48">
        <f t="shared" si="1"/>
        <v>6.0000000000000001E-3</v>
      </c>
      <c r="N32" s="36"/>
      <c r="O32" s="14"/>
    </row>
    <row r="33" spans="1:15" ht="12.75" customHeight="1" x14ac:dyDescent="0.2">
      <c r="A33">
        <f>+MAX($A$8:A32)+1</f>
        <v>25</v>
      </c>
      <c r="B33" t="s">
        <v>270</v>
      </c>
      <c r="C33" t="s">
        <v>144</v>
      </c>
      <c r="D33" t="s">
        <v>40</v>
      </c>
      <c r="E33" s="28">
        <v>137252</v>
      </c>
      <c r="F33" s="13">
        <v>964.40117799999996</v>
      </c>
      <c r="G33" s="14">
        <f t="shared" si="0"/>
        <v>1.5299999999999999E-2</v>
      </c>
      <c r="H33" s="15"/>
      <c r="J33" t="s">
        <v>53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303</v>
      </c>
      <c r="C34" t="s">
        <v>66</v>
      </c>
      <c r="D34" t="s">
        <v>18</v>
      </c>
      <c r="E34" s="28">
        <v>679284</v>
      </c>
      <c r="F34" s="13">
        <v>962.88507000000004</v>
      </c>
      <c r="G34" s="14">
        <f t="shared" si="0"/>
        <v>1.5299999999999999E-2</v>
      </c>
      <c r="H34" s="15"/>
      <c r="J34" t="s">
        <v>61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519</v>
      </c>
      <c r="C35" t="s">
        <v>520</v>
      </c>
      <c r="D35" t="s">
        <v>131</v>
      </c>
      <c r="E35" s="28">
        <v>238963</v>
      </c>
      <c r="F35" s="13">
        <v>895.2748795</v>
      </c>
      <c r="G35" s="14">
        <f t="shared" si="0"/>
        <v>1.4200000000000001E-2</v>
      </c>
      <c r="H35" s="15"/>
      <c r="J35" t="s">
        <v>55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243</v>
      </c>
      <c r="C36" t="s">
        <v>111</v>
      </c>
      <c r="D36" t="s">
        <v>20</v>
      </c>
      <c r="E36" s="28">
        <v>25122</v>
      </c>
      <c r="F36" s="13">
        <v>890.02221599999996</v>
      </c>
      <c r="G36" s="14">
        <f t="shared" si="0"/>
        <v>1.41E-2</v>
      </c>
      <c r="H36" s="15"/>
      <c r="J36" t="s">
        <v>101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207</v>
      </c>
      <c r="C37" t="s">
        <v>97</v>
      </c>
      <c r="D37" t="s">
        <v>10</v>
      </c>
      <c r="E37" s="28">
        <v>82252</v>
      </c>
      <c r="F37" s="13">
        <v>861.83645599999988</v>
      </c>
      <c r="G37" s="14">
        <f t="shared" si="0"/>
        <v>1.37E-2</v>
      </c>
      <c r="H37" s="15"/>
      <c r="J37" s="14" t="s">
        <v>57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215</v>
      </c>
      <c r="C38" t="s">
        <v>62</v>
      </c>
      <c r="D38" t="s">
        <v>35</v>
      </c>
      <c r="E38" s="28">
        <v>169704</v>
      </c>
      <c r="F38" s="13">
        <v>821.79161999999997</v>
      </c>
      <c r="G38" s="14">
        <f t="shared" si="0"/>
        <v>1.3100000000000001E-2</v>
      </c>
      <c r="H38" s="15"/>
      <c r="J38" s="14" t="s">
        <v>59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223</v>
      </c>
      <c r="C39" t="s">
        <v>78</v>
      </c>
      <c r="D39" t="s">
        <v>50</v>
      </c>
      <c r="E39" s="28">
        <v>276857</v>
      </c>
      <c r="F39" s="13">
        <v>784.33588099999997</v>
      </c>
      <c r="G39" s="14">
        <f t="shared" si="0"/>
        <v>1.2500000000000001E-2</v>
      </c>
      <c r="H39" s="15"/>
      <c r="J39" s="14" t="s">
        <v>414</v>
      </c>
      <c r="K39" s="48">
        <f t="shared" si="1"/>
        <v>0</v>
      </c>
      <c r="M39" s="14"/>
    </row>
    <row r="40" spans="1:15" ht="12.75" customHeight="1" x14ac:dyDescent="0.2">
      <c r="A40">
        <f>+MAX($A$8:A39)+1</f>
        <v>32</v>
      </c>
      <c r="B40" t="s">
        <v>353</v>
      </c>
      <c r="C40" t="s">
        <v>354</v>
      </c>
      <c r="D40" t="s">
        <v>37</v>
      </c>
      <c r="E40" s="28">
        <v>969860</v>
      </c>
      <c r="F40" s="13">
        <v>759.88531</v>
      </c>
      <c r="G40" s="14">
        <f t="shared" si="0"/>
        <v>1.21E-2</v>
      </c>
      <c r="H40" s="15"/>
      <c r="J40" s="14" t="s">
        <v>63</v>
      </c>
      <c r="K40" s="48">
        <f>+SUMIFS($G$5:$G$997,$B$5:$B$997,"CBLO / Reverse Repo Investments")+SUMIFS($G$5:$G$997,$B$5:$B$997,"Net Receivable/Payable")</f>
        <v>8.6899999999999991E-2</v>
      </c>
      <c r="L40" s="54"/>
    </row>
    <row r="41" spans="1:15" ht="12.75" customHeight="1" x14ac:dyDescent="0.2">
      <c r="A41">
        <f>+MAX($A$8:A40)+1</f>
        <v>33</v>
      </c>
      <c r="B41" t="s">
        <v>633</v>
      </c>
      <c r="C41" t="s">
        <v>634</v>
      </c>
      <c r="D41" t="s">
        <v>36</v>
      </c>
      <c r="E41" s="28">
        <v>58709</v>
      </c>
      <c r="F41" s="13">
        <v>757.61029050000002</v>
      </c>
      <c r="G41" s="14">
        <f t="shared" ref="G41:G70" si="2">+ROUND(F41/VLOOKUP("Grand Total",$B$4:$F$284,5,0),4)</f>
        <v>1.2E-2</v>
      </c>
      <c r="H41" s="15"/>
      <c r="J41" s="14"/>
      <c r="K41" s="48"/>
    </row>
    <row r="42" spans="1:15" ht="12.75" customHeight="1" x14ac:dyDescent="0.2">
      <c r="A42">
        <f>+MAX($A$8:A41)+1</f>
        <v>34</v>
      </c>
      <c r="B42" t="s">
        <v>206</v>
      </c>
      <c r="C42" t="s">
        <v>73</v>
      </c>
      <c r="D42" t="s">
        <v>470</v>
      </c>
      <c r="E42" s="28">
        <v>579907</v>
      </c>
      <c r="F42" s="13">
        <v>750.39965799999993</v>
      </c>
      <c r="G42" s="14">
        <f t="shared" si="2"/>
        <v>1.1900000000000001E-2</v>
      </c>
      <c r="H42" s="15"/>
    </row>
    <row r="43" spans="1:15" ht="12.75" customHeight="1" x14ac:dyDescent="0.2">
      <c r="A43">
        <f>+MAX($A$8:A42)+1</f>
        <v>35</v>
      </c>
      <c r="B43" t="s">
        <v>235</v>
      </c>
      <c r="C43" t="s">
        <v>99</v>
      </c>
      <c r="D43" t="s">
        <v>20</v>
      </c>
      <c r="E43" s="28">
        <v>100125</v>
      </c>
      <c r="F43" s="13">
        <v>739.82362499999999</v>
      </c>
      <c r="G43" s="14">
        <f t="shared" si="2"/>
        <v>1.18E-2</v>
      </c>
      <c r="H43" s="15"/>
    </row>
    <row r="44" spans="1:15" ht="12.75" customHeight="1" x14ac:dyDescent="0.2">
      <c r="A44">
        <f>+MAX($A$8:A43)+1</f>
        <v>36</v>
      </c>
      <c r="B44" t="s">
        <v>473</v>
      </c>
      <c r="C44" t="s">
        <v>474</v>
      </c>
      <c r="D44" t="s">
        <v>23</v>
      </c>
      <c r="E44" s="28">
        <v>48012</v>
      </c>
      <c r="F44" s="13">
        <v>691.18075199999998</v>
      </c>
      <c r="G44" s="14">
        <f t="shared" si="2"/>
        <v>1.0999999999999999E-2</v>
      </c>
      <c r="H44" s="15"/>
    </row>
    <row r="45" spans="1:15" ht="12.75" customHeight="1" x14ac:dyDescent="0.2">
      <c r="A45">
        <f>+MAX($A$8:A44)+1</f>
        <v>37</v>
      </c>
      <c r="B45" t="s">
        <v>518</v>
      </c>
      <c r="C45" t="s">
        <v>452</v>
      </c>
      <c r="D45" t="s">
        <v>22</v>
      </c>
      <c r="E45" s="28">
        <v>204217</v>
      </c>
      <c r="F45" s="13">
        <v>654.20915950000006</v>
      </c>
      <c r="G45" s="14">
        <f t="shared" si="2"/>
        <v>1.04E-2</v>
      </c>
      <c r="H45" s="15"/>
    </row>
    <row r="46" spans="1:15" ht="12.75" customHeight="1" x14ac:dyDescent="0.2">
      <c r="A46">
        <f>+MAX($A$8:A45)+1</f>
        <v>38</v>
      </c>
      <c r="B46" t="s">
        <v>570</v>
      </c>
      <c r="C46" t="s">
        <v>391</v>
      </c>
      <c r="D46" t="s">
        <v>10</v>
      </c>
      <c r="E46" s="28">
        <v>623711</v>
      </c>
      <c r="F46" s="13">
        <v>626.51769950000005</v>
      </c>
      <c r="G46" s="14">
        <f t="shared" si="2"/>
        <v>0.01</v>
      </c>
      <c r="H46" s="15"/>
    </row>
    <row r="47" spans="1:15" ht="12.75" customHeight="1" x14ac:dyDescent="0.2">
      <c r="A47">
        <f>+MAX($A$8:A46)+1</f>
        <v>39</v>
      </c>
      <c r="B47" t="s">
        <v>39</v>
      </c>
      <c r="C47" t="s">
        <v>41</v>
      </c>
      <c r="D47" t="s">
        <v>10</v>
      </c>
      <c r="E47" s="28">
        <v>434753</v>
      </c>
      <c r="F47" s="13">
        <v>618.65351899999996</v>
      </c>
      <c r="G47" s="14">
        <f t="shared" si="2"/>
        <v>9.7999999999999997E-3</v>
      </c>
      <c r="H47" s="15"/>
    </row>
    <row r="48" spans="1:15" ht="12.75" customHeight="1" x14ac:dyDescent="0.2">
      <c r="A48">
        <f>+MAX($A$8:A47)+1</f>
        <v>40</v>
      </c>
      <c r="B48" t="s">
        <v>197</v>
      </c>
      <c r="C48" t="s">
        <v>43</v>
      </c>
      <c r="D48" t="s">
        <v>23</v>
      </c>
      <c r="E48" s="28">
        <v>120593</v>
      </c>
      <c r="F48" s="13">
        <v>615.20518950000007</v>
      </c>
      <c r="G48" s="14">
        <f t="shared" si="2"/>
        <v>9.7999999999999997E-3</v>
      </c>
      <c r="H48" s="15"/>
    </row>
    <row r="49" spans="1:11" ht="12.75" customHeight="1" x14ac:dyDescent="0.2">
      <c r="A49">
        <f>+MAX($A$8:A48)+1</f>
        <v>41</v>
      </c>
      <c r="B49" t="s">
        <v>225</v>
      </c>
      <c r="C49" t="s">
        <v>80</v>
      </c>
      <c r="D49" t="s">
        <v>44</v>
      </c>
      <c r="E49" s="28">
        <v>200927</v>
      </c>
      <c r="F49" s="13">
        <v>603.8860985</v>
      </c>
      <c r="G49" s="14">
        <f t="shared" si="2"/>
        <v>9.5999999999999992E-3</v>
      </c>
      <c r="H49" s="15"/>
    </row>
    <row r="50" spans="1:11" ht="12.75" customHeight="1" x14ac:dyDescent="0.2">
      <c r="A50">
        <f>+MAX($A$8:A49)+1</f>
        <v>42</v>
      </c>
      <c r="B50" t="s">
        <v>218</v>
      </c>
      <c r="C50" t="s">
        <v>69</v>
      </c>
      <c r="D50" t="s">
        <v>10</v>
      </c>
      <c r="E50" s="28">
        <v>676878</v>
      </c>
      <c r="F50" s="13">
        <v>603.77517599999999</v>
      </c>
      <c r="G50" s="14">
        <f t="shared" si="2"/>
        <v>9.5999999999999992E-3</v>
      </c>
      <c r="H50" s="15"/>
    </row>
    <row r="51" spans="1:11" ht="12.75" customHeight="1" x14ac:dyDescent="0.2">
      <c r="A51">
        <f>+MAX($A$8:A50)+1</f>
        <v>43</v>
      </c>
      <c r="B51" t="s">
        <v>415</v>
      </c>
      <c r="C51" t="s">
        <v>67</v>
      </c>
      <c r="D51" t="s">
        <v>22</v>
      </c>
      <c r="E51" s="28">
        <v>121679</v>
      </c>
      <c r="F51" s="13">
        <v>602.43272899999999</v>
      </c>
      <c r="G51" s="14">
        <f t="shared" si="2"/>
        <v>9.5999999999999992E-3</v>
      </c>
      <c r="H51" s="15"/>
    </row>
    <row r="52" spans="1:11" ht="12.75" customHeight="1" x14ac:dyDescent="0.2">
      <c r="A52">
        <f>+MAX($A$8:A51)+1</f>
        <v>44</v>
      </c>
      <c r="B52" t="s">
        <v>326</v>
      </c>
      <c r="C52" t="s">
        <v>327</v>
      </c>
      <c r="D52" t="s">
        <v>18</v>
      </c>
      <c r="E52" s="28">
        <v>83502</v>
      </c>
      <c r="F52" s="13">
        <v>596.78879399999994</v>
      </c>
      <c r="G52" s="14">
        <f t="shared" si="2"/>
        <v>9.4999999999999998E-3</v>
      </c>
      <c r="H52" s="15"/>
    </row>
    <row r="53" spans="1:11" ht="12.75" customHeight="1" x14ac:dyDescent="0.2">
      <c r="A53">
        <f>+MAX($A$8:A52)+1</f>
        <v>45</v>
      </c>
      <c r="B53" t="s">
        <v>191</v>
      </c>
      <c r="C53" t="s">
        <v>21</v>
      </c>
      <c r="D53" t="s">
        <v>20</v>
      </c>
      <c r="E53" s="28">
        <v>177516</v>
      </c>
      <c r="F53" s="13">
        <v>580.21104600000001</v>
      </c>
      <c r="G53" s="14">
        <f t="shared" si="2"/>
        <v>9.1999999999999998E-3</v>
      </c>
      <c r="H53" s="15"/>
    </row>
    <row r="54" spans="1:11" ht="12.75" customHeight="1" x14ac:dyDescent="0.2">
      <c r="A54">
        <f>+MAX($A$8:A53)+1</f>
        <v>46</v>
      </c>
      <c r="B54" s="65" t="s">
        <v>200</v>
      </c>
      <c r="C54" s="65" t="s">
        <v>49</v>
      </c>
      <c r="D54" t="s">
        <v>22</v>
      </c>
      <c r="E54" s="28">
        <v>10546</v>
      </c>
      <c r="F54" s="13">
        <v>575.06810700000005</v>
      </c>
      <c r="G54" s="14">
        <f t="shared" si="2"/>
        <v>9.1000000000000004E-3</v>
      </c>
      <c r="H54" s="15"/>
    </row>
    <row r="55" spans="1:11" ht="12.75" customHeight="1" x14ac:dyDescent="0.2">
      <c r="A55">
        <f>+MAX($A$8:A54)+1</f>
        <v>47</v>
      </c>
      <c r="B55" t="s">
        <v>471</v>
      </c>
      <c r="C55" t="s">
        <v>472</v>
      </c>
      <c r="D55" t="s">
        <v>42</v>
      </c>
      <c r="E55" s="28">
        <v>63940</v>
      </c>
      <c r="F55" s="13">
        <v>574.02134999999998</v>
      </c>
      <c r="G55" s="14">
        <f t="shared" si="2"/>
        <v>9.1000000000000004E-3</v>
      </c>
      <c r="H55" s="15"/>
    </row>
    <row r="56" spans="1:11" ht="12.75" customHeight="1" x14ac:dyDescent="0.2">
      <c r="A56">
        <f>+MAX($A$8:A55)+1</f>
        <v>48</v>
      </c>
      <c r="B56" t="s">
        <v>312</v>
      </c>
      <c r="C56" t="s">
        <v>313</v>
      </c>
      <c r="D56" t="s">
        <v>10</v>
      </c>
      <c r="E56" s="28">
        <v>323668</v>
      </c>
      <c r="F56" s="13">
        <v>558.16546600000004</v>
      </c>
      <c r="G56" s="14">
        <f t="shared" si="2"/>
        <v>8.8999999999999999E-3</v>
      </c>
      <c r="H56" s="15"/>
    </row>
    <row r="57" spans="1:11" ht="12.75" customHeight="1" x14ac:dyDescent="0.2">
      <c r="A57">
        <f>+MAX($A$8:A56)+1</f>
        <v>49</v>
      </c>
      <c r="B57" t="s">
        <v>199</v>
      </c>
      <c r="C57" t="s">
        <v>52</v>
      </c>
      <c r="D57" t="s">
        <v>18</v>
      </c>
      <c r="E57" s="28">
        <v>13982</v>
      </c>
      <c r="F57" s="13">
        <v>552.28899999999999</v>
      </c>
      <c r="G57" s="14">
        <f t="shared" si="2"/>
        <v>8.8000000000000005E-3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210</v>
      </c>
      <c r="C58" t="s">
        <v>60</v>
      </c>
      <c r="D58" t="s">
        <v>22</v>
      </c>
      <c r="E58" s="28">
        <v>97828</v>
      </c>
      <c r="F58" s="13">
        <v>545.73349799999994</v>
      </c>
      <c r="G58" s="14">
        <f t="shared" si="2"/>
        <v>8.6999999999999994E-3</v>
      </c>
      <c r="H58" s="15"/>
    </row>
    <row r="59" spans="1:11" ht="12.75" customHeight="1" x14ac:dyDescent="0.2">
      <c r="A59">
        <f>+MAX($A$8:A58)+1</f>
        <v>51</v>
      </c>
      <c r="B59" t="s">
        <v>202</v>
      </c>
      <c r="C59" t="s">
        <v>32</v>
      </c>
      <c r="D59" t="s">
        <v>18</v>
      </c>
      <c r="E59" s="28">
        <v>53292</v>
      </c>
      <c r="F59" s="13">
        <v>540.94044600000007</v>
      </c>
      <c r="G59" s="14">
        <f t="shared" si="2"/>
        <v>8.6E-3</v>
      </c>
      <c r="H59" s="15"/>
    </row>
    <row r="60" spans="1:11" ht="12.75" customHeight="1" x14ac:dyDescent="0.2">
      <c r="A60">
        <f>+MAX($A$8:A59)+1</f>
        <v>52</v>
      </c>
      <c r="B60" t="s">
        <v>212</v>
      </c>
      <c r="C60" t="s">
        <v>28</v>
      </c>
      <c r="D60" t="s">
        <v>10</v>
      </c>
      <c r="E60" s="28">
        <v>97342</v>
      </c>
      <c r="F60" s="13">
        <v>496.93090999999998</v>
      </c>
      <c r="G60" s="14">
        <f t="shared" si="2"/>
        <v>7.9000000000000008E-3</v>
      </c>
      <c r="H60" s="15"/>
    </row>
    <row r="61" spans="1:11" ht="12.75" customHeight="1" x14ac:dyDescent="0.2">
      <c r="A61">
        <f>+MAX($A$8:A60)+1</f>
        <v>53</v>
      </c>
      <c r="B61" t="s">
        <v>209</v>
      </c>
      <c r="C61" t="s">
        <v>64</v>
      </c>
      <c r="D61" t="s">
        <v>33</v>
      </c>
      <c r="E61" s="28">
        <v>122695</v>
      </c>
      <c r="F61" s="13">
        <v>489.18496499999998</v>
      </c>
      <c r="G61" s="14">
        <f t="shared" si="2"/>
        <v>7.7999999999999996E-3</v>
      </c>
      <c r="H61" s="15"/>
    </row>
    <row r="62" spans="1:11" ht="12.75" customHeight="1" x14ac:dyDescent="0.2">
      <c r="A62">
        <f>+MAX($A$8:A61)+1</f>
        <v>54</v>
      </c>
      <c r="B62" t="s">
        <v>663</v>
      </c>
      <c r="C62" t="s">
        <v>664</v>
      </c>
      <c r="D62" t="s">
        <v>31</v>
      </c>
      <c r="E62" s="28">
        <v>236000</v>
      </c>
      <c r="F62" s="13">
        <v>474.12400000000002</v>
      </c>
      <c r="G62" s="14">
        <f t="shared" si="2"/>
        <v>7.4999999999999997E-3</v>
      </c>
      <c r="H62" s="15"/>
    </row>
    <row r="63" spans="1:11" ht="12.75" customHeight="1" x14ac:dyDescent="0.2">
      <c r="A63">
        <f>+MAX($A$8:A62)+1</f>
        <v>55</v>
      </c>
      <c r="B63" t="s">
        <v>539</v>
      </c>
      <c r="C63" t="s">
        <v>540</v>
      </c>
      <c r="D63" t="s">
        <v>131</v>
      </c>
      <c r="E63" s="28">
        <v>125479</v>
      </c>
      <c r="F63" s="13">
        <v>456.68082049999998</v>
      </c>
      <c r="G63" s="14">
        <f t="shared" si="2"/>
        <v>7.3000000000000001E-3</v>
      </c>
      <c r="H63" s="15"/>
    </row>
    <row r="64" spans="1:11" ht="12.75" customHeight="1" x14ac:dyDescent="0.2">
      <c r="A64">
        <f>+MAX($A$8:A63)+1</f>
        <v>56</v>
      </c>
      <c r="B64" t="s">
        <v>523</v>
      </c>
      <c r="C64" t="s">
        <v>524</v>
      </c>
      <c r="D64" t="s">
        <v>10</v>
      </c>
      <c r="E64" s="28">
        <v>853115</v>
      </c>
      <c r="F64" s="13">
        <v>444.0463575</v>
      </c>
      <c r="G64" s="14">
        <f t="shared" si="2"/>
        <v>7.1000000000000004E-3</v>
      </c>
      <c r="H64" s="15"/>
    </row>
    <row r="65" spans="1:9" ht="12.75" customHeight="1" x14ac:dyDescent="0.2">
      <c r="A65">
        <f>+MAX($A$8:A64)+1</f>
        <v>57</v>
      </c>
      <c r="B65" s="65" t="s">
        <v>521</v>
      </c>
      <c r="C65" t="s">
        <v>522</v>
      </c>
      <c r="D65" t="s">
        <v>44</v>
      </c>
      <c r="E65" s="28">
        <v>654548</v>
      </c>
      <c r="F65" s="13">
        <v>434.94714600000003</v>
      </c>
      <c r="G65" s="14">
        <f t="shared" si="2"/>
        <v>6.8999999999999999E-3</v>
      </c>
      <c r="H65" s="15"/>
    </row>
    <row r="66" spans="1:9" ht="12.75" customHeight="1" x14ac:dyDescent="0.2">
      <c r="A66">
        <f>+MAX($A$8:A65)+1</f>
        <v>58</v>
      </c>
      <c r="B66" s="65" t="s">
        <v>163</v>
      </c>
      <c r="C66" t="s">
        <v>177</v>
      </c>
      <c r="D66" t="s">
        <v>10</v>
      </c>
      <c r="E66" s="28">
        <v>154999</v>
      </c>
      <c r="F66" s="13">
        <v>409.04236100000003</v>
      </c>
      <c r="G66" s="14">
        <f t="shared" si="2"/>
        <v>6.4999999999999997E-3</v>
      </c>
      <c r="H66" s="15"/>
    </row>
    <row r="67" spans="1:9" ht="12.75" customHeight="1" x14ac:dyDescent="0.2">
      <c r="A67">
        <f>+MAX($A$8:A66)+1</f>
        <v>59</v>
      </c>
      <c r="B67" s="65" t="s">
        <v>416</v>
      </c>
      <c r="C67" t="s">
        <v>417</v>
      </c>
      <c r="D67" t="s">
        <v>418</v>
      </c>
      <c r="E67" s="28">
        <v>199566</v>
      </c>
      <c r="F67" s="13">
        <v>378.17757</v>
      </c>
      <c r="G67" s="14">
        <f t="shared" si="2"/>
        <v>6.0000000000000001E-3</v>
      </c>
      <c r="H67" s="15"/>
    </row>
    <row r="68" spans="1:9" ht="12.75" customHeight="1" x14ac:dyDescent="0.2">
      <c r="A68">
        <f>+MAX($A$8:A67)+1</f>
        <v>60</v>
      </c>
      <c r="B68" s="65" t="s">
        <v>571</v>
      </c>
      <c r="C68" t="s">
        <v>572</v>
      </c>
      <c r="D68" t="s">
        <v>10</v>
      </c>
      <c r="E68" s="28">
        <v>666967</v>
      </c>
      <c r="F68" s="13">
        <v>369.83320149999997</v>
      </c>
      <c r="G68" s="14">
        <f t="shared" si="2"/>
        <v>5.8999999999999999E-3</v>
      </c>
      <c r="H68" s="15"/>
    </row>
    <row r="69" spans="1:9" ht="12.75" customHeight="1" x14ac:dyDescent="0.2">
      <c r="A69">
        <f>+MAX($A$8:A68)+1</f>
        <v>61</v>
      </c>
      <c r="B69" s="65" t="s">
        <v>310</v>
      </c>
      <c r="C69" t="s">
        <v>71</v>
      </c>
      <c r="D69" t="s">
        <v>27</v>
      </c>
      <c r="E69" s="28">
        <v>1365791</v>
      </c>
      <c r="F69" s="13">
        <v>303.205602</v>
      </c>
      <c r="G69" s="14">
        <f t="shared" si="2"/>
        <v>4.7999999999999996E-3</v>
      </c>
      <c r="H69" s="15"/>
    </row>
    <row r="70" spans="1:9" ht="12.75" customHeight="1" x14ac:dyDescent="0.2">
      <c r="A70">
        <f>+MAX($A$8:A69)+1</f>
        <v>62</v>
      </c>
      <c r="B70" s="65" t="s">
        <v>214</v>
      </c>
      <c r="C70" t="s">
        <v>74</v>
      </c>
      <c r="D70" t="s">
        <v>35</v>
      </c>
      <c r="E70" s="28">
        <v>3622594</v>
      </c>
      <c r="F70" s="13">
        <v>186.563591</v>
      </c>
      <c r="G70" s="14">
        <f t="shared" si="2"/>
        <v>3.0000000000000001E-3</v>
      </c>
      <c r="H70" s="15"/>
    </row>
    <row r="71" spans="1:9" ht="12.75" customHeight="1" x14ac:dyDescent="0.2">
      <c r="A71">
        <f>+MAX($A$8:A70)+1</f>
        <v>63</v>
      </c>
      <c r="B71" s="65" t="s">
        <v>439</v>
      </c>
      <c r="C71" t="s">
        <v>82</v>
      </c>
      <c r="D71" t="s">
        <v>31</v>
      </c>
      <c r="E71" s="28">
        <v>100000</v>
      </c>
      <c r="F71" s="13">
        <v>5.54</v>
      </c>
      <c r="G71" s="14">
        <f t="shared" ref="G71" si="3">+ROUND(F71/VLOOKUP("Grand Total",$B$4:$F$284,5,0),4)</f>
        <v>1E-4</v>
      </c>
      <c r="H71" s="15"/>
    </row>
    <row r="72" spans="1:9" ht="12.75" customHeight="1" x14ac:dyDescent="0.2">
      <c r="A72">
        <f>+MAX($A$8:A71)+1</f>
        <v>64</v>
      </c>
      <c r="B72" s="65" t="s">
        <v>541</v>
      </c>
      <c r="C72" t="s">
        <v>83</v>
      </c>
      <c r="D72" t="s">
        <v>101</v>
      </c>
      <c r="E72" s="28">
        <v>511578</v>
      </c>
      <c r="F72" s="13">
        <v>0</v>
      </c>
      <c r="G72" s="108" t="s">
        <v>516</v>
      </c>
      <c r="H72" s="15"/>
    </row>
    <row r="73" spans="1:9" ht="12.75" customHeight="1" x14ac:dyDescent="0.2">
      <c r="B73" s="18" t="s">
        <v>84</v>
      </c>
      <c r="C73" s="18"/>
      <c r="D73" s="18"/>
      <c r="E73" s="29"/>
      <c r="F73" s="19">
        <f>SUM(F9:F72)</f>
        <v>56816.24654349999</v>
      </c>
      <c r="G73" s="20">
        <f>SUM(G9:G72)</f>
        <v>0.90300000000000025</v>
      </c>
      <c r="H73" s="21"/>
      <c r="I73" s="35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297</v>
      </c>
      <c r="C75" s="16"/>
      <c r="F75" s="13"/>
      <c r="G75" s="14"/>
      <c r="H75" s="15"/>
    </row>
    <row r="76" spans="1:9" ht="12.75" customHeight="1" x14ac:dyDescent="0.2">
      <c r="A76">
        <f>+MAX($A$8:A75)+1</f>
        <v>65</v>
      </c>
      <c r="B76" t="s">
        <v>229</v>
      </c>
      <c r="C76" s="121" t="s">
        <v>616</v>
      </c>
      <c r="D76" t="s">
        <v>57</v>
      </c>
      <c r="E76" s="28">
        <v>54000</v>
      </c>
      <c r="F76" s="13">
        <v>0</v>
      </c>
      <c r="G76" s="108" t="s">
        <v>516</v>
      </c>
      <c r="H76" s="15"/>
    </row>
    <row r="77" spans="1:9" ht="12.75" customHeight="1" x14ac:dyDescent="0.2">
      <c r="A77">
        <f>+MAX($A$8:A76)+1</f>
        <v>66</v>
      </c>
      <c r="B77" t="s">
        <v>227</v>
      </c>
      <c r="C77" s="65" t="s">
        <v>85</v>
      </c>
      <c r="D77" s="65" t="s">
        <v>53</v>
      </c>
      <c r="E77" s="28">
        <v>200000</v>
      </c>
      <c r="F77" s="13">
        <v>0</v>
      </c>
      <c r="G77" s="108" t="s">
        <v>516</v>
      </c>
      <c r="H77" s="15"/>
    </row>
    <row r="78" spans="1:9" ht="12.75" customHeight="1" x14ac:dyDescent="0.2">
      <c r="A78">
        <f>+MAX($A$8:A77)+1</f>
        <v>67</v>
      </c>
      <c r="B78" t="s">
        <v>233</v>
      </c>
      <c r="C78" s="65" t="s">
        <v>89</v>
      </c>
      <c r="D78" s="65" t="s">
        <v>414</v>
      </c>
      <c r="E78" s="28">
        <v>176305</v>
      </c>
      <c r="F78" s="13">
        <v>0</v>
      </c>
      <c r="G78" s="108" t="s">
        <v>516</v>
      </c>
      <c r="H78" s="15"/>
    </row>
    <row r="79" spans="1:9" ht="12.75" customHeight="1" x14ac:dyDescent="0.2">
      <c r="A79">
        <f>+MAX($A$8:A78)+1</f>
        <v>68</v>
      </c>
      <c r="B79" t="s">
        <v>228</v>
      </c>
      <c r="C79" s="121" t="s">
        <v>616</v>
      </c>
      <c r="D79" s="1" t="s">
        <v>55</v>
      </c>
      <c r="E79" s="28">
        <v>93200</v>
      </c>
      <c r="F79" s="13">
        <v>0</v>
      </c>
      <c r="G79" s="108" t="s">
        <v>516</v>
      </c>
      <c r="H79" s="15"/>
    </row>
    <row r="80" spans="1:9" ht="12.75" customHeight="1" x14ac:dyDescent="0.2">
      <c r="A80">
        <f>+MAX($A$8:A79)+1</f>
        <v>69</v>
      </c>
      <c r="B80" t="s">
        <v>232</v>
      </c>
      <c r="C80" s="65" t="s">
        <v>88</v>
      </c>
      <c r="D80" s="1" t="s">
        <v>37</v>
      </c>
      <c r="E80" s="28">
        <v>200</v>
      </c>
      <c r="F80" s="13">
        <v>0</v>
      </c>
      <c r="G80" s="108" t="s">
        <v>516</v>
      </c>
      <c r="H80" s="15"/>
    </row>
    <row r="81" spans="1:9" ht="12.75" customHeight="1" x14ac:dyDescent="0.2">
      <c r="A81">
        <f>+MAX($A$8:A80)+1</f>
        <v>70</v>
      </c>
      <c r="B81" t="s">
        <v>231</v>
      </c>
      <c r="C81" s="65" t="s">
        <v>87</v>
      </c>
      <c r="D81" s="1" t="s">
        <v>61</v>
      </c>
      <c r="E81" s="28">
        <v>39500</v>
      </c>
      <c r="F81" s="13">
        <v>0</v>
      </c>
      <c r="G81" s="108" t="s">
        <v>516</v>
      </c>
      <c r="H81" s="15"/>
    </row>
    <row r="82" spans="1:9" ht="12.75" customHeight="1" x14ac:dyDescent="0.2">
      <c r="A82">
        <f>+MAX($A$8:A81)+1</f>
        <v>71</v>
      </c>
      <c r="B82" t="s">
        <v>230</v>
      </c>
      <c r="C82" s="65" t="s">
        <v>86</v>
      </c>
      <c r="D82" s="1" t="s">
        <v>59</v>
      </c>
      <c r="E82" s="28">
        <v>50800</v>
      </c>
      <c r="F82" s="13">
        <v>0</v>
      </c>
      <c r="G82" s="108" t="s">
        <v>516</v>
      </c>
      <c r="H82" s="15"/>
    </row>
    <row r="83" spans="1:9" ht="12.75" customHeight="1" x14ac:dyDescent="0.2">
      <c r="B83" s="18" t="s">
        <v>84</v>
      </c>
      <c r="C83" s="18"/>
      <c r="D83" s="18"/>
      <c r="E83" s="29"/>
      <c r="F83" s="19">
        <f>SUM(F76:F82)</f>
        <v>0</v>
      </c>
      <c r="G83" s="51" t="s">
        <v>516</v>
      </c>
      <c r="H83" s="21"/>
      <c r="I83" s="35"/>
    </row>
    <row r="84" spans="1:9" ht="12.75" customHeight="1" x14ac:dyDescent="0.2">
      <c r="F84" s="13"/>
      <c r="G84" s="14"/>
      <c r="H84" s="15"/>
    </row>
    <row r="85" spans="1:9" ht="12.75" customHeight="1" x14ac:dyDescent="0.2">
      <c r="B85" s="16" t="s">
        <v>91</v>
      </c>
      <c r="C85" s="16"/>
      <c r="F85" s="13"/>
      <c r="G85" s="14"/>
      <c r="H85" s="15"/>
    </row>
    <row r="86" spans="1:9" ht="12.75" customHeight="1" x14ac:dyDescent="0.2">
      <c r="A86">
        <f>+MAX($A$8:A85)+1</f>
        <v>72</v>
      </c>
      <c r="B86" t="s">
        <v>437</v>
      </c>
      <c r="C86" s="65" t="s">
        <v>292</v>
      </c>
      <c r="D86" t="s">
        <v>311</v>
      </c>
      <c r="E86" s="28">
        <v>2014991.537</v>
      </c>
      <c r="F86" s="13">
        <v>638.41379870000003</v>
      </c>
      <c r="G86" s="14">
        <f>+ROUND(F86/VLOOKUP("Grand Total",$B$4:$F$284,5,0),4)</f>
        <v>1.01E-2</v>
      </c>
      <c r="H86" s="15"/>
    </row>
    <row r="87" spans="1:9" ht="12.75" customHeight="1" x14ac:dyDescent="0.2">
      <c r="B87" s="18" t="s">
        <v>84</v>
      </c>
      <c r="C87" s="18"/>
      <c r="D87" s="18"/>
      <c r="E87" s="29"/>
      <c r="F87" s="19">
        <f>SUM(F86:F86)</f>
        <v>638.41379870000003</v>
      </c>
      <c r="G87" s="51">
        <f>SUM(G86:G86)</f>
        <v>1.01E-2</v>
      </c>
      <c r="H87" s="21"/>
      <c r="I87" s="35"/>
    </row>
    <row r="88" spans="1:9" ht="12.75" customHeight="1" x14ac:dyDescent="0.2">
      <c r="F88" s="13"/>
      <c r="G88" s="14"/>
      <c r="H88" s="15"/>
    </row>
    <row r="89" spans="1:9" ht="12.75" customHeight="1" x14ac:dyDescent="0.2">
      <c r="A89" s="95" t="s">
        <v>356</v>
      </c>
      <c r="B89" s="16" t="s">
        <v>92</v>
      </c>
      <c r="C89" s="16"/>
      <c r="F89" s="13">
        <v>5936.864951900001</v>
      </c>
      <c r="G89" s="14">
        <f>+ROUND(F89/VLOOKUP("Grand Total",$B$4:$F$284,5,0),4)</f>
        <v>9.4299999999999995E-2</v>
      </c>
      <c r="H89" s="15">
        <v>43193</v>
      </c>
    </row>
    <row r="90" spans="1:9" ht="12.75" customHeight="1" x14ac:dyDescent="0.2">
      <c r="B90" s="18" t="s">
        <v>84</v>
      </c>
      <c r="C90" s="18"/>
      <c r="D90" s="18"/>
      <c r="E90" s="29"/>
      <c r="F90" s="19">
        <f>SUM(F89)</f>
        <v>5936.864951900001</v>
      </c>
      <c r="G90" s="20">
        <f>SUM(G89)</f>
        <v>9.4299999999999995E-2</v>
      </c>
      <c r="H90" s="21"/>
      <c r="I90" s="35"/>
    </row>
    <row r="91" spans="1:9" ht="12.75" customHeight="1" x14ac:dyDescent="0.2">
      <c r="F91" s="13"/>
      <c r="G91" s="14"/>
      <c r="H91" s="15"/>
    </row>
    <row r="92" spans="1:9" ht="12.75" customHeight="1" x14ac:dyDescent="0.2">
      <c r="B92" s="16" t="s">
        <v>93</v>
      </c>
      <c r="C92" s="16"/>
      <c r="F92" s="13"/>
      <c r="G92" s="14"/>
      <c r="H92" s="15"/>
    </row>
    <row r="93" spans="1:9" ht="12.75" customHeight="1" x14ac:dyDescent="0.2">
      <c r="B93" s="16" t="s">
        <v>94</v>
      </c>
      <c r="C93" s="16"/>
      <c r="F93" s="13">
        <v>-447.25500930000999</v>
      </c>
      <c r="G93" s="122">
        <f>+ROUND(F93/VLOOKUP("Grand Total",$B$4:$F$284,5,0),4)-0.03%</f>
        <v>-7.4000000000000003E-3</v>
      </c>
      <c r="H93" s="15"/>
    </row>
    <row r="94" spans="1:9" ht="12.75" customHeight="1" x14ac:dyDescent="0.2">
      <c r="B94" s="18" t="s">
        <v>84</v>
      </c>
      <c r="C94" s="18"/>
      <c r="D94" s="18"/>
      <c r="E94" s="29"/>
      <c r="F94" s="19">
        <f>SUM(F93)</f>
        <v>-447.25500930000999</v>
      </c>
      <c r="G94" s="123">
        <f>SUM(G93)</f>
        <v>-7.4000000000000003E-3</v>
      </c>
      <c r="H94" s="21"/>
      <c r="I94" s="35"/>
    </row>
    <row r="95" spans="1:9" ht="12.75" customHeight="1" x14ac:dyDescent="0.2">
      <c r="B95" s="22" t="s">
        <v>95</v>
      </c>
      <c r="C95" s="22"/>
      <c r="D95" s="22"/>
      <c r="E95" s="30"/>
      <c r="F95" s="23">
        <f>+SUMIF($B$5:B94,"Total",$F$5:F94)</f>
        <v>62944.270284799983</v>
      </c>
      <c r="G95" s="24">
        <f>+SUMIF($B$5:B94,"Total",$G$5:G94)</f>
        <v>1.0000000000000002</v>
      </c>
      <c r="H95" s="25"/>
      <c r="I95" s="35"/>
    </row>
    <row r="96" spans="1:9" ht="12.75" customHeight="1" x14ac:dyDescent="0.2">
      <c r="F96" s="13"/>
    </row>
    <row r="97" spans="2:7" ht="12.75" customHeight="1" x14ac:dyDescent="0.2">
      <c r="B97" s="16" t="s">
        <v>182</v>
      </c>
      <c r="C97" s="16"/>
      <c r="F97" s="42"/>
    </row>
    <row r="98" spans="2:7" ht="12.75" customHeight="1" x14ac:dyDescent="0.2">
      <c r="B98" s="16" t="s">
        <v>183</v>
      </c>
      <c r="C98" s="16"/>
      <c r="F98" s="42"/>
    </row>
    <row r="99" spans="2:7" ht="12.75" customHeight="1" x14ac:dyDescent="0.2">
      <c r="B99" s="16" t="s">
        <v>184</v>
      </c>
      <c r="C99" s="16"/>
      <c r="F99" s="43"/>
      <c r="G99" s="43"/>
    </row>
    <row r="100" spans="2:7" ht="12.75" customHeight="1" x14ac:dyDescent="0.2">
      <c r="B100" s="53" t="s">
        <v>300</v>
      </c>
      <c r="C100" s="16"/>
    </row>
    <row r="101" spans="2:7" ht="12.75" customHeight="1" x14ac:dyDescent="0.2"/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</sheetData>
  <sheetProtection password="EDB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9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366</v>
      </c>
      <c r="B1" s="126" t="s">
        <v>319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90</v>
      </c>
      <c r="C7" s="16"/>
      <c r="F7" s="13"/>
      <c r="G7" s="14"/>
      <c r="H7" s="15"/>
    </row>
    <row r="8" spans="1:16" ht="12.75" customHeight="1" x14ac:dyDescent="0.2">
      <c r="B8" s="16" t="s">
        <v>728</v>
      </c>
      <c r="C8" s="16"/>
      <c r="F8" s="13"/>
      <c r="G8" s="14"/>
      <c r="H8" s="15"/>
      <c r="J8" s="17" t="s">
        <v>632</v>
      </c>
      <c r="K8" s="37" t="s">
        <v>12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212</v>
      </c>
      <c r="C9" s="65" t="s">
        <v>668</v>
      </c>
      <c r="D9" t="s">
        <v>158</v>
      </c>
      <c r="E9" s="28">
        <v>2500</v>
      </c>
      <c r="F9" s="13">
        <v>2471.335</v>
      </c>
      <c r="G9" s="14">
        <f>+ROUND(F9/VLOOKUP("Grand Total",$B$4:$F$276,5,0),4)</f>
        <v>5.0500000000000003E-2</v>
      </c>
      <c r="H9" s="15">
        <v>43257</v>
      </c>
      <c r="I9" s="99"/>
      <c r="J9" s="14" t="s">
        <v>158</v>
      </c>
      <c r="K9" s="48">
        <f t="shared" ref="K9:K24" si="0">SUMIFS($G$5:$G$309,$D$5:$D$309,J9)</f>
        <v>0.16469999999999999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669</v>
      </c>
      <c r="C10" s="65" t="s">
        <v>670</v>
      </c>
      <c r="D10" t="s">
        <v>158</v>
      </c>
      <c r="E10" s="28">
        <v>650</v>
      </c>
      <c r="F10" s="13">
        <v>640.59969999999998</v>
      </c>
      <c r="G10" s="14">
        <f>+ROUND(F10/VLOOKUP("Grand Total",$B$4:$F$276,5,0),4)</f>
        <v>1.3100000000000001E-2</v>
      </c>
      <c r="H10" s="15">
        <v>43271</v>
      </c>
      <c r="I10" s="99"/>
      <c r="J10" s="14" t="s">
        <v>349</v>
      </c>
      <c r="K10" s="48">
        <f t="shared" si="0"/>
        <v>0.15290000000000001</v>
      </c>
      <c r="M10" s="14"/>
      <c r="N10" s="36"/>
      <c r="P10" s="14"/>
    </row>
    <row r="11" spans="1:16" ht="12.75" customHeight="1" x14ac:dyDescent="0.2">
      <c r="B11" s="18" t="s">
        <v>84</v>
      </c>
      <c r="C11" s="18"/>
      <c r="D11" s="18"/>
      <c r="E11" s="29"/>
      <c r="F11" s="19">
        <f>SUM(F9:F10)</f>
        <v>3111.9346999999998</v>
      </c>
      <c r="G11" s="20">
        <f>SUM(G9:G10)</f>
        <v>6.3600000000000004E-2</v>
      </c>
      <c r="H11" s="21"/>
      <c r="J11" s="14" t="s">
        <v>285</v>
      </c>
      <c r="K11" s="48">
        <f t="shared" si="0"/>
        <v>9.8100000000000007E-2</v>
      </c>
      <c r="M11" s="14"/>
      <c r="N11" s="36"/>
      <c r="P11" s="14"/>
    </row>
    <row r="12" spans="1:16" ht="12.75" customHeight="1" x14ac:dyDescent="0.2">
      <c r="B12" s="16"/>
      <c r="C12" s="16"/>
      <c r="F12" s="13"/>
      <c r="G12" s="14"/>
      <c r="H12" s="15"/>
      <c r="J12" s="14" t="s">
        <v>352</v>
      </c>
      <c r="K12" s="48">
        <f t="shared" si="0"/>
        <v>8.6400000000000005E-2</v>
      </c>
      <c r="M12" s="14"/>
    </row>
    <row r="13" spans="1:16" ht="12.75" customHeight="1" x14ac:dyDescent="0.2">
      <c r="B13" s="16" t="s">
        <v>299</v>
      </c>
      <c r="C13" s="16"/>
      <c r="F13" s="13"/>
      <c r="G13" s="14"/>
      <c r="H13" s="15"/>
      <c r="J13" s="14" t="s">
        <v>535</v>
      </c>
      <c r="K13" s="48">
        <f t="shared" si="0"/>
        <v>7.4200000000000002E-2</v>
      </c>
      <c r="M13" s="14"/>
    </row>
    <row r="14" spans="1:16" ht="12.75" customHeight="1" x14ac:dyDescent="0.2">
      <c r="A14">
        <f>+MAX($A$1:A13)+1</f>
        <v>3</v>
      </c>
      <c r="B14" t="s">
        <v>671</v>
      </c>
      <c r="C14" t="s">
        <v>672</v>
      </c>
      <c r="D14" t="s">
        <v>158</v>
      </c>
      <c r="E14" s="28">
        <v>1000</v>
      </c>
      <c r="F14" s="13">
        <v>4856.37</v>
      </c>
      <c r="G14" s="14">
        <f t="shared" ref="G14:G20" si="1">+ROUND(F14/VLOOKUP("Grand Total",$B$4:$F$276,5,0),4)</f>
        <v>9.9299999999999999E-2</v>
      </c>
      <c r="H14" s="15">
        <v>43347</v>
      </c>
      <c r="I14" s="99"/>
      <c r="J14" s="14" t="s">
        <v>542</v>
      </c>
      <c r="K14" s="48">
        <f t="shared" si="0"/>
        <v>5.8599999999999999E-2</v>
      </c>
      <c r="M14" s="14"/>
    </row>
    <row r="15" spans="1:16" ht="12.75" customHeight="1" x14ac:dyDescent="0.2">
      <c r="A15">
        <f>+MAX($A$1:A14)+1</f>
        <v>4</v>
      </c>
      <c r="B15" t="s">
        <v>284</v>
      </c>
      <c r="C15" t="s">
        <v>561</v>
      </c>
      <c r="D15" t="s">
        <v>542</v>
      </c>
      <c r="E15" s="28">
        <v>440</v>
      </c>
      <c r="F15" s="13">
        <v>2084.3371999999999</v>
      </c>
      <c r="G15" s="14">
        <f t="shared" si="1"/>
        <v>4.2599999999999999E-2</v>
      </c>
      <c r="H15" s="15">
        <v>43430</v>
      </c>
      <c r="I15" s="99"/>
      <c r="J15" s="14" t="s">
        <v>591</v>
      </c>
      <c r="K15" s="48">
        <f t="shared" si="0"/>
        <v>5.1200000000000002E-2</v>
      </c>
      <c r="M15" s="14"/>
      <c r="N15" s="36"/>
      <c r="O15" s="14"/>
    </row>
    <row r="16" spans="1:16" ht="12.75" customHeight="1" x14ac:dyDescent="0.2">
      <c r="A16">
        <f>+MAX($A$1:A15)+1</f>
        <v>5</v>
      </c>
      <c r="B16" t="s">
        <v>534</v>
      </c>
      <c r="C16" t="s">
        <v>673</v>
      </c>
      <c r="D16" t="s">
        <v>535</v>
      </c>
      <c r="E16" s="28">
        <v>400</v>
      </c>
      <c r="F16" s="13">
        <v>1956.05</v>
      </c>
      <c r="G16" s="14">
        <f t="shared" si="1"/>
        <v>0.04</v>
      </c>
      <c r="H16" s="15">
        <v>43272</v>
      </c>
      <c r="I16" s="99"/>
      <c r="J16" s="14" t="s">
        <v>431</v>
      </c>
      <c r="K16" s="48">
        <f t="shared" si="0"/>
        <v>5.0900000000000001E-2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534</v>
      </c>
      <c r="C17" t="s">
        <v>641</v>
      </c>
      <c r="D17" t="s">
        <v>535</v>
      </c>
      <c r="E17" s="28">
        <v>340</v>
      </c>
      <c r="F17" s="13">
        <v>1673.7452000000001</v>
      </c>
      <c r="G17" s="14">
        <f t="shared" si="1"/>
        <v>3.4200000000000001E-2</v>
      </c>
      <c r="H17" s="15">
        <v>43245</v>
      </c>
      <c r="I17" s="99"/>
      <c r="J17" s="14" t="s">
        <v>510</v>
      </c>
      <c r="K17" s="48">
        <f t="shared" si="0"/>
        <v>4.9700000000000001E-2</v>
      </c>
      <c r="M17" s="14"/>
      <c r="N17" s="36"/>
      <c r="O17" s="14"/>
      <c r="P17" s="14"/>
    </row>
    <row r="18" spans="1:16" ht="12.75" customHeight="1" x14ac:dyDescent="0.2">
      <c r="A18">
        <f>+MAX($A$1:A17)+1</f>
        <v>7</v>
      </c>
      <c r="B18" s="65" t="s">
        <v>284</v>
      </c>
      <c r="C18" t="s">
        <v>532</v>
      </c>
      <c r="D18" t="s">
        <v>542</v>
      </c>
      <c r="E18" s="28">
        <v>162</v>
      </c>
      <c r="F18" s="13">
        <v>781.73586</v>
      </c>
      <c r="G18" s="14">
        <f t="shared" si="1"/>
        <v>1.6E-2</v>
      </c>
      <c r="H18" s="15">
        <v>43350</v>
      </c>
      <c r="I18" s="99"/>
      <c r="J18" s="14" t="s">
        <v>171</v>
      </c>
      <c r="K18" s="48">
        <f t="shared" si="0"/>
        <v>4.8099999999999997E-2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t="s">
        <v>543</v>
      </c>
      <c r="C19" t="s">
        <v>544</v>
      </c>
      <c r="D19" t="s">
        <v>283</v>
      </c>
      <c r="E19" s="28">
        <v>80</v>
      </c>
      <c r="F19" s="13">
        <v>393.87520000000001</v>
      </c>
      <c r="G19" s="14">
        <f t="shared" si="1"/>
        <v>8.0999999999999996E-3</v>
      </c>
      <c r="H19" s="15">
        <v>43265</v>
      </c>
      <c r="I19" s="99"/>
      <c r="J19" s="14" t="s">
        <v>466</v>
      </c>
      <c r="K19" s="48">
        <f t="shared" si="0"/>
        <v>3.6799999999999999E-2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336</v>
      </c>
      <c r="C20" t="s">
        <v>512</v>
      </c>
      <c r="D20" t="s">
        <v>158</v>
      </c>
      <c r="E20" s="28">
        <v>18</v>
      </c>
      <c r="F20" s="13">
        <v>88.662509999999997</v>
      </c>
      <c r="G20" s="14">
        <f t="shared" si="1"/>
        <v>1.8E-3</v>
      </c>
      <c r="H20" s="15">
        <v>43273</v>
      </c>
      <c r="I20" s="99"/>
      <c r="J20" s="14" t="s">
        <v>286</v>
      </c>
      <c r="K20" s="48">
        <f t="shared" si="0"/>
        <v>2.9000000000000001E-2</v>
      </c>
      <c r="M20" s="14"/>
      <c r="N20" s="36"/>
      <c r="O20" s="14"/>
      <c r="P20" s="14"/>
    </row>
    <row r="21" spans="1:16" ht="12.75" customHeight="1" x14ac:dyDescent="0.2">
      <c r="B21" s="18" t="s">
        <v>84</v>
      </c>
      <c r="C21" s="18"/>
      <c r="D21" s="18"/>
      <c r="E21" s="29"/>
      <c r="F21" s="19">
        <f>SUM(F14:F20)</f>
        <v>11834.775970000001</v>
      </c>
      <c r="G21" s="20">
        <f>SUM(G14:G20)</f>
        <v>0.24200000000000002</v>
      </c>
      <c r="H21" s="21"/>
      <c r="J21" s="14" t="s">
        <v>590</v>
      </c>
      <c r="K21" s="48">
        <f t="shared" si="0"/>
        <v>2.69E-2</v>
      </c>
      <c r="L21" s="54"/>
      <c r="N21" s="36"/>
      <c r="O21" s="14"/>
      <c r="P21" s="14"/>
    </row>
    <row r="22" spans="1:16" ht="12.75" customHeight="1" x14ac:dyDescent="0.2">
      <c r="F22" s="13"/>
      <c r="G22" s="14"/>
      <c r="H22" s="15"/>
      <c r="J22" s="14" t="s">
        <v>680</v>
      </c>
      <c r="K22" s="48">
        <f t="shared" si="0"/>
        <v>2.0500000000000001E-2</v>
      </c>
      <c r="M22" s="90"/>
      <c r="N22" s="36"/>
      <c r="O22" s="14"/>
      <c r="P22" s="14"/>
    </row>
    <row r="23" spans="1:16" ht="12.75" customHeight="1" x14ac:dyDescent="0.2">
      <c r="B23" s="16" t="s">
        <v>165</v>
      </c>
      <c r="C23" s="16"/>
      <c r="F23" s="13"/>
      <c r="G23" s="14"/>
      <c r="H23" s="15"/>
      <c r="I23" s="35"/>
      <c r="J23" s="14" t="s">
        <v>283</v>
      </c>
      <c r="K23" s="48">
        <f t="shared" si="0"/>
        <v>8.0999999999999996E-3</v>
      </c>
      <c r="M23" s="14"/>
      <c r="N23" s="36"/>
      <c r="O23" s="14"/>
      <c r="P23" s="14"/>
    </row>
    <row r="24" spans="1:16" ht="12.75" customHeight="1" x14ac:dyDescent="0.2">
      <c r="A24">
        <f>+MAX($A$1:A23)+1</f>
        <v>10</v>
      </c>
      <c r="B24" s="65" t="s">
        <v>545</v>
      </c>
      <c r="C24" t="s">
        <v>667</v>
      </c>
      <c r="D24" t="s">
        <v>389</v>
      </c>
      <c r="E24" s="28">
        <v>312600</v>
      </c>
      <c r="F24" s="13">
        <v>309.16640160000003</v>
      </c>
      <c r="G24" s="14">
        <f>+ROUND(F24/VLOOKUP("Grand Total",$B$4:$F$276,5,0),4)</f>
        <v>6.3E-3</v>
      </c>
      <c r="H24" s="15">
        <v>43258</v>
      </c>
      <c r="I24" s="99"/>
      <c r="J24" s="14" t="s">
        <v>389</v>
      </c>
      <c r="K24" s="48">
        <f t="shared" si="0"/>
        <v>6.3E-3</v>
      </c>
      <c r="N24" s="36"/>
      <c r="O24" s="14"/>
      <c r="P24" s="14"/>
    </row>
    <row r="25" spans="1:16" ht="12.75" customHeight="1" x14ac:dyDescent="0.2">
      <c r="B25" s="18" t="s">
        <v>84</v>
      </c>
      <c r="C25" s="18"/>
      <c r="D25" s="18"/>
      <c r="E25" s="29"/>
      <c r="F25" s="19">
        <f>SUM(F24:F24)</f>
        <v>309.16640160000003</v>
      </c>
      <c r="G25" s="20">
        <f>SUM(G24:G24)</f>
        <v>6.3E-3</v>
      </c>
      <c r="H25" s="21"/>
      <c r="J25" s="14" t="s">
        <v>63</v>
      </c>
      <c r="K25" s="48">
        <f>+SUMIFS($G$5:$G$997,$B$5:$B$997,"CBLO / Reverse Repo Investments")+SUMIFS($G$5:$G$997,$B$5:$B$997,"Net Receivable/Payable")</f>
        <v>3.7600000000000001E-2</v>
      </c>
      <c r="L25" s="54"/>
      <c r="M25" s="14"/>
      <c r="N25" s="36"/>
      <c r="O25" s="14"/>
      <c r="P25" s="14"/>
    </row>
    <row r="26" spans="1:16" ht="12.75" customHeight="1" x14ac:dyDescent="0.2">
      <c r="F26" s="13"/>
      <c r="G26" s="14"/>
      <c r="H26" s="15"/>
      <c r="J26" s="14"/>
      <c r="K26" s="48"/>
      <c r="M26" s="90"/>
      <c r="N26" s="36"/>
      <c r="O26" s="14"/>
      <c r="P26" s="14"/>
    </row>
    <row r="27" spans="1:16" ht="12.75" customHeight="1" x14ac:dyDescent="0.2">
      <c r="B27" s="16" t="s">
        <v>123</v>
      </c>
      <c r="C27" s="16"/>
      <c r="F27" s="13"/>
      <c r="G27" s="14"/>
      <c r="H27" s="15"/>
      <c r="I27" s="35"/>
      <c r="N27" s="36"/>
      <c r="P27" s="14"/>
    </row>
    <row r="28" spans="1:16" ht="12.75" customHeight="1" x14ac:dyDescent="0.2">
      <c r="B28" s="31" t="s">
        <v>298</v>
      </c>
      <c r="C28" s="16"/>
      <c r="F28" s="13"/>
      <c r="G28" s="14"/>
      <c r="H28" s="15"/>
      <c r="N28" s="36"/>
      <c r="P28" s="14"/>
    </row>
    <row r="29" spans="1:16" ht="12.75" customHeight="1" x14ac:dyDescent="0.2">
      <c r="A29">
        <f>+MAX($A$1:A28)+1</f>
        <v>11</v>
      </c>
      <c r="B29" t="s">
        <v>674</v>
      </c>
      <c r="C29" t="s">
        <v>381</v>
      </c>
      <c r="D29" t="s">
        <v>349</v>
      </c>
      <c r="E29" s="28">
        <v>500</v>
      </c>
      <c r="F29" s="13">
        <v>5034.24</v>
      </c>
      <c r="G29" s="14">
        <f t="shared" ref="G29:G39" si="2">+ROUND(F29/VLOOKUP("Grand Total",$B$4:$F$276,5,0),4)</f>
        <v>0.10290000000000001</v>
      </c>
      <c r="H29" s="15">
        <v>43892</v>
      </c>
      <c r="I29" s="99"/>
    </row>
    <row r="30" spans="1:16" s="65" customFormat="1" ht="12.75" customHeight="1" x14ac:dyDescent="0.2">
      <c r="A30">
        <f>+MAX($A$1:A29)+1</f>
        <v>12</v>
      </c>
      <c r="B30" s="65" t="s">
        <v>464</v>
      </c>
      <c r="C30" s="65" t="s">
        <v>465</v>
      </c>
      <c r="D30" s="65" t="s">
        <v>285</v>
      </c>
      <c r="E30" s="85">
        <v>480</v>
      </c>
      <c r="F30" s="86">
        <v>4796.1935999999996</v>
      </c>
      <c r="G30" s="90">
        <f t="shared" si="2"/>
        <v>9.8100000000000007E-2</v>
      </c>
      <c r="H30" s="89">
        <v>43630</v>
      </c>
      <c r="I30" s="99"/>
      <c r="N30" s="84"/>
      <c r="P30" s="90"/>
    </row>
    <row r="31" spans="1:16" ht="12.75" customHeight="1" x14ac:dyDescent="0.2">
      <c r="A31">
        <f>+MAX($A$1:A30)+1</f>
        <v>13</v>
      </c>
      <c r="B31" s="65" t="s">
        <v>675</v>
      </c>
      <c r="C31" t="s">
        <v>446</v>
      </c>
      <c r="D31" t="s">
        <v>591</v>
      </c>
      <c r="E31" s="28">
        <v>250</v>
      </c>
      <c r="F31" s="13">
        <v>2503.4025000000001</v>
      </c>
      <c r="G31" s="14">
        <f t="shared" si="2"/>
        <v>5.1200000000000002E-2</v>
      </c>
      <c r="H31" s="15">
        <v>43469</v>
      </c>
      <c r="I31" s="99"/>
      <c r="N31" s="36"/>
      <c r="P31" s="14"/>
    </row>
    <row r="32" spans="1:16" ht="12.75" customHeight="1" x14ac:dyDescent="0.2">
      <c r="A32">
        <f>+MAX($A$1:A31)+1</f>
        <v>14</v>
      </c>
      <c r="B32" t="s">
        <v>509</v>
      </c>
      <c r="C32" s="65" t="s">
        <v>490</v>
      </c>
      <c r="D32" s="65" t="s">
        <v>431</v>
      </c>
      <c r="E32" s="85">
        <v>250</v>
      </c>
      <c r="F32" s="86">
        <v>2489.79</v>
      </c>
      <c r="G32" s="90">
        <f t="shared" si="2"/>
        <v>5.0900000000000001E-2</v>
      </c>
      <c r="H32" s="15">
        <v>43671</v>
      </c>
      <c r="I32" s="99"/>
    </row>
    <row r="33" spans="1:16" ht="12.75" customHeight="1" x14ac:dyDescent="0.2">
      <c r="A33">
        <f>+MAX($A$1:A32)+1</f>
        <v>15</v>
      </c>
      <c r="B33" s="65" t="s">
        <v>432</v>
      </c>
      <c r="C33" t="s">
        <v>407</v>
      </c>
      <c r="D33" t="s">
        <v>349</v>
      </c>
      <c r="E33" s="28">
        <v>243000</v>
      </c>
      <c r="F33" s="13">
        <v>2444.4633600000002</v>
      </c>
      <c r="G33" s="14">
        <f t="shared" si="2"/>
        <v>0.05</v>
      </c>
      <c r="H33" s="15">
        <v>43717</v>
      </c>
      <c r="I33" s="99"/>
      <c r="N33" s="36"/>
      <c r="P33" s="14"/>
    </row>
    <row r="34" spans="1:16" ht="12.75" customHeight="1" x14ac:dyDescent="0.2">
      <c r="A34">
        <f>+MAX($A$1:A33)+1</f>
        <v>16</v>
      </c>
      <c r="B34" s="65" t="s">
        <v>338</v>
      </c>
      <c r="C34" t="s">
        <v>339</v>
      </c>
      <c r="D34" t="s">
        <v>510</v>
      </c>
      <c r="E34" s="28">
        <v>242</v>
      </c>
      <c r="F34" s="13">
        <v>2432.6324</v>
      </c>
      <c r="G34" s="14">
        <f t="shared" si="2"/>
        <v>4.9700000000000001E-2</v>
      </c>
      <c r="H34" s="15">
        <v>43309</v>
      </c>
      <c r="I34" s="99"/>
      <c r="N34" s="36"/>
      <c r="P34" s="14"/>
    </row>
    <row r="35" spans="1:16" ht="12.75" customHeight="1" x14ac:dyDescent="0.2">
      <c r="A35">
        <f>+MAX($A$1:A34)+1</f>
        <v>17</v>
      </c>
      <c r="B35" s="65" t="s">
        <v>547</v>
      </c>
      <c r="C35" t="s">
        <v>340</v>
      </c>
      <c r="D35" t="s">
        <v>171</v>
      </c>
      <c r="E35" s="28">
        <v>235</v>
      </c>
      <c r="F35" s="13">
        <v>2352.4275499999999</v>
      </c>
      <c r="G35" s="14">
        <f t="shared" si="2"/>
        <v>4.8099999999999997E-2</v>
      </c>
      <c r="H35" s="15">
        <v>43299</v>
      </c>
      <c r="I35" s="99"/>
    </row>
    <row r="36" spans="1:16" ht="12.75" customHeight="1" x14ac:dyDescent="0.2">
      <c r="A36">
        <f>+MAX($A$1:A35)+1</f>
        <v>18</v>
      </c>
      <c r="B36" s="65" t="s">
        <v>513</v>
      </c>
      <c r="C36" t="s">
        <v>493</v>
      </c>
      <c r="D36" t="s">
        <v>466</v>
      </c>
      <c r="E36" s="28">
        <v>182</v>
      </c>
      <c r="F36" s="13">
        <v>1802.41516</v>
      </c>
      <c r="G36" s="14">
        <f t="shared" si="2"/>
        <v>3.6799999999999999E-2</v>
      </c>
      <c r="H36" s="15">
        <v>44026</v>
      </c>
      <c r="I36" s="99"/>
    </row>
    <row r="37" spans="1:16" ht="12.75" customHeight="1" x14ac:dyDescent="0.2">
      <c r="A37">
        <f>+MAX($A$1:A36)+1</f>
        <v>19</v>
      </c>
      <c r="B37" t="s">
        <v>676</v>
      </c>
      <c r="C37" t="s">
        <v>322</v>
      </c>
      <c r="D37" t="s">
        <v>286</v>
      </c>
      <c r="E37" s="28">
        <v>140</v>
      </c>
      <c r="F37" s="13">
        <v>1418.3008</v>
      </c>
      <c r="G37" s="14">
        <f t="shared" si="2"/>
        <v>2.9000000000000001E-2</v>
      </c>
      <c r="H37" s="15">
        <v>43621</v>
      </c>
      <c r="I37" s="99"/>
    </row>
    <row r="38" spans="1:16" ht="12.75" customHeight="1" x14ac:dyDescent="0.2">
      <c r="A38">
        <f>+MAX($A$1:A37)+1</f>
        <v>20</v>
      </c>
      <c r="B38" s="65" t="s">
        <v>677</v>
      </c>
      <c r="C38" t="s">
        <v>603</v>
      </c>
      <c r="D38" t="s">
        <v>590</v>
      </c>
      <c r="E38" s="28">
        <v>150</v>
      </c>
      <c r="F38" s="13">
        <v>1314.3554999999999</v>
      </c>
      <c r="G38" s="14">
        <f t="shared" si="2"/>
        <v>2.69E-2</v>
      </c>
      <c r="H38" s="15">
        <v>43826</v>
      </c>
      <c r="I38" s="99"/>
    </row>
    <row r="39" spans="1:16" ht="12.75" customHeight="1" x14ac:dyDescent="0.2">
      <c r="A39">
        <f>+MAX($A$1:A38)+1</f>
        <v>21</v>
      </c>
      <c r="B39" t="s">
        <v>678</v>
      </c>
      <c r="C39" t="s">
        <v>679</v>
      </c>
      <c r="D39" t="s">
        <v>680</v>
      </c>
      <c r="E39" s="28">
        <v>100</v>
      </c>
      <c r="F39" s="13">
        <v>1001.673</v>
      </c>
      <c r="G39" s="14">
        <f t="shared" si="2"/>
        <v>2.0500000000000001E-2</v>
      </c>
      <c r="H39" s="15">
        <v>43257</v>
      </c>
      <c r="I39" s="99"/>
    </row>
    <row r="40" spans="1:16" ht="12.75" customHeight="1" x14ac:dyDescent="0.2">
      <c r="B40" s="18" t="s">
        <v>84</v>
      </c>
      <c r="C40" s="18"/>
      <c r="D40" s="18"/>
      <c r="E40" s="29"/>
      <c r="F40" s="19">
        <f>SUM(F29:F39)</f>
        <v>27589.893870000004</v>
      </c>
      <c r="G40" s="20">
        <f>SUM(G29:G39)</f>
        <v>0.56410000000000005</v>
      </c>
      <c r="H40" s="21"/>
      <c r="J40" s="52"/>
      <c r="K40"/>
    </row>
    <row r="41" spans="1:16" ht="12.75" customHeight="1" x14ac:dyDescent="0.2">
      <c r="F41" s="13"/>
      <c r="G41" s="14"/>
      <c r="H41" s="15"/>
      <c r="M41" s="90"/>
      <c r="N41" s="36"/>
      <c r="O41" s="14"/>
      <c r="P41" s="14"/>
    </row>
    <row r="42" spans="1:16" ht="12.75" customHeight="1" x14ac:dyDescent="0.2">
      <c r="B42" s="16" t="s">
        <v>729</v>
      </c>
      <c r="C42" s="16"/>
      <c r="F42" s="13"/>
      <c r="G42" s="14"/>
      <c r="H42" s="15"/>
      <c r="I42" s="35"/>
      <c r="J42" s="14"/>
      <c r="M42" s="14"/>
      <c r="N42" s="36"/>
      <c r="O42" s="14"/>
      <c r="P42" s="14"/>
    </row>
    <row r="43" spans="1:16" ht="12.75" customHeight="1" x14ac:dyDescent="0.2">
      <c r="A43">
        <f>+MAX($A$1:A42)+1</f>
        <v>22</v>
      </c>
      <c r="B43" s="65" t="s">
        <v>681</v>
      </c>
      <c r="C43" t="s">
        <v>514</v>
      </c>
      <c r="D43" t="s">
        <v>352</v>
      </c>
      <c r="E43" s="28">
        <v>400</v>
      </c>
      <c r="F43" s="13">
        <v>4227.8680000000004</v>
      </c>
      <c r="G43" s="14">
        <f>+ROUND(F43/VLOOKUP("Grand Total",$B$4:$F$276,5,0),4)</f>
        <v>8.6400000000000005E-2</v>
      </c>
      <c r="H43" s="15">
        <v>43321</v>
      </c>
      <c r="I43" s="99"/>
      <c r="J43" s="14"/>
      <c r="N43" s="36"/>
      <c r="O43" s="14"/>
      <c r="P43" s="14"/>
    </row>
    <row r="44" spans="1:16" ht="12.75" customHeight="1" x14ac:dyDescent="0.2">
      <c r="B44" s="18" t="s">
        <v>84</v>
      </c>
      <c r="C44" s="18"/>
      <c r="D44" s="18"/>
      <c r="E44" s="29"/>
      <c r="F44" s="19">
        <f>SUM(F43:F43)</f>
        <v>4227.8680000000004</v>
      </c>
      <c r="G44" s="20">
        <f>SUM(G43:G43)</f>
        <v>8.6400000000000005E-2</v>
      </c>
      <c r="H44" s="21"/>
      <c r="L44" s="54"/>
      <c r="M44" s="14"/>
      <c r="N44" s="36"/>
      <c r="O44" s="14"/>
      <c r="P44" s="14"/>
    </row>
    <row r="45" spans="1:16" ht="12.75" customHeight="1" x14ac:dyDescent="0.2">
      <c r="F45" s="13"/>
      <c r="G45" s="14"/>
      <c r="H45" s="15"/>
      <c r="M45" s="90"/>
      <c r="N45" s="36"/>
      <c r="O45" s="14"/>
      <c r="P45" s="14"/>
    </row>
    <row r="46" spans="1:16" ht="12.75" customHeight="1" x14ac:dyDescent="0.2">
      <c r="A46" s="95" t="s">
        <v>356</v>
      </c>
      <c r="B46" s="16" t="s">
        <v>92</v>
      </c>
      <c r="C46" s="16"/>
      <c r="F46" s="13">
        <v>526.39606119999996</v>
      </c>
      <c r="G46" s="14">
        <f>+ROUND(F46/VLOOKUP("Grand Total",$B$4:$F$276,5,0),4)</f>
        <v>1.0800000000000001E-2</v>
      </c>
      <c r="H46" s="15">
        <v>43193</v>
      </c>
      <c r="I46" s="99"/>
      <c r="J46" s="52"/>
      <c r="K46"/>
    </row>
    <row r="47" spans="1:16" ht="12.75" customHeight="1" x14ac:dyDescent="0.2">
      <c r="B47" s="18" t="s">
        <v>84</v>
      </c>
      <c r="C47" s="18"/>
      <c r="D47" s="18"/>
      <c r="E47" s="29"/>
      <c r="F47" s="19">
        <f>SUM(F46)</f>
        <v>526.39606119999996</v>
      </c>
      <c r="G47" s="20">
        <f>SUM(G46)</f>
        <v>1.0800000000000001E-2</v>
      </c>
      <c r="H47" s="21"/>
      <c r="K47"/>
    </row>
    <row r="48" spans="1:16" ht="12.75" customHeight="1" x14ac:dyDescent="0.2">
      <c r="F48" s="13"/>
      <c r="G48" s="14"/>
      <c r="H48" s="15"/>
      <c r="K48"/>
    </row>
    <row r="49" spans="2:11" ht="12.75" customHeight="1" x14ac:dyDescent="0.2">
      <c r="B49" s="16" t="s">
        <v>93</v>
      </c>
      <c r="C49" s="16"/>
      <c r="F49" s="13"/>
      <c r="G49" s="14"/>
      <c r="H49" s="15"/>
      <c r="I49" s="35"/>
      <c r="K49"/>
    </row>
    <row r="50" spans="2:11" ht="12.75" customHeight="1" x14ac:dyDescent="0.2">
      <c r="B50" s="16" t="s">
        <v>94</v>
      </c>
      <c r="C50" s="16"/>
      <c r="F50" s="13">
        <v>1313.7397996999935</v>
      </c>
      <c r="G50" s="14">
        <f>+ROUND(F50/VLOOKUP("Grand Total",$B$4:$F$276,5,0),4)-0.01%</f>
        <v>2.6800000000000001E-2</v>
      </c>
      <c r="H50" s="15"/>
      <c r="K50"/>
    </row>
    <row r="51" spans="2:11" ht="12.75" customHeight="1" x14ac:dyDescent="0.2">
      <c r="B51" s="18" t="s">
        <v>84</v>
      </c>
      <c r="C51" s="18"/>
      <c r="D51" s="18"/>
      <c r="E51" s="29"/>
      <c r="F51" s="19">
        <f>SUM(F50)</f>
        <v>1313.7397996999935</v>
      </c>
      <c r="G51" s="20">
        <f>SUM(G50)</f>
        <v>2.6800000000000001E-2</v>
      </c>
      <c r="H51" s="21"/>
      <c r="K51"/>
    </row>
    <row r="52" spans="2:11" ht="12.75" customHeight="1" x14ac:dyDescent="0.2">
      <c r="B52" s="22" t="s">
        <v>95</v>
      </c>
      <c r="C52" s="22"/>
      <c r="D52" s="22"/>
      <c r="E52" s="30"/>
      <c r="F52" s="23">
        <f>+SUMIF($B$5:B51,"Total",$F$5:F51)</f>
        <v>48913.774802499996</v>
      </c>
      <c r="G52" s="24">
        <f>+SUMIF($B$5:B51,"Total",$G$5:G51)</f>
        <v>1.0000000000000002</v>
      </c>
      <c r="H52" s="25"/>
      <c r="K52"/>
    </row>
    <row r="53" spans="2:11" ht="12.75" customHeight="1" x14ac:dyDescent="0.2">
      <c r="I53" s="35"/>
      <c r="K53"/>
    </row>
    <row r="54" spans="2:11" ht="12.75" customHeight="1" x14ac:dyDescent="0.2">
      <c r="B54" s="16" t="s">
        <v>592</v>
      </c>
      <c r="C54" s="16"/>
      <c r="F54" s="42"/>
      <c r="I54" s="35"/>
      <c r="K54"/>
    </row>
    <row r="55" spans="2:11" ht="12.75" customHeight="1" x14ac:dyDescent="0.2">
      <c r="B55" s="16" t="s">
        <v>182</v>
      </c>
      <c r="C55" s="16"/>
      <c r="F55" s="42"/>
      <c r="K55"/>
    </row>
    <row r="56" spans="2:11" ht="12.75" customHeight="1" x14ac:dyDescent="0.2">
      <c r="B56" s="16" t="s">
        <v>739</v>
      </c>
      <c r="C56" s="16"/>
      <c r="K56"/>
    </row>
    <row r="57" spans="2:11" ht="12.75" customHeight="1" x14ac:dyDescent="0.2">
      <c r="K57"/>
    </row>
    <row r="58" spans="2:11" ht="12.75" customHeight="1" x14ac:dyDescent="0.2">
      <c r="K58"/>
    </row>
    <row r="59" spans="2:11" ht="12.75" customHeight="1" x14ac:dyDescent="0.2">
      <c r="K59"/>
    </row>
    <row r="60" spans="2:11" ht="12.75" customHeight="1" x14ac:dyDescent="0.2">
      <c r="K60"/>
    </row>
    <row r="61" spans="2:11" ht="12.75" customHeight="1" x14ac:dyDescent="0.2">
      <c r="E61"/>
      <c r="I61"/>
      <c r="K61"/>
    </row>
    <row r="62" spans="2:11" ht="12.75" customHeight="1" x14ac:dyDescent="0.2">
      <c r="E62"/>
      <c r="I62"/>
      <c r="K62"/>
    </row>
    <row r="63" spans="2:11" ht="12.75" customHeight="1" x14ac:dyDescent="0.2">
      <c r="E63"/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x14ac:dyDescent="0.2">
      <c r="E95"/>
      <c r="I95"/>
      <c r="K95"/>
    </row>
    <row r="96" spans="5:11" x14ac:dyDescent="0.2">
      <c r="E96"/>
      <c r="I96"/>
      <c r="K96"/>
    </row>
    <row r="97" spans="5:11" x14ac:dyDescent="0.2">
      <c r="E97"/>
      <c r="I97"/>
      <c r="K97"/>
    </row>
  </sheetData>
  <sheetProtection password="EDB3" sheet="1" objects="1" scenarios="1"/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367</v>
      </c>
      <c r="B1" s="126" t="s">
        <v>320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90</v>
      </c>
      <c r="C7" s="16"/>
      <c r="F7" s="13"/>
      <c r="G7" s="14"/>
      <c r="H7" s="15"/>
    </row>
    <row r="8" spans="1:16" ht="12.75" customHeight="1" x14ac:dyDescent="0.2">
      <c r="B8" s="16" t="s">
        <v>299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s="65" t="s">
        <v>534</v>
      </c>
      <c r="C9" t="s">
        <v>673</v>
      </c>
      <c r="D9" t="s">
        <v>535</v>
      </c>
      <c r="E9" s="28">
        <v>100</v>
      </c>
      <c r="F9" s="13">
        <v>489.01249999999999</v>
      </c>
      <c r="G9" s="14">
        <f>+ROUND(F9/VLOOKUP("Grand Total",$B$4:$F$305,5,0),4)</f>
        <v>5.5800000000000002E-2</v>
      </c>
      <c r="H9" s="15">
        <v>43272</v>
      </c>
      <c r="I9" s="64"/>
      <c r="J9" s="14" t="s">
        <v>107</v>
      </c>
      <c r="K9" s="48">
        <f t="shared" ref="K9:K20" si="0">SUMIFS($G$5:$G$328,$D$5:$D$328,J9)</f>
        <v>0.27410000000000001</v>
      </c>
    </row>
    <row r="10" spans="1:16" ht="12.75" customHeight="1" x14ac:dyDescent="0.2">
      <c r="A10">
        <f>+MAX($A$8:A9)+1</f>
        <v>2</v>
      </c>
      <c r="B10" s="1" t="s">
        <v>284</v>
      </c>
      <c r="C10" t="s">
        <v>532</v>
      </c>
      <c r="D10" t="s">
        <v>542</v>
      </c>
      <c r="E10" s="28">
        <v>80</v>
      </c>
      <c r="F10" s="13">
        <v>386.04239999999999</v>
      </c>
      <c r="G10" s="14">
        <f>+ROUND(F10/VLOOKUP("Grand Total",$B$4:$F$305,5,0),4)</f>
        <v>4.41E-2</v>
      </c>
      <c r="H10" s="15">
        <v>43350</v>
      </c>
      <c r="I10" s="64"/>
      <c r="J10" s="14" t="s">
        <v>349</v>
      </c>
      <c r="K10" s="48">
        <f t="shared" si="0"/>
        <v>9.3100000000000002E-2</v>
      </c>
    </row>
    <row r="11" spans="1:16" ht="12.75" customHeight="1" x14ac:dyDescent="0.2">
      <c r="A11">
        <f>+MAX($A$8:A10)+1</f>
        <v>3</v>
      </c>
      <c r="B11" s="1" t="s">
        <v>284</v>
      </c>
      <c r="C11" t="s">
        <v>562</v>
      </c>
      <c r="D11" t="s">
        <v>542</v>
      </c>
      <c r="E11" s="28">
        <v>80</v>
      </c>
      <c r="F11" s="13">
        <v>379.30399999999997</v>
      </c>
      <c r="G11" s="14">
        <f>+ROUND(F11/VLOOKUP("Grand Total",$B$4:$F$305,5,0),4)</f>
        <v>4.3299999999999998E-2</v>
      </c>
      <c r="H11" s="15">
        <v>43426</v>
      </c>
      <c r="I11" s="64"/>
      <c r="J11" s="14" t="s">
        <v>683</v>
      </c>
      <c r="K11" s="48">
        <f t="shared" si="0"/>
        <v>9.2700000000000005E-2</v>
      </c>
    </row>
    <row r="12" spans="1:16" ht="12.75" customHeight="1" x14ac:dyDescent="0.2">
      <c r="A12">
        <f>+MAX($A$8:A11)+1</f>
        <v>4</v>
      </c>
      <c r="B12" s="1" t="s">
        <v>534</v>
      </c>
      <c r="C12" t="s">
        <v>641</v>
      </c>
      <c r="D12" t="s">
        <v>535</v>
      </c>
      <c r="E12" s="28">
        <v>60</v>
      </c>
      <c r="F12" s="13">
        <v>295.36680000000001</v>
      </c>
      <c r="G12" s="14">
        <f>+ROUND(F12/VLOOKUP("Grand Total",$B$4:$F$305,5,0),4)</f>
        <v>3.3700000000000001E-2</v>
      </c>
      <c r="H12" s="15">
        <v>43245</v>
      </c>
      <c r="I12" s="64"/>
      <c r="J12" s="14" t="s">
        <v>535</v>
      </c>
      <c r="K12" s="48">
        <f t="shared" si="0"/>
        <v>8.9499999999999996E-2</v>
      </c>
    </row>
    <row r="13" spans="1:16" ht="12.75" customHeight="1" x14ac:dyDescent="0.2">
      <c r="B13" s="18" t="s">
        <v>84</v>
      </c>
      <c r="C13" s="18"/>
      <c r="D13" s="18"/>
      <c r="E13" s="29"/>
      <c r="F13" s="19">
        <f>SUM(F9:F12)</f>
        <v>1549.7257</v>
      </c>
      <c r="G13" s="20">
        <f>SUM(G9:G12)</f>
        <v>0.1769</v>
      </c>
      <c r="H13" s="21"/>
      <c r="J13" t="s">
        <v>542</v>
      </c>
      <c r="K13" s="48">
        <f t="shared" si="0"/>
        <v>8.7400000000000005E-2</v>
      </c>
      <c r="M13" s="14"/>
      <c r="N13" s="36"/>
      <c r="P13" s="14"/>
    </row>
    <row r="14" spans="1:16" ht="12.75" customHeight="1" x14ac:dyDescent="0.2">
      <c r="B14" s="16"/>
      <c r="C14" s="16"/>
      <c r="F14" s="13"/>
      <c r="G14" s="14"/>
      <c r="H14" s="15"/>
      <c r="J14" t="s">
        <v>285</v>
      </c>
      <c r="K14" s="48">
        <f t="shared" si="0"/>
        <v>8.5500000000000007E-2</v>
      </c>
    </row>
    <row r="15" spans="1:16" ht="12.75" customHeight="1" x14ac:dyDescent="0.2">
      <c r="B15" s="16" t="s">
        <v>165</v>
      </c>
      <c r="C15" s="16"/>
      <c r="F15" s="13"/>
      <c r="G15" s="14"/>
      <c r="H15" s="15"/>
      <c r="J15" s="81" t="s">
        <v>590</v>
      </c>
      <c r="K15" s="48">
        <f t="shared" si="0"/>
        <v>7.0000000000000007E-2</v>
      </c>
    </row>
    <row r="16" spans="1:16" ht="12.75" customHeight="1" x14ac:dyDescent="0.2">
      <c r="A16">
        <f>+MAX($A$8:A15)+1</f>
        <v>5</v>
      </c>
      <c r="B16" s="65" t="s">
        <v>545</v>
      </c>
      <c r="C16" t="s">
        <v>667</v>
      </c>
      <c r="D16" t="s">
        <v>389</v>
      </c>
      <c r="E16" s="28">
        <v>15000</v>
      </c>
      <c r="F16" s="13">
        <v>14.835240000000001</v>
      </c>
      <c r="G16" s="14">
        <f>+ROUND(F16/VLOOKUP("Grand Total",$B$4:$F$305,5,0),4)</f>
        <v>1.6999999999999999E-3</v>
      </c>
      <c r="H16" s="15">
        <v>43258</v>
      </c>
      <c r="I16" s="64"/>
      <c r="J16" s="14" t="s">
        <v>352</v>
      </c>
      <c r="K16" s="48">
        <f t="shared" si="0"/>
        <v>6.0299999999999999E-2</v>
      </c>
    </row>
    <row r="17" spans="1:16" ht="12.75" customHeight="1" x14ac:dyDescent="0.2">
      <c r="B17" s="18" t="s">
        <v>84</v>
      </c>
      <c r="C17" s="18"/>
      <c r="D17" s="18"/>
      <c r="E17" s="29"/>
      <c r="F17" s="19">
        <f>SUM(F16:F16)</f>
        <v>14.835240000000001</v>
      </c>
      <c r="G17" s="20">
        <f>SUM(G16:G16)</f>
        <v>1.6999999999999999E-3</v>
      </c>
      <c r="H17" s="21"/>
      <c r="J17" t="s">
        <v>687</v>
      </c>
      <c r="K17" s="48">
        <f t="shared" si="0"/>
        <v>4.5999999999999999E-2</v>
      </c>
      <c r="M17" s="14"/>
      <c r="N17" s="36"/>
      <c r="P17" s="14"/>
    </row>
    <row r="18" spans="1:16" ht="12.75" customHeight="1" x14ac:dyDescent="0.2">
      <c r="B18" s="16"/>
      <c r="C18" s="16"/>
      <c r="F18" s="13"/>
      <c r="G18" s="14"/>
      <c r="H18" s="15"/>
      <c r="J18" s="14" t="s">
        <v>510</v>
      </c>
      <c r="K18" s="48">
        <f t="shared" si="0"/>
        <v>1.15E-2</v>
      </c>
    </row>
    <row r="19" spans="1:16" ht="12.75" customHeight="1" x14ac:dyDescent="0.2">
      <c r="B19" s="16" t="s">
        <v>123</v>
      </c>
      <c r="C19" s="16"/>
      <c r="F19" s="13"/>
      <c r="G19" s="14"/>
      <c r="H19" s="15"/>
      <c r="I19" s="35"/>
      <c r="J19" s="14" t="s">
        <v>167</v>
      </c>
      <c r="K19" s="48">
        <f t="shared" si="0"/>
        <v>1.14E-2</v>
      </c>
      <c r="N19" s="36"/>
      <c r="P19" s="14"/>
    </row>
    <row r="20" spans="1:16" ht="12.75" customHeight="1" x14ac:dyDescent="0.2">
      <c r="B20" s="31" t="s">
        <v>392</v>
      </c>
      <c r="C20" s="16"/>
      <c r="F20" s="13"/>
      <c r="G20" s="14"/>
      <c r="H20" s="15"/>
      <c r="J20" s="14" t="s">
        <v>389</v>
      </c>
      <c r="K20" s="48">
        <f t="shared" si="0"/>
        <v>1.6999999999999999E-3</v>
      </c>
      <c r="M20" s="14"/>
      <c r="N20" s="36"/>
      <c r="P20" s="14"/>
    </row>
    <row r="21" spans="1:16" ht="12.75" customHeight="1" x14ac:dyDescent="0.2">
      <c r="A21">
        <f>+MAX($A$8:A20)+1</f>
        <v>6</v>
      </c>
      <c r="B21" s="65" t="s">
        <v>730</v>
      </c>
      <c r="C21" s="1" t="s">
        <v>682</v>
      </c>
      <c r="D21" t="s">
        <v>683</v>
      </c>
      <c r="E21" s="28">
        <v>800</v>
      </c>
      <c r="F21" s="13">
        <v>811.91759999999999</v>
      </c>
      <c r="G21" s="14">
        <f t="shared" ref="G21:G34" si="1">+ROUND(F21/VLOOKUP("Grand Total",$B$4:$F$298,5,0),4)</f>
        <v>9.2700000000000005E-2</v>
      </c>
      <c r="H21" s="15">
        <v>43766</v>
      </c>
      <c r="I21" s="64"/>
      <c r="J21" s="14" t="s">
        <v>63</v>
      </c>
      <c r="K21" s="48">
        <f>+SUMIFS($G$5:$G$997,$B$5:$B$997,"CBLO / Reverse Repo Investments")+SUMIFS($G$5:$G$997,$B$5:$B$997,"Net Receivable/Payable")</f>
        <v>7.6800000000000007E-2</v>
      </c>
      <c r="L21" s="54"/>
      <c r="M21" s="14"/>
    </row>
    <row r="22" spans="1:16" s="1" customFormat="1" ht="12.75" customHeight="1" x14ac:dyDescent="0.2">
      <c r="A22">
        <f>+MAX($A$8:A21)+1</f>
        <v>7</v>
      </c>
      <c r="B22" s="1" t="s">
        <v>626</v>
      </c>
      <c r="C22" s="1" t="s">
        <v>603</v>
      </c>
      <c r="D22" s="1" t="s">
        <v>590</v>
      </c>
      <c r="E22" s="57">
        <v>70</v>
      </c>
      <c r="F22" s="58">
        <v>613.36590000000001</v>
      </c>
      <c r="G22" s="14">
        <f t="shared" si="1"/>
        <v>7.0000000000000007E-2</v>
      </c>
      <c r="H22" s="60">
        <v>43826</v>
      </c>
      <c r="I22" s="64"/>
      <c r="J22" s="14"/>
      <c r="K22" s="36"/>
      <c r="L22" s="54"/>
      <c r="M22" s="14"/>
      <c r="N22" s="61"/>
      <c r="P22" s="59"/>
    </row>
    <row r="23" spans="1:16" s="1" customFormat="1" ht="12.75" customHeight="1" x14ac:dyDescent="0.2">
      <c r="A23">
        <f>+MAX($A$8:A22)+1</f>
        <v>8</v>
      </c>
      <c r="B23" s="1" t="s">
        <v>649</v>
      </c>
      <c r="C23" s="1" t="s">
        <v>465</v>
      </c>
      <c r="D23" s="1" t="s">
        <v>285</v>
      </c>
      <c r="E23" s="57">
        <v>55</v>
      </c>
      <c r="F23" s="58">
        <v>549.56385</v>
      </c>
      <c r="G23" s="14">
        <f t="shared" si="1"/>
        <v>6.2700000000000006E-2</v>
      </c>
      <c r="H23" s="60">
        <v>43630</v>
      </c>
      <c r="I23" s="64"/>
      <c r="J23"/>
      <c r="K23" s="36"/>
      <c r="M23" s="59"/>
      <c r="N23" s="61"/>
      <c r="P23" s="59"/>
    </row>
    <row r="24" spans="1:16" s="1" customFormat="1" ht="12.75" customHeight="1" x14ac:dyDescent="0.2">
      <c r="A24">
        <f>+MAX($A$8:A23)+1</f>
        <v>9</v>
      </c>
      <c r="B24" s="65" t="s">
        <v>651</v>
      </c>
      <c r="C24" s="1" t="s">
        <v>407</v>
      </c>
      <c r="D24" s="1" t="s">
        <v>349</v>
      </c>
      <c r="E24" s="57">
        <v>51000</v>
      </c>
      <c r="F24" s="58">
        <v>513.03552000000002</v>
      </c>
      <c r="G24" s="14">
        <f t="shared" si="1"/>
        <v>5.8599999999999999E-2</v>
      </c>
      <c r="H24" s="60">
        <v>43717</v>
      </c>
      <c r="I24" s="64"/>
      <c r="N24" s="61"/>
      <c r="P24" s="59"/>
    </row>
    <row r="25" spans="1:16" s="1" customFormat="1" ht="12.75" customHeight="1" x14ac:dyDescent="0.2">
      <c r="A25">
        <f>+MAX($A$8:A24)+1</f>
        <v>10</v>
      </c>
      <c r="B25" s="65" t="s">
        <v>654</v>
      </c>
      <c r="C25" s="1" t="s">
        <v>581</v>
      </c>
      <c r="D25" s="1" t="s">
        <v>107</v>
      </c>
      <c r="E25" s="57">
        <v>50</v>
      </c>
      <c r="F25" s="58">
        <v>502.666</v>
      </c>
      <c r="G25" s="14">
        <f t="shared" si="1"/>
        <v>5.74E-2</v>
      </c>
      <c r="H25" s="60">
        <v>43584</v>
      </c>
      <c r="I25" s="64"/>
      <c r="N25" s="61"/>
      <c r="P25" s="59"/>
    </row>
    <row r="26" spans="1:16" s="1" customFormat="1" ht="12.75" customHeight="1" x14ac:dyDescent="0.2">
      <c r="A26">
        <f>+MAX($A$8:A25)+1</f>
        <v>11</v>
      </c>
      <c r="B26" s="65" t="s">
        <v>684</v>
      </c>
      <c r="C26" s="1" t="s">
        <v>536</v>
      </c>
      <c r="D26" s="1" t="s">
        <v>107</v>
      </c>
      <c r="E26" s="57">
        <v>50</v>
      </c>
      <c r="F26" s="58">
        <v>494.11399999999998</v>
      </c>
      <c r="G26" s="14">
        <f t="shared" si="1"/>
        <v>5.6399999999999999E-2</v>
      </c>
      <c r="H26" s="60">
        <v>44104</v>
      </c>
      <c r="I26" s="64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685</v>
      </c>
      <c r="C27" s="1" t="s">
        <v>643</v>
      </c>
      <c r="D27" s="1" t="s">
        <v>107</v>
      </c>
      <c r="E27" s="57">
        <v>50</v>
      </c>
      <c r="F27" s="58">
        <v>491.30700000000002</v>
      </c>
      <c r="G27" s="14">
        <f t="shared" si="1"/>
        <v>5.6099999999999997E-2</v>
      </c>
      <c r="H27" s="60">
        <v>44090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1" t="s">
        <v>655</v>
      </c>
      <c r="C28" s="1" t="s">
        <v>489</v>
      </c>
      <c r="D28" s="1" t="s">
        <v>107</v>
      </c>
      <c r="E28" s="57">
        <v>32</v>
      </c>
      <c r="F28" s="58">
        <v>407.69880000000001</v>
      </c>
      <c r="G28" s="14">
        <f t="shared" si="1"/>
        <v>4.65E-2</v>
      </c>
      <c r="H28" s="60">
        <v>43757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1" t="s">
        <v>731</v>
      </c>
      <c r="C29" s="1" t="s">
        <v>686</v>
      </c>
      <c r="D29" s="1" t="s">
        <v>687</v>
      </c>
      <c r="E29" s="57">
        <v>40</v>
      </c>
      <c r="F29" s="58">
        <v>403.05880000000002</v>
      </c>
      <c r="G29" s="14">
        <f t="shared" si="1"/>
        <v>4.5999999999999999E-2</v>
      </c>
      <c r="H29" s="60">
        <v>45097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65" t="s">
        <v>619</v>
      </c>
      <c r="C30" s="1" t="s">
        <v>511</v>
      </c>
      <c r="D30" s="1" t="s">
        <v>349</v>
      </c>
      <c r="E30" s="57">
        <v>30000</v>
      </c>
      <c r="F30" s="58">
        <v>301.9203</v>
      </c>
      <c r="G30" s="14">
        <f t="shared" si="1"/>
        <v>3.4500000000000003E-2</v>
      </c>
      <c r="H30" s="60">
        <v>43717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65" t="s">
        <v>491</v>
      </c>
      <c r="C31" s="1" t="s">
        <v>492</v>
      </c>
      <c r="D31" s="1" t="s">
        <v>107</v>
      </c>
      <c r="E31" s="57">
        <v>30</v>
      </c>
      <c r="F31" s="58">
        <v>299.46030000000002</v>
      </c>
      <c r="G31" s="14">
        <f t="shared" si="1"/>
        <v>3.4200000000000001E-2</v>
      </c>
      <c r="H31" s="60">
        <v>44091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627</v>
      </c>
      <c r="C32" s="1" t="s">
        <v>604</v>
      </c>
      <c r="D32" s="1" t="s">
        <v>285</v>
      </c>
      <c r="E32" s="57">
        <v>20</v>
      </c>
      <c r="F32" s="58">
        <v>199.7586</v>
      </c>
      <c r="G32" s="14">
        <f t="shared" si="1"/>
        <v>2.2800000000000001E-2</v>
      </c>
      <c r="H32" s="60">
        <v>43643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1" t="s">
        <v>656</v>
      </c>
      <c r="C33" s="1" t="s">
        <v>563</v>
      </c>
      <c r="D33" s="1" t="s">
        <v>107</v>
      </c>
      <c r="E33" s="57">
        <v>10</v>
      </c>
      <c r="F33" s="58">
        <v>105.2556</v>
      </c>
      <c r="G33" s="14">
        <f t="shared" si="1"/>
        <v>1.2E-2</v>
      </c>
      <c r="H33" s="60">
        <v>44418</v>
      </c>
      <c r="I33" s="64"/>
      <c r="N33" s="61"/>
      <c r="P33" s="59"/>
    </row>
    <row r="34" spans="1:16" s="1" customFormat="1" ht="12.75" customHeight="1" x14ac:dyDescent="0.2">
      <c r="A34">
        <f>+MAX($A$8:A33)+1</f>
        <v>19</v>
      </c>
      <c r="B34" s="1" t="s">
        <v>657</v>
      </c>
      <c r="C34" s="1" t="s">
        <v>582</v>
      </c>
      <c r="D34" s="1" t="s">
        <v>107</v>
      </c>
      <c r="E34" s="57">
        <v>10</v>
      </c>
      <c r="F34" s="58">
        <v>101.09650000000001</v>
      </c>
      <c r="G34" s="14">
        <f t="shared" si="1"/>
        <v>1.15E-2</v>
      </c>
      <c r="H34" s="60">
        <v>43480</v>
      </c>
      <c r="I34" s="64"/>
      <c r="N34" s="61"/>
      <c r="P34" s="59"/>
    </row>
    <row r="35" spans="1:16" s="1" customFormat="1" ht="12.75" customHeight="1" x14ac:dyDescent="0.2">
      <c r="A35">
        <f>+MAX($A$8:A34)+1</f>
        <v>20</v>
      </c>
      <c r="B35" s="1" t="s">
        <v>652</v>
      </c>
      <c r="C35" s="1" t="s">
        <v>339</v>
      </c>
      <c r="D35" s="1" t="s">
        <v>510</v>
      </c>
      <c r="E35" s="57">
        <v>10</v>
      </c>
      <c r="F35" s="58">
        <v>100.52200000000001</v>
      </c>
      <c r="G35" s="14">
        <f t="shared" ref="G35:G36" si="2">+ROUND(F35/VLOOKUP("Grand Total",$B$4:$F$298,5,0),4)</f>
        <v>1.15E-2</v>
      </c>
      <c r="H35" s="60">
        <v>43309</v>
      </c>
      <c r="I35" s="64"/>
      <c r="N35" s="61"/>
      <c r="P35" s="59"/>
    </row>
    <row r="36" spans="1:16" s="1" customFormat="1" ht="12.75" customHeight="1" x14ac:dyDescent="0.2">
      <c r="A36">
        <f>+MAX($A$8:A35)+1</f>
        <v>21</v>
      </c>
      <c r="B36" s="1" t="s">
        <v>625</v>
      </c>
      <c r="C36" s="1" t="s">
        <v>168</v>
      </c>
      <c r="D36" s="1" t="s">
        <v>167</v>
      </c>
      <c r="E36" s="57">
        <v>10</v>
      </c>
      <c r="F36" s="58">
        <v>100.2664</v>
      </c>
      <c r="G36" s="14">
        <f t="shared" si="2"/>
        <v>1.14E-2</v>
      </c>
      <c r="H36" s="60">
        <v>43259</v>
      </c>
      <c r="I36" s="64"/>
      <c r="N36" s="61"/>
      <c r="P36" s="59"/>
    </row>
    <row r="37" spans="1:16" ht="12.75" customHeight="1" x14ac:dyDescent="0.2">
      <c r="B37" s="18" t="s">
        <v>84</v>
      </c>
      <c r="C37" s="18"/>
      <c r="D37" s="18"/>
      <c r="E37" s="29"/>
      <c r="F37" s="19">
        <f>SUM(F21:F36)</f>
        <v>5995.0071699999999</v>
      </c>
      <c r="G37" s="20">
        <f>SUM(G21:G36)</f>
        <v>0.68430000000000002</v>
      </c>
      <c r="H37" s="21"/>
      <c r="I37" s="35"/>
    </row>
    <row r="38" spans="1:16" s="46" customFormat="1" ht="12.75" customHeight="1" x14ac:dyDescent="0.2">
      <c r="B38" s="67"/>
      <c r="C38" s="67"/>
      <c r="D38" s="67"/>
      <c r="E38" s="68"/>
      <c r="F38" s="69"/>
      <c r="G38" s="70"/>
      <c r="H38" s="71"/>
      <c r="I38" s="71"/>
      <c r="K38" s="48"/>
    </row>
    <row r="39" spans="1:16" ht="12.75" customHeight="1" x14ac:dyDescent="0.2">
      <c r="B39" s="16" t="s">
        <v>729</v>
      </c>
      <c r="C39" s="16"/>
      <c r="F39" s="13"/>
      <c r="G39" s="14"/>
      <c r="H39" s="15"/>
      <c r="J39" s="17"/>
      <c r="K39" s="37"/>
    </row>
    <row r="40" spans="1:16" ht="12.75" customHeight="1" x14ac:dyDescent="0.2">
      <c r="A40">
        <f>+MAX($A$8:A39)+1</f>
        <v>22</v>
      </c>
      <c r="B40" s="65" t="s">
        <v>681</v>
      </c>
      <c r="C40" t="s">
        <v>514</v>
      </c>
      <c r="D40" t="s">
        <v>352</v>
      </c>
      <c r="E40" s="28">
        <v>50</v>
      </c>
      <c r="F40" s="13">
        <v>528.48350000000005</v>
      </c>
      <c r="G40" s="14">
        <f>+ROUND(F40/VLOOKUP("Grand Total",$B$4:$F$305,5,0),4)</f>
        <v>6.0299999999999999E-2</v>
      </c>
      <c r="H40" s="15">
        <v>43321</v>
      </c>
      <c r="I40" s="64"/>
      <c r="J40" s="14"/>
      <c r="K40" s="48"/>
    </row>
    <row r="41" spans="1:16" ht="12.75" customHeight="1" x14ac:dyDescent="0.2">
      <c r="B41" s="18" t="s">
        <v>84</v>
      </c>
      <c r="C41" s="18"/>
      <c r="D41" s="18"/>
      <c r="E41" s="29"/>
      <c r="F41" s="19">
        <f>SUM(F40:F40)</f>
        <v>528.48350000000005</v>
      </c>
      <c r="G41" s="20">
        <f>SUM(G40:G40)</f>
        <v>6.0299999999999999E-2</v>
      </c>
      <c r="H41" s="21"/>
      <c r="K41" s="48"/>
      <c r="M41" s="14"/>
      <c r="N41" s="36"/>
      <c r="P41" s="14"/>
    </row>
    <row r="42" spans="1:16" s="46" customFormat="1" ht="12.75" customHeight="1" x14ac:dyDescent="0.2">
      <c r="B42" s="67"/>
      <c r="C42" s="67"/>
      <c r="D42" s="67"/>
      <c r="E42" s="68"/>
      <c r="F42" s="69"/>
      <c r="G42" s="70"/>
      <c r="H42" s="71"/>
      <c r="I42" s="71"/>
      <c r="K42" s="48"/>
    </row>
    <row r="43" spans="1:16" ht="12.75" customHeight="1" x14ac:dyDescent="0.2">
      <c r="A43" s="95" t="s">
        <v>356</v>
      </c>
      <c r="B43" s="16" t="s">
        <v>92</v>
      </c>
      <c r="C43" s="16"/>
      <c r="F43" s="13">
        <v>421.71070459999999</v>
      </c>
      <c r="G43" s="14">
        <f>+ROUND(F43/VLOOKUP("Grand Total",$B$4:$F$305,5,0),4)</f>
        <v>4.8099999999999997E-2</v>
      </c>
      <c r="H43" s="15">
        <v>43193</v>
      </c>
    </row>
    <row r="44" spans="1:16" ht="12.75" customHeight="1" x14ac:dyDescent="0.2">
      <c r="B44" s="18" t="s">
        <v>84</v>
      </c>
      <c r="C44" s="18"/>
      <c r="D44" s="18"/>
      <c r="E44" s="29"/>
      <c r="F44" s="19">
        <f>SUM(F43)</f>
        <v>421.71070459999999</v>
      </c>
      <c r="G44" s="20">
        <f>SUM(G43)</f>
        <v>4.8099999999999997E-2</v>
      </c>
      <c r="H44" s="21"/>
    </row>
    <row r="45" spans="1:16" ht="12.75" customHeight="1" x14ac:dyDescent="0.2">
      <c r="F45" s="13"/>
      <c r="G45" s="14"/>
      <c r="H45" s="15"/>
      <c r="I45" s="35"/>
    </row>
    <row r="46" spans="1:16" ht="12.75" customHeight="1" x14ac:dyDescent="0.2">
      <c r="B46" s="16" t="s">
        <v>93</v>
      </c>
      <c r="C46" s="16"/>
      <c r="F46" s="13"/>
      <c r="G46" s="14"/>
      <c r="H46" s="15"/>
    </row>
    <row r="47" spans="1:16" ht="12.75" customHeight="1" x14ac:dyDescent="0.2">
      <c r="B47" s="16" t="s">
        <v>94</v>
      </c>
      <c r="C47" s="16"/>
      <c r="F47" s="13">
        <v>248.80257620000157</v>
      </c>
      <c r="G47" s="14">
        <f>+ROUND(F47/VLOOKUP("Grand Total",$B$4:$F$305,5,0),4)+0.03%</f>
        <v>2.8700000000000003E-2</v>
      </c>
      <c r="H47" s="15"/>
    </row>
    <row r="48" spans="1:16" ht="12.75" customHeight="1" x14ac:dyDescent="0.2">
      <c r="B48" s="18" t="s">
        <v>84</v>
      </c>
      <c r="C48" s="18"/>
      <c r="D48" s="18"/>
      <c r="E48" s="29"/>
      <c r="F48" s="19">
        <f>SUM(F47)</f>
        <v>248.80257620000157</v>
      </c>
      <c r="G48" s="20">
        <f>SUM(G47)</f>
        <v>2.8700000000000003E-2</v>
      </c>
      <c r="H48" s="21"/>
      <c r="I48" s="35"/>
    </row>
    <row r="49" spans="2:9" ht="12.75" customHeight="1" x14ac:dyDescent="0.2">
      <c r="B49" s="22" t="s">
        <v>95</v>
      </c>
      <c r="C49" s="22"/>
      <c r="D49" s="22"/>
      <c r="E49" s="30"/>
      <c r="F49" s="23">
        <f>+SUMIF($B$5:B48,"Total",$F$5:F48)</f>
        <v>8758.5648908000021</v>
      </c>
      <c r="G49" s="24">
        <f>+SUMIF($B$5:B48,"Total",$G$5:G48)</f>
        <v>1</v>
      </c>
      <c r="H49" s="25"/>
    </row>
    <row r="50" spans="2:9" ht="12.75" customHeight="1" x14ac:dyDescent="0.2"/>
    <row r="51" spans="2:9" ht="12.75" customHeight="1" x14ac:dyDescent="0.2">
      <c r="B51" s="16" t="s">
        <v>592</v>
      </c>
      <c r="C51" s="16"/>
    </row>
    <row r="52" spans="2:9" ht="12.75" customHeight="1" x14ac:dyDescent="0.2">
      <c r="B52" s="16" t="s">
        <v>182</v>
      </c>
      <c r="C52" s="16"/>
      <c r="I52" s="35"/>
    </row>
    <row r="53" spans="2:9" ht="12.75" customHeight="1" x14ac:dyDescent="0.2">
      <c r="B53" s="16" t="s">
        <v>736</v>
      </c>
      <c r="C53" s="16"/>
      <c r="I53" s="35"/>
    </row>
    <row r="54" spans="2:9" ht="12.75" customHeight="1" x14ac:dyDescent="0.2">
      <c r="B54" s="16"/>
      <c r="C54" s="16"/>
    </row>
    <row r="55" spans="2:9" ht="12.75" customHeight="1" x14ac:dyDescent="0.2">
      <c r="B55" s="16"/>
      <c r="C55" s="16"/>
    </row>
    <row r="56" spans="2:9" ht="12.75" customHeight="1" x14ac:dyDescent="0.2"/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sheetProtection password="EDB3" sheet="1" objects="1" scenarios="1"/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7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368</v>
      </c>
      <c r="B1" s="126" t="s">
        <v>186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90</v>
      </c>
      <c r="F7" s="13"/>
      <c r="G7" s="14"/>
      <c r="H7" s="15"/>
    </row>
    <row r="8" spans="1:16" ht="12.75" customHeight="1" x14ac:dyDescent="0.2">
      <c r="B8" s="16" t="s">
        <v>728</v>
      </c>
      <c r="C8" s="16"/>
      <c r="F8" s="13"/>
      <c r="G8" s="14"/>
      <c r="H8" s="15"/>
      <c r="I8" s="64"/>
      <c r="L8" s="54"/>
      <c r="M8" s="14"/>
      <c r="N8" s="36"/>
      <c r="P8" s="14"/>
    </row>
    <row r="9" spans="1:16" ht="12.75" customHeight="1" x14ac:dyDescent="0.2">
      <c r="A9">
        <f>+MAX($A8:A$8)+1</f>
        <v>1</v>
      </c>
      <c r="B9" s="1" t="s">
        <v>696</v>
      </c>
      <c r="C9" t="s">
        <v>697</v>
      </c>
      <c r="D9" t="s">
        <v>317</v>
      </c>
      <c r="E9" s="28">
        <v>500</v>
      </c>
      <c r="F9" s="13">
        <v>492.95100000000002</v>
      </c>
      <c r="G9" s="14">
        <f>+ROUND(F9/VLOOKUP("Grand Total",$B$4:$F$300,5,0),4)</f>
        <v>4.6100000000000002E-2</v>
      </c>
      <c r="H9" s="15">
        <v>43273</v>
      </c>
      <c r="I9" s="64"/>
      <c r="J9" s="17" t="s">
        <v>632</v>
      </c>
      <c r="K9" s="37" t="s">
        <v>12</v>
      </c>
    </row>
    <row r="10" spans="1:16" ht="12.75" customHeight="1" x14ac:dyDescent="0.2">
      <c r="B10" s="18" t="s">
        <v>84</v>
      </c>
      <c r="C10" s="18"/>
      <c r="D10" s="18"/>
      <c r="E10" s="29"/>
      <c r="F10" s="19">
        <f>SUM(F9:F9)</f>
        <v>492.95100000000002</v>
      </c>
      <c r="G10" s="20">
        <f>SUM(G9:G9)</f>
        <v>4.6100000000000002E-2</v>
      </c>
      <c r="H10" s="21"/>
      <c r="I10" s="64"/>
      <c r="J10" s="14" t="s">
        <v>389</v>
      </c>
      <c r="K10" s="48">
        <f>SUMIFS($G$5:$G$337,$D$5:$D$337,J10)</f>
        <v>0.49690000000000006</v>
      </c>
    </row>
    <row r="11" spans="1:16" ht="12.75" customHeight="1" x14ac:dyDescent="0.2">
      <c r="F11" s="13"/>
      <c r="G11" s="14"/>
      <c r="H11" s="15"/>
      <c r="J11" s="90" t="s">
        <v>107</v>
      </c>
      <c r="K11" s="48">
        <f t="shared" ref="K11:K17" si="0">SUMIFS($G$5:$G$337,$D$5:$D$337,J11)</f>
        <v>0.23399999999999999</v>
      </c>
    </row>
    <row r="12" spans="1:16" ht="12.75" customHeight="1" x14ac:dyDescent="0.2">
      <c r="B12" s="16" t="s">
        <v>299</v>
      </c>
      <c r="C12" s="16"/>
      <c r="F12" s="13"/>
      <c r="G12" s="14"/>
      <c r="H12" s="15"/>
      <c r="I12" s="64"/>
      <c r="J12" t="s">
        <v>349</v>
      </c>
      <c r="K12" s="48">
        <f t="shared" si="0"/>
        <v>6.5700000000000008E-2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284</v>
      </c>
      <c r="C13" t="s">
        <v>532</v>
      </c>
      <c r="D13" t="s">
        <v>542</v>
      </c>
      <c r="E13" s="28">
        <v>100</v>
      </c>
      <c r="F13" s="13">
        <v>482.553</v>
      </c>
      <c r="G13" s="14">
        <f>+ROUND(F13/VLOOKUP("Grand Total",$B$4:$F$300,5,0),4)</f>
        <v>4.5100000000000001E-2</v>
      </c>
      <c r="H13" s="15">
        <v>43350</v>
      </c>
      <c r="I13" s="64"/>
      <c r="J13" s="81" t="s">
        <v>171</v>
      </c>
      <c r="K13" s="48">
        <f t="shared" si="0"/>
        <v>4.6100000000000002E-2</v>
      </c>
    </row>
    <row r="14" spans="1:16" ht="12.75" customHeight="1" x14ac:dyDescent="0.2">
      <c r="B14" s="18" t="s">
        <v>84</v>
      </c>
      <c r="C14" s="18"/>
      <c r="D14" s="18"/>
      <c r="E14" s="29"/>
      <c r="F14" s="19">
        <f>SUM(F13:F13)</f>
        <v>482.553</v>
      </c>
      <c r="G14" s="20">
        <f>SUM(G13:G13)</f>
        <v>4.5100000000000001E-2</v>
      </c>
      <c r="H14" s="21"/>
      <c r="I14" s="64"/>
      <c r="J14" s="14" t="s">
        <v>317</v>
      </c>
      <c r="K14" s="48">
        <f t="shared" si="0"/>
        <v>4.6100000000000002E-2</v>
      </c>
    </row>
    <row r="15" spans="1:16" ht="12.75" customHeight="1" x14ac:dyDescent="0.2">
      <c r="F15" s="13"/>
      <c r="G15" s="14"/>
      <c r="H15" s="15"/>
      <c r="J15" s="90" t="s">
        <v>542</v>
      </c>
      <c r="K15" s="48">
        <f t="shared" si="0"/>
        <v>4.5100000000000001E-2</v>
      </c>
    </row>
    <row r="16" spans="1:16" ht="12.75" customHeight="1" x14ac:dyDescent="0.2">
      <c r="B16" s="16" t="s">
        <v>166</v>
      </c>
      <c r="C16" s="16"/>
      <c r="F16" s="13"/>
      <c r="G16" s="14"/>
      <c r="H16" s="15"/>
      <c r="I16" s="64"/>
      <c r="J16" t="s">
        <v>591</v>
      </c>
      <c r="K16" s="48">
        <f t="shared" si="0"/>
        <v>1.8700000000000001E-2</v>
      </c>
      <c r="L16" s="54"/>
      <c r="M16" s="14"/>
      <c r="N16" s="36"/>
      <c r="P16" s="14"/>
    </row>
    <row r="17" spans="1:16" ht="12.75" customHeight="1" x14ac:dyDescent="0.2">
      <c r="A17">
        <f>+MAX($A$8:A16)+1</f>
        <v>3</v>
      </c>
      <c r="B17" s="1" t="s">
        <v>567</v>
      </c>
      <c r="C17" t="s">
        <v>568</v>
      </c>
      <c r="D17" t="s">
        <v>389</v>
      </c>
      <c r="E17" s="28">
        <v>1350000</v>
      </c>
      <c r="F17" s="13">
        <v>1363.5054</v>
      </c>
      <c r="G17" s="14">
        <f t="shared" ref="G17:G22" si="1">+ROUND(F17/VLOOKUP("Grand Total",$B$4:$F$300,5,0),4)</f>
        <v>0.1275</v>
      </c>
      <c r="H17" s="15">
        <v>45802</v>
      </c>
      <c r="I17" s="64"/>
      <c r="J17" t="s">
        <v>167</v>
      </c>
      <c r="K17" s="48">
        <f t="shared" si="0"/>
        <v>8.3999999999999995E-3</v>
      </c>
    </row>
    <row r="18" spans="1:16" ht="12.75" customHeight="1" x14ac:dyDescent="0.2">
      <c r="A18">
        <f>+MAX($A$8:A17)+1</f>
        <v>4</v>
      </c>
      <c r="B18" s="1" t="s">
        <v>564</v>
      </c>
      <c r="C18" t="s">
        <v>565</v>
      </c>
      <c r="D18" t="s">
        <v>389</v>
      </c>
      <c r="E18" s="28">
        <v>900000</v>
      </c>
      <c r="F18" s="13">
        <v>894.60360000000003</v>
      </c>
      <c r="G18" s="14">
        <f t="shared" si="1"/>
        <v>8.3599999999999994E-2</v>
      </c>
      <c r="H18" s="15">
        <v>47197</v>
      </c>
      <c r="I18" s="64"/>
      <c r="J18" s="14" t="s">
        <v>63</v>
      </c>
      <c r="K18" s="48">
        <f>+SUMIFS($G$5:$G$997,$B$5:$B$997,"CBLO / Reverse Repo Investments")+SUMIFS($G$5:$G$997,$B$5:$B$997,"Net Receivable/Payable")</f>
        <v>3.9000000000000007E-2</v>
      </c>
    </row>
    <row r="19" spans="1:16" ht="12.75" customHeight="1" x14ac:dyDescent="0.2">
      <c r="A19">
        <f>+MAX($A$8:A18)+1</f>
        <v>5</v>
      </c>
      <c r="B19" s="1" t="s">
        <v>559</v>
      </c>
      <c r="C19" t="s">
        <v>560</v>
      </c>
      <c r="D19" t="s">
        <v>389</v>
      </c>
      <c r="E19" s="28">
        <v>900000</v>
      </c>
      <c r="F19" s="13">
        <v>855.24749999999995</v>
      </c>
      <c r="G19" s="14">
        <f t="shared" si="1"/>
        <v>0.08</v>
      </c>
      <c r="H19" s="15">
        <v>46522</v>
      </c>
      <c r="I19" s="64"/>
      <c r="K19" s="48"/>
    </row>
    <row r="20" spans="1:16" ht="12.75" customHeight="1" x14ac:dyDescent="0.2">
      <c r="A20">
        <f>+MAX($A$8:A19)+1</f>
        <v>6</v>
      </c>
      <c r="B20" s="1" t="s">
        <v>462</v>
      </c>
      <c r="C20" t="s">
        <v>463</v>
      </c>
      <c r="D20" t="s">
        <v>389</v>
      </c>
      <c r="E20" s="28">
        <v>700000</v>
      </c>
      <c r="F20" s="13">
        <v>710.5077</v>
      </c>
      <c r="G20" s="14">
        <f t="shared" si="1"/>
        <v>6.6400000000000001E-2</v>
      </c>
      <c r="H20" s="15">
        <v>45275</v>
      </c>
      <c r="I20" s="64"/>
      <c r="J20" s="14"/>
      <c r="K20" s="48"/>
    </row>
    <row r="21" spans="1:16" ht="12.75" customHeight="1" x14ac:dyDescent="0.2">
      <c r="A21">
        <f>+MAX($A$8:A20)+1</f>
        <v>7</v>
      </c>
      <c r="B21" s="1" t="s">
        <v>688</v>
      </c>
      <c r="C21" t="s">
        <v>689</v>
      </c>
      <c r="D21" t="s">
        <v>389</v>
      </c>
      <c r="E21" s="28">
        <v>350000</v>
      </c>
      <c r="F21" s="13">
        <v>348.21359999999999</v>
      </c>
      <c r="G21" s="14">
        <f t="shared" si="1"/>
        <v>3.2599999999999997E-2</v>
      </c>
      <c r="H21" s="15">
        <v>45465</v>
      </c>
      <c r="I21" s="64"/>
      <c r="K21" s="48"/>
    </row>
    <row r="22" spans="1:16" ht="12.75" customHeight="1" x14ac:dyDescent="0.2">
      <c r="A22">
        <f>+MAX($A$8:A21)+1</f>
        <v>8</v>
      </c>
      <c r="B22" s="1" t="s">
        <v>564</v>
      </c>
      <c r="C22" t="s">
        <v>605</v>
      </c>
      <c r="D22" t="s">
        <v>389</v>
      </c>
      <c r="E22" s="28">
        <v>100000</v>
      </c>
      <c r="F22" s="13">
        <v>99.700100000000006</v>
      </c>
      <c r="G22" s="14">
        <f t="shared" si="1"/>
        <v>9.2999999999999992E-3</v>
      </c>
      <c r="H22" s="15">
        <v>46033</v>
      </c>
      <c r="I22" s="64"/>
      <c r="J22" s="14"/>
      <c r="K22" s="48"/>
    </row>
    <row r="23" spans="1:16" ht="12.75" customHeight="1" x14ac:dyDescent="0.2">
      <c r="B23" s="18" t="s">
        <v>84</v>
      </c>
      <c r="C23" s="18"/>
      <c r="D23" s="18"/>
      <c r="E23" s="29"/>
      <c r="F23" s="19">
        <f>SUM(F17:F22)</f>
        <v>4271.7779</v>
      </c>
      <c r="G23" s="20">
        <f>SUM(G17:G22)</f>
        <v>0.39940000000000003</v>
      </c>
      <c r="H23" s="21"/>
      <c r="I23" s="64"/>
      <c r="J23" s="14"/>
      <c r="K23" s="48"/>
    </row>
    <row r="24" spans="1:16" ht="12.75" customHeight="1" x14ac:dyDescent="0.2">
      <c r="F24" s="13"/>
      <c r="G24" s="14"/>
      <c r="H24" s="15"/>
      <c r="I24" s="64"/>
    </row>
    <row r="25" spans="1:16" ht="12.75" customHeight="1" x14ac:dyDescent="0.2">
      <c r="B25" s="16" t="s">
        <v>423</v>
      </c>
      <c r="C25" s="16"/>
      <c r="F25" s="13"/>
      <c r="G25" s="14"/>
      <c r="H25" s="15"/>
      <c r="I25" s="64"/>
      <c r="K25" s="48"/>
      <c r="L25" s="54"/>
      <c r="M25" s="14"/>
      <c r="N25" s="36"/>
      <c r="P25" s="14"/>
    </row>
    <row r="26" spans="1:16" ht="12.75" customHeight="1" x14ac:dyDescent="0.2">
      <c r="A26">
        <f>+MAX($A$8:A25)+1</f>
        <v>9</v>
      </c>
      <c r="B26" s="1" t="s">
        <v>690</v>
      </c>
      <c r="C26" t="s">
        <v>691</v>
      </c>
      <c r="D26" t="s">
        <v>389</v>
      </c>
      <c r="E26" s="28">
        <v>500000</v>
      </c>
      <c r="F26" s="13">
        <v>522.43600000000004</v>
      </c>
      <c r="G26" s="14">
        <f>+ROUND(F26/VLOOKUP("Grand Total",$B$4:$F$300,5,0),4)</f>
        <v>4.8800000000000003E-2</v>
      </c>
      <c r="H26" s="15">
        <v>44886</v>
      </c>
      <c r="I26" s="64"/>
      <c r="K26" s="48"/>
    </row>
    <row r="27" spans="1:16" ht="12.75" customHeight="1" x14ac:dyDescent="0.2">
      <c r="A27">
        <f>+MAX($A$8:A26)+1</f>
        <v>10</v>
      </c>
      <c r="B27" s="1" t="s">
        <v>692</v>
      </c>
      <c r="C27" t="s">
        <v>693</v>
      </c>
      <c r="D27" t="s">
        <v>389</v>
      </c>
      <c r="E27" s="28">
        <v>500000</v>
      </c>
      <c r="F27" s="13">
        <v>521.32500000000005</v>
      </c>
      <c r="G27" s="14">
        <f>+ROUND(F27/VLOOKUP("Grand Total",$B$4:$F$300,5,0),4)</f>
        <v>4.87E-2</v>
      </c>
      <c r="H27" s="15">
        <v>44837</v>
      </c>
      <c r="I27" s="64"/>
      <c r="K27" s="48"/>
    </row>
    <row r="28" spans="1:16" ht="12.75" customHeight="1" x14ac:dyDescent="0.2">
      <c r="B28" s="18" t="s">
        <v>84</v>
      </c>
      <c r="C28" s="18"/>
      <c r="D28" s="18"/>
      <c r="E28" s="29"/>
      <c r="F28" s="19">
        <f>SUM(F26:F27)</f>
        <v>1043.761</v>
      </c>
      <c r="G28" s="20">
        <f>SUM(G26:G27)</f>
        <v>9.7500000000000003E-2</v>
      </c>
      <c r="H28" s="21"/>
      <c r="I28" s="64"/>
      <c r="J28" s="14"/>
      <c r="K28" s="48"/>
    </row>
    <row r="29" spans="1:16" ht="12.75" customHeight="1" x14ac:dyDescent="0.2">
      <c r="F29" s="13"/>
      <c r="G29" s="14"/>
      <c r="H29" s="15"/>
      <c r="I29" s="64"/>
    </row>
    <row r="30" spans="1:16" ht="12.75" customHeight="1" x14ac:dyDescent="0.2">
      <c r="B30" s="16" t="s">
        <v>123</v>
      </c>
      <c r="C30" s="16"/>
      <c r="F30" s="13"/>
      <c r="G30" s="14"/>
      <c r="H30" s="15"/>
      <c r="I30" s="64"/>
      <c r="J30" s="14"/>
      <c r="K30" s="48"/>
    </row>
    <row r="31" spans="1:16" ht="12.75" customHeight="1" x14ac:dyDescent="0.2">
      <c r="B31" s="31" t="s">
        <v>392</v>
      </c>
      <c r="C31" s="16"/>
      <c r="F31" s="13"/>
      <c r="G31" s="14"/>
      <c r="H31" s="15"/>
      <c r="I31" s="64"/>
      <c r="J31" s="14"/>
    </row>
    <row r="32" spans="1:16" ht="12.75" customHeight="1" x14ac:dyDescent="0.2">
      <c r="A32">
        <f>+MAX($A$8:A31)+1</f>
        <v>11</v>
      </c>
      <c r="B32" s="65" t="s">
        <v>617</v>
      </c>
      <c r="C32" t="s">
        <v>424</v>
      </c>
      <c r="D32" t="s">
        <v>107</v>
      </c>
      <c r="E32" s="28">
        <v>50</v>
      </c>
      <c r="F32" s="13">
        <v>520.98850000000004</v>
      </c>
      <c r="G32" s="14">
        <f>+ROUND(F32/VLOOKUP("Grand Total",$B$4:$F$300,5,0),4)</f>
        <v>4.87E-2</v>
      </c>
      <c r="H32" s="15">
        <v>44852</v>
      </c>
      <c r="I32" s="64"/>
    </row>
    <row r="33" spans="1:10" ht="12.75" customHeight="1" x14ac:dyDescent="0.2">
      <c r="A33">
        <f>+MAX($A$8:A32)+1</f>
        <v>12</v>
      </c>
      <c r="B33" s="65" t="s">
        <v>618</v>
      </c>
      <c r="C33" t="s">
        <v>566</v>
      </c>
      <c r="D33" t="s">
        <v>107</v>
      </c>
      <c r="E33" s="28">
        <v>50</v>
      </c>
      <c r="F33" s="13">
        <v>513.33749999999998</v>
      </c>
      <c r="G33" s="14">
        <f>+ROUND(F33/VLOOKUP("Grand Total",$B$4:$F$300,5,0),4)</f>
        <v>4.8000000000000001E-2</v>
      </c>
      <c r="H33" s="15">
        <v>45042</v>
      </c>
      <c r="I33" s="64"/>
    </row>
    <row r="34" spans="1:10" ht="12.75" customHeight="1" x14ac:dyDescent="0.2">
      <c r="A34">
        <f>+MAX($A$8:A33)+1</f>
        <v>13</v>
      </c>
      <c r="B34" s="65" t="s">
        <v>619</v>
      </c>
      <c r="C34" s="65" t="s">
        <v>422</v>
      </c>
      <c r="D34" t="s">
        <v>349</v>
      </c>
      <c r="E34" s="28">
        <v>50000</v>
      </c>
      <c r="F34" s="13">
        <v>503.00850000000003</v>
      </c>
      <c r="G34" s="14">
        <f t="shared" ref="G34:G41" si="2">+ROUND(F34/VLOOKUP("Grand Total",$B$4:$F$303,5,0),4)</f>
        <v>4.7E-2</v>
      </c>
      <c r="H34" s="15">
        <v>43693</v>
      </c>
      <c r="I34" s="64"/>
    </row>
    <row r="35" spans="1:10" ht="12.75" customHeight="1" x14ac:dyDescent="0.2">
      <c r="A35">
        <f>+MAX($A$8:A34)+1</f>
        <v>14</v>
      </c>
      <c r="B35" s="65" t="s">
        <v>620</v>
      </c>
      <c r="C35" s="65" t="s">
        <v>546</v>
      </c>
      <c r="D35" t="s">
        <v>107</v>
      </c>
      <c r="E35" s="28">
        <v>5</v>
      </c>
      <c r="F35" s="13">
        <v>496.75200000000001</v>
      </c>
      <c r="G35" s="14">
        <f t="shared" si="2"/>
        <v>4.6399999999999997E-2</v>
      </c>
      <c r="H35" s="15">
        <v>43787</v>
      </c>
      <c r="I35" s="64"/>
    </row>
    <row r="36" spans="1:10" ht="12.75" customHeight="1" x14ac:dyDescent="0.2">
      <c r="A36">
        <f>+MAX($A$8:A35)+1</f>
        <v>15</v>
      </c>
      <c r="B36" s="65" t="s">
        <v>621</v>
      </c>
      <c r="C36" s="65" t="s">
        <v>515</v>
      </c>
      <c r="D36" t="s">
        <v>171</v>
      </c>
      <c r="E36" s="28">
        <v>50</v>
      </c>
      <c r="F36" s="13">
        <v>492.649</v>
      </c>
      <c r="G36" s="14">
        <f t="shared" si="2"/>
        <v>4.6100000000000002E-2</v>
      </c>
      <c r="H36" s="15">
        <v>44376</v>
      </c>
      <c r="I36" s="64"/>
    </row>
    <row r="37" spans="1:10" ht="12.75" customHeight="1" x14ac:dyDescent="0.2">
      <c r="A37">
        <f>+MAX($A$8:A36)+1</f>
        <v>16</v>
      </c>
      <c r="B37" s="65" t="s">
        <v>732</v>
      </c>
      <c r="C37" s="65" t="s">
        <v>694</v>
      </c>
      <c r="D37" t="s">
        <v>107</v>
      </c>
      <c r="E37" s="28">
        <v>50</v>
      </c>
      <c r="F37" s="13">
        <v>486.11149999999998</v>
      </c>
      <c r="G37" s="14">
        <f t="shared" si="2"/>
        <v>4.5499999999999999E-2</v>
      </c>
      <c r="H37" s="15">
        <v>46525</v>
      </c>
      <c r="I37" s="64"/>
    </row>
    <row r="38" spans="1:10" ht="12.75" customHeight="1" x14ac:dyDescent="0.2">
      <c r="A38">
        <f>+MAX($A$8:A37)+1</f>
        <v>17</v>
      </c>
      <c r="B38" s="65" t="s">
        <v>695</v>
      </c>
      <c r="C38" s="65" t="s">
        <v>537</v>
      </c>
      <c r="D38" t="s">
        <v>107</v>
      </c>
      <c r="E38" s="28">
        <v>50</v>
      </c>
      <c r="F38" s="13">
        <v>486.02499999999998</v>
      </c>
      <c r="G38" s="14">
        <f t="shared" si="2"/>
        <v>4.5400000000000003E-2</v>
      </c>
      <c r="H38" s="15">
        <v>44804</v>
      </c>
      <c r="I38" s="64"/>
    </row>
    <row r="39" spans="1:10" ht="12.75" customHeight="1" x14ac:dyDescent="0.2">
      <c r="A39">
        <f>+MAX($A$8:A38)+1</f>
        <v>18</v>
      </c>
      <c r="B39" s="65" t="s">
        <v>623</v>
      </c>
      <c r="C39" s="65" t="s">
        <v>406</v>
      </c>
      <c r="D39" t="s">
        <v>349</v>
      </c>
      <c r="E39" s="28">
        <v>20</v>
      </c>
      <c r="F39" s="13">
        <v>200.46080000000001</v>
      </c>
      <c r="G39" s="14">
        <f t="shared" si="2"/>
        <v>1.8700000000000001E-2</v>
      </c>
      <c r="H39" s="15">
        <v>43322</v>
      </c>
      <c r="I39" s="64"/>
    </row>
    <row r="40" spans="1:10" ht="12.75" customHeight="1" x14ac:dyDescent="0.2">
      <c r="A40">
        <f>+MAX($A$8:A39)+1</f>
        <v>19</v>
      </c>
      <c r="B40" s="65" t="s">
        <v>624</v>
      </c>
      <c r="C40" s="65" t="s">
        <v>446</v>
      </c>
      <c r="D40" t="s">
        <v>591</v>
      </c>
      <c r="E40" s="28">
        <v>20</v>
      </c>
      <c r="F40" s="13">
        <v>200.2722</v>
      </c>
      <c r="G40" s="14">
        <f t="shared" si="2"/>
        <v>1.8700000000000001E-2</v>
      </c>
      <c r="H40" s="15">
        <v>43469</v>
      </c>
      <c r="I40" s="64"/>
    </row>
    <row r="41" spans="1:10" ht="12.75" customHeight="1" x14ac:dyDescent="0.2">
      <c r="A41">
        <f>+MAX($A$8:A40)+1</f>
        <v>20</v>
      </c>
      <c r="B41" s="65" t="s">
        <v>625</v>
      </c>
      <c r="C41" s="65" t="s">
        <v>168</v>
      </c>
      <c r="D41" t="s">
        <v>167</v>
      </c>
      <c r="E41" s="28">
        <v>9</v>
      </c>
      <c r="F41" s="13">
        <v>90.239760000000004</v>
      </c>
      <c r="G41" s="14">
        <f t="shared" si="2"/>
        <v>8.3999999999999995E-3</v>
      </c>
      <c r="H41" s="15">
        <v>43259</v>
      </c>
      <c r="I41" s="64"/>
    </row>
    <row r="42" spans="1:10" ht="12.75" customHeight="1" x14ac:dyDescent="0.2">
      <c r="B42" s="18" t="s">
        <v>84</v>
      </c>
      <c r="C42" s="18"/>
      <c r="D42" s="18"/>
      <c r="E42" s="29"/>
      <c r="F42" s="19">
        <f>SUM(F32:F41)</f>
        <v>3989.8447599999995</v>
      </c>
      <c r="G42" s="20">
        <f>SUM(G32:G41)</f>
        <v>0.37290000000000001</v>
      </c>
      <c r="H42" s="21"/>
      <c r="J42" s="52"/>
    </row>
    <row r="43" spans="1:10" ht="12.75" customHeight="1" x14ac:dyDescent="0.2">
      <c r="F43" s="13"/>
      <c r="G43" s="14"/>
      <c r="H43" s="15"/>
    </row>
    <row r="44" spans="1:10" ht="12.75" customHeight="1" x14ac:dyDescent="0.2">
      <c r="A44" s="95" t="s">
        <v>356</v>
      </c>
      <c r="B44" s="16" t="s">
        <v>92</v>
      </c>
      <c r="C44" s="16"/>
      <c r="F44" s="13">
        <v>56.088425999999998</v>
      </c>
      <c r="G44" s="14">
        <f>+ROUND(F44/VLOOKUP("Grand Total",$B$4:$F$300,5,0),4)</f>
        <v>5.1999999999999998E-3</v>
      </c>
      <c r="H44" s="15">
        <v>43193</v>
      </c>
    </row>
    <row r="45" spans="1:10" ht="12.75" customHeight="1" x14ac:dyDescent="0.2">
      <c r="B45" s="18" t="s">
        <v>84</v>
      </c>
      <c r="C45" s="18"/>
      <c r="D45" s="18"/>
      <c r="E45" s="29"/>
      <c r="F45" s="19">
        <f>SUM(F44)</f>
        <v>56.088425999999998</v>
      </c>
      <c r="G45" s="20">
        <f>SUM(G44)</f>
        <v>5.1999999999999998E-3</v>
      </c>
      <c r="H45" s="21"/>
      <c r="I45" s="35"/>
    </row>
    <row r="46" spans="1:10" ht="12.75" customHeight="1" x14ac:dyDescent="0.2">
      <c r="F46" s="13"/>
      <c r="G46" s="14"/>
      <c r="H46" s="15"/>
    </row>
    <row r="47" spans="1:10" ht="12.75" customHeight="1" x14ac:dyDescent="0.2">
      <c r="B47" s="16" t="s">
        <v>93</v>
      </c>
      <c r="C47" s="16"/>
      <c r="F47" s="13"/>
      <c r="G47" s="14"/>
      <c r="H47" s="15"/>
    </row>
    <row r="48" spans="1:10" ht="12.75" customHeight="1" x14ac:dyDescent="0.2">
      <c r="B48" s="16" t="s">
        <v>94</v>
      </c>
      <c r="C48" s="16"/>
      <c r="F48" s="43">
        <v>358.27550729999894</v>
      </c>
      <c r="G48" s="14">
        <f>+ROUND(F48/VLOOKUP("Grand Total",$B$4:$F$300,5,0),4)+0.03%</f>
        <v>3.3800000000000004E-2</v>
      </c>
      <c r="H48" s="15"/>
    </row>
    <row r="49" spans="2:9" ht="12.75" customHeight="1" x14ac:dyDescent="0.2">
      <c r="B49" s="18" t="s">
        <v>84</v>
      </c>
      <c r="C49" s="18"/>
      <c r="D49" s="18"/>
      <c r="E49" s="29"/>
      <c r="F49" s="50">
        <f>SUM(F48)</f>
        <v>358.27550729999894</v>
      </c>
      <c r="G49" s="20">
        <f>SUM(G48)</f>
        <v>3.3800000000000004E-2</v>
      </c>
      <c r="H49" s="21"/>
      <c r="I49" s="35"/>
    </row>
    <row r="50" spans="2:9" ht="12.75" customHeight="1" x14ac:dyDescent="0.2">
      <c r="B50" s="22" t="s">
        <v>95</v>
      </c>
      <c r="C50" s="22"/>
      <c r="D50" s="22"/>
      <c r="E50" s="30"/>
      <c r="F50" s="23">
        <f>+SUMIF($B$5:B49,"Total",$F$5:F49)</f>
        <v>10695.2515933</v>
      </c>
      <c r="G50" s="24">
        <f>+SUMIF($B$5:B49,"Total",$G$5:G49)</f>
        <v>1</v>
      </c>
      <c r="H50" s="25"/>
      <c r="I50" s="35"/>
    </row>
    <row r="51" spans="2:9" ht="12.75" customHeight="1" x14ac:dyDescent="0.2"/>
    <row r="52" spans="2:9" ht="12.75" customHeight="1" x14ac:dyDescent="0.2">
      <c r="B52" s="16" t="s">
        <v>592</v>
      </c>
      <c r="C52" s="16"/>
    </row>
    <row r="53" spans="2:9" ht="12.75" customHeight="1" x14ac:dyDescent="0.2">
      <c r="B53" s="16" t="s">
        <v>182</v>
      </c>
      <c r="C53" s="16"/>
    </row>
    <row r="54" spans="2:9" ht="12.75" customHeight="1" x14ac:dyDescent="0.2">
      <c r="B54" s="16"/>
      <c r="C54" s="16"/>
    </row>
    <row r="55" spans="2:9" ht="12.75" customHeight="1" x14ac:dyDescent="0.2">
      <c r="B55" s="16"/>
      <c r="C55" s="16"/>
    </row>
    <row r="56" spans="2:9" ht="12.75" customHeight="1" x14ac:dyDescent="0.2">
      <c r="B56" s="16"/>
      <c r="C56" s="16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sheetProtection password="EDB3" sheet="1" objects="1" scenarios="1"/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7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369</v>
      </c>
      <c r="B1" s="126" t="s">
        <v>321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90</v>
      </c>
      <c r="F7" s="13"/>
      <c r="G7" s="14"/>
      <c r="H7" s="15"/>
      <c r="J7" s="17" t="s">
        <v>632</v>
      </c>
      <c r="K7" s="37" t="s">
        <v>12</v>
      </c>
    </row>
    <row r="8" spans="1:16" ht="12.75" customHeight="1" x14ac:dyDescent="0.2">
      <c r="B8" s="16" t="s">
        <v>299</v>
      </c>
      <c r="C8" s="16"/>
      <c r="F8" s="13"/>
      <c r="G8" s="14"/>
      <c r="H8" s="15"/>
      <c r="J8" s="14" t="s">
        <v>107</v>
      </c>
      <c r="K8" s="48">
        <f>SUMIFS($G$5:$G$325,$D$5:$D$325,J8)</f>
        <v>0.37330000000000002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284</v>
      </c>
      <c r="C9" t="s">
        <v>562</v>
      </c>
      <c r="D9" t="s">
        <v>542</v>
      </c>
      <c r="E9" s="28">
        <v>380</v>
      </c>
      <c r="F9" s="13">
        <v>1801.694</v>
      </c>
      <c r="G9" s="14">
        <f>+ROUND(F9/VLOOKUP("Grand Total",$B$4:$F$267,5,0),4)</f>
        <v>5.8999999999999997E-2</v>
      </c>
      <c r="H9" s="89">
        <v>43426</v>
      </c>
      <c r="J9" s="14" t="s">
        <v>349</v>
      </c>
      <c r="K9" s="48">
        <f>SUMIFS($G$5:$G$325,$D$5:$D$325,J9)</f>
        <v>0.13350000000000001</v>
      </c>
      <c r="M9" s="14"/>
      <c r="N9" s="36"/>
      <c r="P9" s="14"/>
    </row>
    <row r="10" spans="1:16" ht="12.75" customHeight="1" x14ac:dyDescent="0.2">
      <c r="B10" s="18" t="s">
        <v>84</v>
      </c>
      <c r="C10" s="18"/>
      <c r="D10" s="18"/>
      <c r="E10" s="29"/>
      <c r="F10" s="19">
        <f>SUM(F9:F9)</f>
        <v>1801.694</v>
      </c>
      <c r="G10" s="20">
        <f>SUM(G9:G9)</f>
        <v>5.8999999999999997E-2</v>
      </c>
      <c r="H10" s="21"/>
      <c r="J10" t="s">
        <v>164</v>
      </c>
      <c r="K10" s="48">
        <f t="shared" ref="K10:K17" si="0">SUMIFS($G$5:$G$325,$D$5:$D$325,J10)</f>
        <v>8.1600000000000006E-2</v>
      </c>
    </row>
    <row r="11" spans="1:16" ht="12.75" customHeight="1" x14ac:dyDescent="0.2">
      <c r="F11" s="13"/>
      <c r="G11" s="14"/>
      <c r="H11" s="15"/>
      <c r="J11" s="14" t="s">
        <v>431</v>
      </c>
      <c r="K11" s="48">
        <f t="shared" si="0"/>
        <v>6.8500000000000005E-2</v>
      </c>
    </row>
    <row r="12" spans="1:16" ht="12.75" customHeight="1" x14ac:dyDescent="0.2">
      <c r="B12" s="16" t="s">
        <v>166</v>
      </c>
      <c r="C12" s="16"/>
      <c r="F12" s="13"/>
      <c r="G12" s="14"/>
      <c r="H12" s="15"/>
      <c r="J12" s="14" t="s">
        <v>591</v>
      </c>
      <c r="K12" s="48">
        <f t="shared" si="0"/>
        <v>6.5600000000000006E-2</v>
      </c>
      <c r="M12" s="14"/>
      <c r="N12" s="36"/>
      <c r="P12" s="14"/>
    </row>
    <row r="13" spans="1:16" ht="12.75" customHeight="1" x14ac:dyDescent="0.2">
      <c r="A13">
        <f>+MAX($A$8:A12)+1</f>
        <v>2</v>
      </c>
      <c r="B13" t="s">
        <v>559</v>
      </c>
      <c r="C13" t="s">
        <v>560</v>
      </c>
      <c r="D13" t="s">
        <v>389</v>
      </c>
      <c r="E13" s="28">
        <v>700000</v>
      </c>
      <c r="F13" s="13">
        <v>665.1925</v>
      </c>
      <c r="G13" s="14">
        <f>+ROUND(F13/VLOOKUP("Grand Total",$B$4:$F$267,5,0),4)</f>
        <v>2.18E-2</v>
      </c>
      <c r="H13" s="89">
        <v>46522</v>
      </c>
      <c r="J13" s="14" t="s">
        <v>542</v>
      </c>
      <c r="K13" s="48">
        <f t="shared" si="0"/>
        <v>5.8999999999999997E-2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307</v>
      </c>
      <c r="C14" t="s">
        <v>287</v>
      </c>
      <c r="D14" t="s">
        <v>389</v>
      </c>
      <c r="E14" s="28">
        <v>500000</v>
      </c>
      <c r="F14" s="13">
        <v>513.72500000000002</v>
      </c>
      <c r="G14" s="14">
        <f>+ROUND(F14/VLOOKUP("Grand Total",$B$4:$F$267,5,0),4)</f>
        <v>1.6799999999999999E-2</v>
      </c>
      <c r="H14" s="89">
        <v>44175</v>
      </c>
      <c r="J14" s="14" t="s">
        <v>285</v>
      </c>
      <c r="K14" s="48">
        <f t="shared" si="0"/>
        <v>5.8900000000000001E-2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462</v>
      </c>
      <c r="C15" t="s">
        <v>463</v>
      </c>
      <c r="D15" t="s">
        <v>389</v>
      </c>
      <c r="E15" s="28">
        <v>300000</v>
      </c>
      <c r="F15" s="13">
        <v>304.50330000000002</v>
      </c>
      <c r="G15" s="14">
        <f>+ROUND(F15/VLOOKUP("Grand Total",$B$4:$F$267,5,0),4)</f>
        <v>0.01</v>
      </c>
      <c r="H15" s="89">
        <v>45275</v>
      </c>
      <c r="J15" s="14" t="s">
        <v>389</v>
      </c>
      <c r="K15" s="48">
        <f t="shared" si="0"/>
        <v>4.9399999999999999E-2</v>
      </c>
      <c r="M15" s="14"/>
      <c r="N15" s="36"/>
      <c r="P15" s="14"/>
    </row>
    <row r="16" spans="1:16" ht="12.75" customHeight="1" x14ac:dyDescent="0.2">
      <c r="A16">
        <f>+MAX($A$8:A15)+1</f>
        <v>5</v>
      </c>
      <c r="B16" t="s">
        <v>447</v>
      </c>
      <c r="C16" t="s">
        <v>448</v>
      </c>
      <c r="D16" t="s">
        <v>389</v>
      </c>
      <c r="E16" s="28">
        <v>25300</v>
      </c>
      <c r="F16" s="13">
        <v>24.823879300000002</v>
      </c>
      <c r="G16" s="14">
        <f>+ROUND(F16/VLOOKUP("Grand Total",$B$4:$F$267,5,0),4)</f>
        <v>8.0000000000000004E-4</v>
      </c>
      <c r="H16" s="89">
        <v>44914</v>
      </c>
      <c r="J16" s="14" t="s">
        <v>167</v>
      </c>
      <c r="K16" s="48">
        <f t="shared" si="0"/>
        <v>3.61E-2</v>
      </c>
      <c r="M16" s="14"/>
      <c r="N16" s="36"/>
      <c r="P16" s="14"/>
    </row>
    <row r="17" spans="1:11" ht="12.75" customHeight="1" x14ac:dyDescent="0.2">
      <c r="B17" s="18" t="s">
        <v>84</v>
      </c>
      <c r="C17" s="18"/>
      <c r="D17" s="18"/>
      <c r="E17" s="29"/>
      <c r="F17" s="19">
        <f>SUM(F13:F16)</f>
        <v>1508.2446793000001</v>
      </c>
      <c r="G17" s="20">
        <f>SUM(G13:G16)</f>
        <v>4.9399999999999999E-2</v>
      </c>
      <c r="H17" s="21"/>
      <c r="J17" s="14" t="s">
        <v>510</v>
      </c>
      <c r="K17" s="48">
        <f t="shared" si="0"/>
        <v>3.2899999999999999E-2</v>
      </c>
    </row>
    <row r="18" spans="1:11" ht="12.75" customHeight="1" x14ac:dyDescent="0.2">
      <c r="F18" s="13"/>
      <c r="G18" s="14"/>
      <c r="H18" s="15"/>
      <c r="J18" s="14" t="s">
        <v>63</v>
      </c>
      <c r="K18" s="48">
        <f>+SUMIFS($G$5:$G$997,$B$5:$B$997,"CBLO / Reverse Repo Investments")+SUMIFS($G$5:$G$997,$B$5:$B$997,"Net Receivable/Payable")</f>
        <v>4.1200000000000001E-2</v>
      </c>
    </row>
    <row r="19" spans="1:11" ht="12.75" customHeight="1" x14ac:dyDescent="0.2">
      <c r="B19" s="16" t="s">
        <v>123</v>
      </c>
      <c r="C19" s="16"/>
      <c r="F19" s="13"/>
      <c r="G19" s="14"/>
      <c r="H19" s="15"/>
      <c r="J19" s="14"/>
      <c r="K19" s="48"/>
    </row>
    <row r="20" spans="1:11" ht="12.75" customHeight="1" x14ac:dyDescent="0.2">
      <c r="B20" s="31" t="s">
        <v>392</v>
      </c>
      <c r="C20" s="16"/>
      <c r="F20" s="13"/>
      <c r="G20" s="14"/>
      <c r="H20" s="15"/>
    </row>
    <row r="21" spans="1:11" ht="12.75" customHeight="1" x14ac:dyDescent="0.2">
      <c r="A21">
        <f>+MAX($A$8:A20)+1</f>
        <v>6</v>
      </c>
      <c r="B21" s="65" t="s">
        <v>651</v>
      </c>
      <c r="C21" t="s">
        <v>407</v>
      </c>
      <c r="D21" t="s">
        <v>349</v>
      </c>
      <c r="E21" s="28">
        <v>255000</v>
      </c>
      <c r="F21" s="13">
        <v>2565.1776</v>
      </c>
      <c r="G21" s="14">
        <f t="shared" ref="G21:G35" si="1">+ROUND(F21/VLOOKUP("Grand Total",$B$4:$F$267,5,0),4)</f>
        <v>8.4000000000000005E-2</v>
      </c>
      <c r="H21" s="15">
        <v>43717</v>
      </c>
    </row>
    <row r="22" spans="1:11" ht="12.75" customHeight="1" x14ac:dyDescent="0.2">
      <c r="A22">
        <f>+MAX($A$8:A21)+1</f>
        <v>7</v>
      </c>
      <c r="B22" s="65" t="s">
        <v>658</v>
      </c>
      <c r="C22" t="s">
        <v>390</v>
      </c>
      <c r="D22" t="s">
        <v>107</v>
      </c>
      <c r="E22" s="28">
        <v>25</v>
      </c>
      <c r="F22" s="13">
        <v>2495.145</v>
      </c>
      <c r="G22" s="14">
        <f t="shared" si="1"/>
        <v>8.1799999999999998E-2</v>
      </c>
      <c r="H22" s="15">
        <v>43780</v>
      </c>
    </row>
    <row r="23" spans="1:11" ht="12.75" customHeight="1" x14ac:dyDescent="0.2">
      <c r="A23">
        <f>+MAX($A$8:A22)+1</f>
        <v>8</v>
      </c>
      <c r="B23" s="65" t="s">
        <v>659</v>
      </c>
      <c r="C23" t="s">
        <v>421</v>
      </c>
      <c r="D23" t="s">
        <v>164</v>
      </c>
      <c r="E23" s="28">
        <v>250</v>
      </c>
      <c r="F23" s="13">
        <v>2489.75</v>
      </c>
      <c r="G23" s="14">
        <f t="shared" si="1"/>
        <v>8.1600000000000006E-2</v>
      </c>
      <c r="H23" s="15">
        <v>43951</v>
      </c>
    </row>
    <row r="24" spans="1:11" ht="12.75" customHeight="1" x14ac:dyDescent="0.2">
      <c r="A24">
        <f>+MAX($A$8:A23)+1</f>
        <v>9</v>
      </c>
      <c r="B24" t="s">
        <v>622</v>
      </c>
      <c r="C24" t="s">
        <v>393</v>
      </c>
      <c r="D24" t="s">
        <v>107</v>
      </c>
      <c r="E24" s="28">
        <v>240</v>
      </c>
      <c r="F24" s="13">
        <v>2436.3719999999998</v>
      </c>
      <c r="G24" s="14">
        <f t="shared" si="1"/>
        <v>7.9799999999999996E-2</v>
      </c>
      <c r="H24" s="15">
        <v>44343</v>
      </c>
      <c r="J24" s="46"/>
      <c r="K24" s="48"/>
    </row>
    <row r="25" spans="1:11" ht="12.75" customHeight="1" x14ac:dyDescent="0.2">
      <c r="A25">
        <f>+MAX($A$8:A24)+1</f>
        <v>10</v>
      </c>
      <c r="B25" s="65" t="s">
        <v>733</v>
      </c>
      <c r="C25" t="s">
        <v>698</v>
      </c>
      <c r="D25" t="s">
        <v>107</v>
      </c>
      <c r="E25" s="28">
        <v>230</v>
      </c>
      <c r="F25" s="13">
        <v>2304.0066000000002</v>
      </c>
      <c r="G25" s="14">
        <f t="shared" si="1"/>
        <v>7.5499999999999998E-2</v>
      </c>
      <c r="H25" s="15">
        <v>43539</v>
      </c>
    </row>
    <row r="26" spans="1:11" ht="12.75" customHeight="1" x14ac:dyDescent="0.2">
      <c r="A26">
        <f>+MAX($A$8:A25)+1</f>
        <v>11</v>
      </c>
      <c r="B26" s="65" t="s">
        <v>650</v>
      </c>
      <c r="C26" t="s">
        <v>490</v>
      </c>
      <c r="D26" t="s">
        <v>431</v>
      </c>
      <c r="E26" s="28">
        <v>210</v>
      </c>
      <c r="F26" s="13">
        <v>2091.4236000000001</v>
      </c>
      <c r="G26" s="14">
        <f t="shared" si="1"/>
        <v>6.8500000000000005E-2</v>
      </c>
      <c r="H26" s="15">
        <v>43671</v>
      </c>
    </row>
    <row r="27" spans="1:11" ht="12.75" customHeight="1" x14ac:dyDescent="0.2">
      <c r="A27">
        <f>+MAX($A$8:A26)+1</f>
        <v>12</v>
      </c>
      <c r="B27" s="65" t="s">
        <v>624</v>
      </c>
      <c r="C27" t="s">
        <v>446</v>
      </c>
      <c r="D27" t="s">
        <v>591</v>
      </c>
      <c r="E27" s="28">
        <v>200</v>
      </c>
      <c r="F27" s="13">
        <v>2002.722</v>
      </c>
      <c r="G27" s="14">
        <f t="shared" si="1"/>
        <v>6.5600000000000006E-2</v>
      </c>
      <c r="H27" s="15">
        <v>43469</v>
      </c>
    </row>
    <row r="28" spans="1:11" s="46" customFormat="1" ht="12.75" customHeight="1" x14ac:dyDescent="0.2">
      <c r="A28">
        <f>+MAX($A$8:A27)+1</f>
        <v>13</v>
      </c>
      <c r="B28" s="65" t="s">
        <v>685</v>
      </c>
      <c r="C28" t="s">
        <v>643</v>
      </c>
      <c r="D28" t="s">
        <v>107</v>
      </c>
      <c r="E28" s="28">
        <v>200</v>
      </c>
      <c r="F28" s="13">
        <v>1965.2280000000001</v>
      </c>
      <c r="G28" s="14">
        <f t="shared" si="1"/>
        <v>6.4399999999999999E-2</v>
      </c>
      <c r="H28" s="15">
        <v>44090</v>
      </c>
      <c r="I28" s="64"/>
      <c r="J28"/>
      <c r="K28" s="36"/>
    </row>
    <row r="29" spans="1:11" ht="12.75" customHeight="1" x14ac:dyDescent="0.2">
      <c r="A29">
        <f>+MAX($A$8:A28)+1</f>
        <v>14</v>
      </c>
      <c r="B29" s="65" t="s">
        <v>627</v>
      </c>
      <c r="C29" t="s">
        <v>604</v>
      </c>
      <c r="D29" t="s">
        <v>285</v>
      </c>
      <c r="E29" s="28">
        <v>180</v>
      </c>
      <c r="F29" s="13">
        <v>1797.8273999999999</v>
      </c>
      <c r="G29" s="14">
        <f t="shared" si="1"/>
        <v>5.8900000000000001E-2</v>
      </c>
      <c r="H29" s="15">
        <v>43643</v>
      </c>
      <c r="J29" s="52"/>
    </row>
    <row r="30" spans="1:11" ht="12.75" customHeight="1" x14ac:dyDescent="0.2">
      <c r="A30">
        <f>+MAX($A$8:A29)+1</f>
        <v>15</v>
      </c>
      <c r="B30" s="65" t="s">
        <v>699</v>
      </c>
      <c r="C30" t="s">
        <v>700</v>
      </c>
      <c r="D30" t="s">
        <v>107</v>
      </c>
      <c r="E30" s="28">
        <v>130</v>
      </c>
      <c r="F30" s="13">
        <v>1337.0630000000001</v>
      </c>
      <c r="G30" s="14">
        <f t="shared" si="1"/>
        <v>4.3799999999999999E-2</v>
      </c>
      <c r="H30" s="15">
        <v>46808</v>
      </c>
      <c r="J30" s="52"/>
    </row>
    <row r="31" spans="1:11" ht="12.75" customHeight="1" x14ac:dyDescent="0.2">
      <c r="A31">
        <f>+MAX($A$8:A30)+1</f>
        <v>16</v>
      </c>
      <c r="B31" s="65" t="s">
        <v>625</v>
      </c>
      <c r="C31" t="s">
        <v>168</v>
      </c>
      <c r="D31" t="s">
        <v>167</v>
      </c>
      <c r="E31" s="28">
        <v>110</v>
      </c>
      <c r="F31" s="13">
        <v>1102.9304</v>
      </c>
      <c r="G31" s="14">
        <f t="shared" si="1"/>
        <v>3.61E-2</v>
      </c>
      <c r="H31" s="15">
        <v>43259</v>
      </c>
      <c r="J31" s="52"/>
    </row>
    <row r="32" spans="1:11" ht="12.75" customHeight="1" x14ac:dyDescent="0.2">
      <c r="A32">
        <f>+MAX($A$8:A31)+1</f>
        <v>17</v>
      </c>
      <c r="B32" s="65" t="s">
        <v>648</v>
      </c>
      <c r="C32" t="s">
        <v>381</v>
      </c>
      <c r="D32" t="s">
        <v>349</v>
      </c>
      <c r="E32" s="28">
        <v>100</v>
      </c>
      <c r="F32" s="13">
        <v>1006.848</v>
      </c>
      <c r="G32" s="14">
        <f t="shared" si="1"/>
        <v>3.3000000000000002E-2</v>
      </c>
      <c r="H32" s="15">
        <v>43892</v>
      </c>
    </row>
    <row r="33" spans="1:11" ht="12.75" customHeight="1" x14ac:dyDescent="0.2">
      <c r="A33">
        <f>+MAX($A$8:A32)+1</f>
        <v>18</v>
      </c>
      <c r="B33" s="65" t="s">
        <v>652</v>
      </c>
      <c r="C33" t="s">
        <v>339</v>
      </c>
      <c r="D33" t="s">
        <v>510</v>
      </c>
      <c r="E33" s="28">
        <v>100</v>
      </c>
      <c r="F33" s="13">
        <v>1005.22</v>
      </c>
      <c r="G33" s="14">
        <f t="shared" si="1"/>
        <v>3.2899999999999999E-2</v>
      </c>
      <c r="H33" s="15">
        <v>43309</v>
      </c>
      <c r="J33" s="52"/>
    </row>
    <row r="34" spans="1:11" ht="12.75" customHeight="1" x14ac:dyDescent="0.2">
      <c r="A34">
        <f>+MAX($A$8:A33)+1</f>
        <v>19</v>
      </c>
      <c r="B34" s="65" t="s">
        <v>734</v>
      </c>
      <c r="C34" t="s">
        <v>701</v>
      </c>
      <c r="D34" t="s">
        <v>107</v>
      </c>
      <c r="E34" s="28">
        <v>85</v>
      </c>
      <c r="F34" s="13">
        <v>855.40769999999998</v>
      </c>
      <c r="G34" s="14">
        <f t="shared" si="1"/>
        <v>2.8000000000000001E-2</v>
      </c>
      <c r="H34" s="15">
        <v>44915</v>
      </c>
      <c r="J34" s="52"/>
    </row>
    <row r="35" spans="1:11" ht="12.75" customHeight="1" x14ac:dyDescent="0.2">
      <c r="A35">
        <f>+MAX($A$8:A34)+1</f>
        <v>20</v>
      </c>
      <c r="B35" s="65" t="s">
        <v>619</v>
      </c>
      <c r="C35" t="s">
        <v>348</v>
      </c>
      <c r="D35" t="s">
        <v>349</v>
      </c>
      <c r="E35" s="28">
        <v>50</v>
      </c>
      <c r="F35" s="13">
        <v>503.41849999999999</v>
      </c>
      <c r="G35" s="14">
        <f t="shared" si="1"/>
        <v>1.6500000000000001E-2</v>
      </c>
      <c r="H35" s="15">
        <v>43542</v>
      </c>
      <c r="J35" s="52"/>
    </row>
    <row r="36" spans="1:11" ht="12.75" customHeight="1" x14ac:dyDescent="0.2">
      <c r="B36" s="18" t="s">
        <v>84</v>
      </c>
      <c r="C36" s="18"/>
      <c r="D36" s="18"/>
      <c r="E36" s="29"/>
      <c r="F36" s="19">
        <f>SUM(F21:F35)</f>
        <v>25958.539800000002</v>
      </c>
      <c r="G36" s="20">
        <f>SUM(G21:G35)</f>
        <v>0.85040000000000004</v>
      </c>
      <c r="H36" s="21"/>
      <c r="I36" s="33"/>
      <c r="J36" s="52"/>
    </row>
    <row r="37" spans="1:11" s="46" customFormat="1" ht="12.75" customHeight="1" x14ac:dyDescent="0.2">
      <c r="B37" s="67"/>
      <c r="C37" s="67"/>
      <c r="D37" s="67"/>
      <c r="E37" s="68"/>
      <c r="F37" s="69"/>
      <c r="G37" s="70"/>
      <c r="H37" s="71"/>
      <c r="I37" s="33"/>
      <c r="J37" s="97"/>
      <c r="K37" s="48"/>
    </row>
    <row r="38" spans="1:11" ht="12.75" customHeight="1" x14ac:dyDescent="0.2">
      <c r="A38" s="95" t="s">
        <v>356</v>
      </c>
      <c r="B38" s="16" t="s">
        <v>92</v>
      </c>
      <c r="C38" s="16"/>
      <c r="F38" s="13">
        <v>286.9243573</v>
      </c>
      <c r="G38" s="14">
        <f>+ROUND(F38/VLOOKUP("Grand Total",$B$4:$F$267,5,0),4)</f>
        <v>9.4000000000000004E-3</v>
      </c>
      <c r="H38" s="15">
        <v>43193</v>
      </c>
    </row>
    <row r="39" spans="1:11" ht="12.75" customHeight="1" x14ac:dyDescent="0.2">
      <c r="B39" s="18" t="s">
        <v>84</v>
      </c>
      <c r="C39" s="18"/>
      <c r="D39" s="18"/>
      <c r="E39" s="29"/>
      <c r="F39" s="19">
        <f>SUM(F38)</f>
        <v>286.9243573</v>
      </c>
      <c r="G39" s="20">
        <f>SUM(G38)</f>
        <v>9.4000000000000004E-3</v>
      </c>
      <c r="H39" s="21"/>
    </row>
    <row r="40" spans="1:11" ht="12.75" customHeight="1" x14ac:dyDescent="0.2">
      <c r="F40" s="13"/>
      <c r="G40" s="14"/>
      <c r="H40" s="15"/>
    </row>
    <row r="41" spans="1:11" ht="12.75" customHeight="1" x14ac:dyDescent="0.2">
      <c r="B41" s="16" t="s">
        <v>93</v>
      </c>
      <c r="C41" s="16"/>
      <c r="F41" s="13"/>
      <c r="G41" s="14"/>
      <c r="H41" s="15"/>
      <c r="I41" s="82"/>
    </row>
    <row r="42" spans="1:11" ht="12.75" customHeight="1" x14ac:dyDescent="0.2">
      <c r="B42" s="16" t="s">
        <v>94</v>
      </c>
      <c r="C42" s="16"/>
      <c r="F42" s="13">
        <v>964.40873129999818</v>
      </c>
      <c r="G42" s="14">
        <f>+ROUND(F42/VLOOKUP("Grand Total",$B$4:$F$267,5,0),4)+0.02%</f>
        <v>3.1800000000000002E-2</v>
      </c>
      <c r="H42" s="15"/>
    </row>
    <row r="43" spans="1:11" ht="12.75" customHeight="1" x14ac:dyDescent="0.2">
      <c r="B43" s="18" t="s">
        <v>84</v>
      </c>
      <c r="C43" s="18"/>
      <c r="D43" s="18"/>
      <c r="E43" s="29"/>
      <c r="F43" s="19">
        <f>SUM(F42)</f>
        <v>964.40873129999818</v>
      </c>
      <c r="G43" s="20">
        <f>SUM(G42)</f>
        <v>3.1800000000000002E-2</v>
      </c>
      <c r="H43" s="21"/>
    </row>
    <row r="44" spans="1:11" ht="12.75" customHeight="1" x14ac:dyDescent="0.2">
      <c r="B44" s="22" t="s">
        <v>95</v>
      </c>
      <c r="C44" s="22"/>
      <c r="D44" s="22"/>
      <c r="E44" s="30"/>
      <c r="F44" s="23">
        <f>+SUMIF($B$5:B43,"Total",$F$5:F43)</f>
        <v>30519.8115679</v>
      </c>
      <c r="G44" s="24">
        <f>+SUMIF($B$5:B43,"Total",$G$5:G43)</f>
        <v>1</v>
      </c>
      <c r="H44" s="25"/>
      <c r="I44" s="82"/>
    </row>
    <row r="45" spans="1:11" ht="12.75" customHeight="1" x14ac:dyDescent="0.2"/>
    <row r="46" spans="1:11" ht="12.75" customHeight="1" x14ac:dyDescent="0.2">
      <c r="B46" s="16" t="s">
        <v>592</v>
      </c>
      <c r="C46" s="16"/>
    </row>
    <row r="47" spans="1:11" ht="12.75" customHeight="1" x14ac:dyDescent="0.2">
      <c r="B47" s="16" t="s">
        <v>182</v>
      </c>
      <c r="C47" s="16"/>
      <c r="F47" s="42"/>
    </row>
    <row r="48" spans="1:11" ht="12.75" customHeight="1" x14ac:dyDescent="0.2">
      <c r="B48" s="16" t="s">
        <v>740</v>
      </c>
      <c r="C48" s="16"/>
      <c r="I48" s="82"/>
    </row>
    <row r="49" spans="2:3" ht="12.75" customHeight="1" x14ac:dyDescent="0.2">
      <c r="B49" s="16"/>
      <c r="C49" s="16"/>
    </row>
    <row r="50" spans="2:3" ht="12.75" customHeight="1" x14ac:dyDescent="0.2"/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sheetProtection password="EDB3" sheet="1" objects="1" scenarios="1"/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7109375" customWidth="1"/>
    <col min="4" max="4" width="21.570312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370</v>
      </c>
      <c r="B1" s="126" t="s">
        <v>330</v>
      </c>
      <c r="C1" s="127"/>
      <c r="D1" s="127"/>
      <c r="E1" s="127"/>
      <c r="F1" s="127"/>
      <c r="G1" s="127"/>
      <c r="H1" s="127"/>
      <c r="I1" s="128"/>
    </row>
    <row r="2" spans="1:17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125" t="s">
        <v>741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392</v>
      </c>
      <c r="C8" s="16"/>
      <c r="F8" s="13"/>
      <c r="G8" s="14"/>
      <c r="H8" s="14"/>
      <c r="I8" s="60"/>
      <c r="K8" s="17" t="s">
        <v>632</v>
      </c>
      <c r="L8" s="37" t="s">
        <v>12</v>
      </c>
    </row>
    <row r="9" spans="1:17" s="65" customFormat="1" ht="12.75" customHeight="1" x14ac:dyDescent="0.2">
      <c r="A9" s="65">
        <f>+MAX($A$7:A8)+1</f>
        <v>1</v>
      </c>
      <c r="B9" s="77" t="s">
        <v>220</v>
      </c>
      <c r="C9" s="77" t="s">
        <v>70</v>
      </c>
      <c r="D9" s="77" t="s">
        <v>27</v>
      </c>
      <c r="E9" s="74">
        <v>10200</v>
      </c>
      <c r="F9" s="75">
        <v>133.71180000000001</v>
      </c>
      <c r="G9" s="76">
        <f t="shared" ref="G9:G35" si="0">+ROUND(F9/VLOOKUP("Grand Total",$B$4:$F$304,5,0),4)</f>
        <v>1.8599999999999998E-2</v>
      </c>
      <c r="H9" s="76"/>
      <c r="I9" s="91" t="s">
        <v>357</v>
      </c>
      <c r="J9" s="101"/>
      <c r="K9" s="90" t="s">
        <v>20</v>
      </c>
      <c r="L9" s="103">
        <f t="shared" ref="L9:L36" si="1">SUMIFS($G$5:$G$373,$D$5:$D$373,K9)</f>
        <v>0.1038</v>
      </c>
      <c r="M9" s="84"/>
      <c r="N9" s="90"/>
      <c r="O9" s="90"/>
      <c r="Q9" s="90"/>
    </row>
    <row r="10" spans="1:17" ht="12.75" customHeight="1" x14ac:dyDescent="0.2">
      <c r="A10" s="65">
        <f>+MAX($A$7:A9)+1</f>
        <v>2</v>
      </c>
      <c r="B10" s="77" t="s">
        <v>193</v>
      </c>
      <c r="C10" s="77" t="s">
        <v>26</v>
      </c>
      <c r="D10" s="77" t="s">
        <v>23</v>
      </c>
      <c r="E10" s="74">
        <v>6600</v>
      </c>
      <c r="F10" s="75">
        <v>120.4896</v>
      </c>
      <c r="G10" s="45">
        <f t="shared" si="0"/>
        <v>1.6799999999999999E-2</v>
      </c>
      <c r="H10" s="45"/>
      <c r="I10" s="42" t="s">
        <v>357</v>
      </c>
      <c r="J10" s="41"/>
      <c r="K10" s="90" t="s">
        <v>23</v>
      </c>
      <c r="L10" s="103">
        <f t="shared" si="1"/>
        <v>9.9699999999999983E-2</v>
      </c>
      <c r="M10" s="36"/>
      <c r="N10" s="14"/>
      <c r="O10" s="14"/>
      <c r="Q10" s="14"/>
    </row>
    <row r="11" spans="1:17" s="65" customFormat="1" ht="12.75" customHeight="1" x14ac:dyDescent="0.2">
      <c r="A11" s="65">
        <f>+MAX($A$7:A10)+1</f>
        <v>3</v>
      </c>
      <c r="B11" s="77" t="s">
        <v>188</v>
      </c>
      <c r="C11" s="77" t="s">
        <v>15</v>
      </c>
      <c r="D11" s="77" t="s">
        <v>14</v>
      </c>
      <c r="E11" s="74">
        <v>10400</v>
      </c>
      <c r="F11" s="75">
        <v>117.7072</v>
      </c>
      <c r="G11" s="76">
        <f t="shared" si="0"/>
        <v>1.6400000000000001E-2</v>
      </c>
      <c r="H11" s="76"/>
      <c r="I11" s="91" t="s">
        <v>357</v>
      </c>
      <c r="J11" s="101"/>
      <c r="K11" s="90" t="s">
        <v>35</v>
      </c>
      <c r="L11" s="103">
        <f t="shared" si="1"/>
        <v>7.5499999999999998E-2</v>
      </c>
      <c r="M11" s="84"/>
      <c r="N11" s="90"/>
      <c r="O11" s="90"/>
      <c r="Q11" s="90"/>
    </row>
    <row r="12" spans="1:17" ht="12.75" customHeight="1" x14ac:dyDescent="0.2">
      <c r="A12" s="65">
        <f>+MAX($A$7:A11)+1</f>
        <v>4</v>
      </c>
      <c r="B12" s="77" t="s">
        <v>187</v>
      </c>
      <c r="C12" s="77" t="s">
        <v>13</v>
      </c>
      <c r="D12" s="77" t="s">
        <v>10</v>
      </c>
      <c r="E12" s="74">
        <v>6200</v>
      </c>
      <c r="F12" s="75">
        <v>116.93819999999999</v>
      </c>
      <c r="G12" s="45">
        <f t="shared" si="0"/>
        <v>1.6299999999999999E-2</v>
      </c>
      <c r="H12" s="45"/>
      <c r="I12" s="42" t="s">
        <v>357</v>
      </c>
      <c r="J12" s="41"/>
      <c r="K12" s="90" t="s">
        <v>535</v>
      </c>
      <c r="L12" s="103">
        <f t="shared" si="1"/>
        <v>6.8500000000000005E-2</v>
      </c>
      <c r="M12" s="36"/>
      <c r="N12" s="14"/>
      <c r="O12" s="14"/>
      <c r="Q12" s="14"/>
    </row>
    <row r="13" spans="1:17" ht="12.75" customHeight="1" x14ac:dyDescent="0.2">
      <c r="A13" s="65">
        <f>+MAX($A$7:A12)+1</f>
        <v>5</v>
      </c>
      <c r="B13" s="77" t="s">
        <v>550</v>
      </c>
      <c r="C13" s="77" t="s">
        <v>551</v>
      </c>
      <c r="D13" s="77" t="s">
        <v>25</v>
      </c>
      <c r="E13" s="74">
        <v>1809</v>
      </c>
      <c r="F13" s="75">
        <v>110.350809</v>
      </c>
      <c r="G13" s="45">
        <f t="shared" si="0"/>
        <v>1.54E-2</v>
      </c>
      <c r="H13" s="45"/>
      <c r="I13" s="42" t="s">
        <v>357</v>
      </c>
      <c r="J13" s="41"/>
      <c r="K13" s="90" t="s">
        <v>25</v>
      </c>
      <c r="L13" s="103">
        <f t="shared" si="1"/>
        <v>6.5500000000000003E-2</v>
      </c>
      <c r="M13" s="36"/>
      <c r="N13" s="14"/>
      <c r="O13" s="14"/>
      <c r="Q13" s="14"/>
    </row>
    <row r="14" spans="1:17" s="65" customFormat="1" ht="12.75" customHeight="1" x14ac:dyDescent="0.2">
      <c r="A14" s="65">
        <f>+MAX($A$7:A13)+1</f>
        <v>6</v>
      </c>
      <c r="B14" s="77" t="s">
        <v>223</v>
      </c>
      <c r="C14" s="77" t="s">
        <v>78</v>
      </c>
      <c r="D14" s="77" t="s">
        <v>50</v>
      </c>
      <c r="E14" s="74">
        <v>38030</v>
      </c>
      <c r="F14" s="75">
        <v>107.73899</v>
      </c>
      <c r="G14" s="76">
        <f t="shared" si="0"/>
        <v>1.4999999999999999E-2</v>
      </c>
      <c r="H14" s="76"/>
      <c r="I14" s="91" t="s">
        <v>357</v>
      </c>
      <c r="J14" s="101"/>
      <c r="K14" s="90" t="s">
        <v>10</v>
      </c>
      <c r="L14" s="103">
        <f t="shared" si="1"/>
        <v>6.1299999999999993E-2</v>
      </c>
      <c r="M14" s="84"/>
      <c r="N14" s="90"/>
      <c r="O14" s="90"/>
      <c r="Q14" s="90"/>
    </row>
    <row r="15" spans="1:17" ht="12.75" customHeight="1" x14ac:dyDescent="0.2">
      <c r="A15" s="65">
        <f>+MAX($A$7:A14)+1</f>
        <v>7</v>
      </c>
      <c r="B15" s="77" t="s">
        <v>235</v>
      </c>
      <c r="C15" s="77" t="s">
        <v>99</v>
      </c>
      <c r="D15" s="77" t="s">
        <v>20</v>
      </c>
      <c r="E15" s="74">
        <v>12656</v>
      </c>
      <c r="F15" s="75">
        <v>93.515184000000005</v>
      </c>
      <c r="G15" s="45">
        <f t="shared" si="0"/>
        <v>1.2999999999999999E-2</v>
      </c>
      <c r="H15" s="45"/>
      <c r="I15" s="42" t="s">
        <v>357</v>
      </c>
      <c r="J15" s="41"/>
      <c r="K15" s="14" t="s">
        <v>22</v>
      </c>
      <c r="L15" s="103">
        <f t="shared" si="1"/>
        <v>3.6400000000000002E-2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192</v>
      </c>
      <c r="C16" s="77" t="s">
        <v>24</v>
      </c>
      <c r="D16" s="77" t="s">
        <v>14</v>
      </c>
      <c r="E16" s="74">
        <v>7550</v>
      </c>
      <c r="F16" s="75">
        <v>73.129300000000001</v>
      </c>
      <c r="G16" s="45">
        <f t="shared" si="0"/>
        <v>1.0200000000000001E-2</v>
      </c>
      <c r="H16" s="45"/>
      <c r="I16" s="42" t="s">
        <v>357</v>
      </c>
      <c r="J16" s="41"/>
      <c r="K16" s="90" t="s">
        <v>14</v>
      </c>
      <c r="L16" s="103">
        <f t="shared" si="1"/>
        <v>3.5900000000000001E-2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380</v>
      </c>
      <c r="C17" s="77" t="s">
        <v>379</v>
      </c>
      <c r="D17" s="77" t="s">
        <v>25</v>
      </c>
      <c r="E17" s="74">
        <v>22000</v>
      </c>
      <c r="F17" s="75">
        <v>72.248000000000005</v>
      </c>
      <c r="G17" s="45">
        <f t="shared" si="0"/>
        <v>1.01E-2</v>
      </c>
      <c r="H17" s="45"/>
      <c r="I17" s="42" t="s">
        <v>357</v>
      </c>
      <c r="J17" s="41"/>
      <c r="K17" s="90" t="s">
        <v>18</v>
      </c>
      <c r="L17" s="103">
        <f t="shared" si="1"/>
        <v>3.5000000000000003E-2</v>
      </c>
      <c r="M17" s="36"/>
      <c r="N17" s="14"/>
      <c r="O17" s="14"/>
      <c r="Q17" s="14"/>
    </row>
    <row r="18" spans="1:17" s="65" customFormat="1" ht="12.75" customHeight="1" x14ac:dyDescent="0.2">
      <c r="A18" s="65">
        <f>+MAX($A$7:A17)+1</f>
        <v>10</v>
      </c>
      <c r="B18" s="77" t="s">
        <v>548</v>
      </c>
      <c r="C18" s="77" t="s">
        <v>549</v>
      </c>
      <c r="D18" s="77" t="s">
        <v>35</v>
      </c>
      <c r="E18" s="74">
        <v>90000</v>
      </c>
      <c r="F18" s="75">
        <v>71.099999999999994</v>
      </c>
      <c r="G18" s="76">
        <f t="shared" si="0"/>
        <v>9.9000000000000008E-3</v>
      </c>
      <c r="H18" s="76"/>
      <c r="I18" s="91" t="s">
        <v>357</v>
      </c>
      <c r="J18" s="101"/>
      <c r="K18" s="14" t="s">
        <v>33</v>
      </c>
      <c r="L18" s="103">
        <f t="shared" si="1"/>
        <v>3.1199999999999999E-2</v>
      </c>
      <c r="M18" s="84"/>
      <c r="N18" s="90"/>
      <c r="O18" s="90"/>
      <c r="Q18" s="90"/>
    </row>
    <row r="19" spans="1:17" s="65" customFormat="1" ht="12.75" customHeight="1" x14ac:dyDescent="0.2">
      <c r="A19" s="65">
        <f>+MAX($A$7:A18)+1</f>
        <v>11</v>
      </c>
      <c r="B19" s="77" t="s">
        <v>245</v>
      </c>
      <c r="C19" s="77" t="s">
        <v>114</v>
      </c>
      <c r="D19" s="77" t="s">
        <v>35</v>
      </c>
      <c r="E19" s="74">
        <v>40514</v>
      </c>
      <c r="F19" s="75">
        <v>68.752257999999998</v>
      </c>
      <c r="G19" s="76">
        <f t="shared" si="0"/>
        <v>9.5999999999999992E-3</v>
      </c>
      <c r="H19" s="76"/>
      <c r="I19" s="91" t="s">
        <v>357</v>
      </c>
      <c r="J19" s="101"/>
      <c r="K19" s="90" t="s">
        <v>683</v>
      </c>
      <c r="L19" s="103">
        <f t="shared" si="1"/>
        <v>2.8299999999999999E-2</v>
      </c>
      <c r="M19" s="84"/>
      <c r="N19" s="90"/>
      <c r="O19" s="90"/>
      <c r="Q19" s="90"/>
    </row>
    <row r="20" spans="1:17" ht="12.75" customHeight="1" x14ac:dyDescent="0.2">
      <c r="A20" s="65">
        <f>+MAX($A$7:A19)+1</f>
        <v>12</v>
      </c>
      <c r="B20" s="77" t="s">
        <v>211</v>
      </c>
      <c r="C20" s="77" t="s">
        <v>19</v>
      </c>
      <c r="D20" s="77" t="s">
        <v>14</v>
      </c>
      <c r="E20" s="74">
        <v>2350</v>
      </c>
      <c r="F20" s="75">
        <v>66.955025000000006</v>
      </c>
      <c r="G20" s="45">
        <f t="shared" si="0"/>
        <v>9.2999999999999992E-3</v>
      </c>
      <c r="H20" s="45"/>
      <c r="I20" s="42" t="s">
        <v>357</v>
      </c>
      <c r="J20" s="41"/>
      <c r="K20" s="90" t="s">
        <v>542</v>
      </c>
      <c r="L20" s="103">
        <f t="shared" si="1"/>
        <v>2.64E-2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196</v>
      </c>
      <c r="C21" s="77" t="s">
        <v>45</v>
      </c>
      <c r="D21" s="77" t="s">
        <v>25</v>
      </c>
      <c r="E21" s="74">
        <v>25834</v>
      </c>
      <c r="F21" s="75">
        <v>66.005870000000002</v>
      </c>
      <c r="G21" s="45">
        <f t="shared" si="0"/>
        <v>9.1999999999999998E-3</v>
      </c>
      <c r="H21" s="45"/>
      <c r="I21" s="42" t="s">
        <v>357</v>
      </c>
      <c r="J21" s="41"/>
      <c r="K21" s="90" t="s">
        <v>285</v>
      </c>
      <c r="L21" s="103">
        <f t="shared" si="1"/>
        <v>2.3699999999999999E-2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633</v>
      </c>
      <c r="C22" s="77" t="s">
        <v>634</v>
      </c>
      <c r="D22" s="77" t="s">
        <v>36</v>
      </c>
      <c r="E22" s="74">
        <v>5032</v>
      </c>
      <c r="F22" s="75">
        <v>64.935444000000004</v>
      </c>
      <c r="G22" s="45">
        <f t="shared" si="0"/>
        <v>8.9999999999999993E-3</v>
      </c>
      <c r="H22" s="45"/>
      <c r="I22" s="42" t="s">
        <v>357</v>
      </c>
      <c r="J22" s="41"/>
      <c r="K22" s="14" t="s">
        <v>311</v>
      </c>
      <c r="L22" s="103">
        <f t="shared" si="1"/>
        <v>2.3099999999999999E-2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485</v>
      </c>
      <c r="C23" s="77" t="s">
        <v>486</v>
      </c>
      <c r="D23" s="77" t="s">
        <v>23</v>
      </c>
      <c r="E23" s="74">
        <v>13400</v>
      </c>
      <c r="F23" s="75">
        <v>62.075499999999998</v>
      </c>
      <c r="G23" s="45">
        <f t="shared" si="0"/>
        <v>8.6E-3</v>
      </c>
      <c r="H23" s="45"/>
      <c r="I23" s="42" t="s">
        <v>357</v>
      </c>
      <c r="J23" s="41"/>
      <c r="K23" s="90" t="s">
        <v>101</v>
      </c>
      <c r="L23" s="103">
        <f t="shared" si="1"/>
        <v>2.23E-2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226</v>
      </c>
      <c r="C24" s="77" t="s">
        <v>77</v>
      </c>
      <c r="D24" s="77" t="s">
        <v>25</v>
      </c>
      <c r="E24" s="74">
        <v>1970</v>
      </c>
      <c r="F24" s="75">
        <v>61.654105000000001</v>
      </c>
      <c r="G24" s="45">
        <f t="shared" si="0"/>
        <v>8.6E-3</v>
      </c>
      <c r="H24" s="45"/>
      <c r="I24" s="42" t="s">
        <v>357</v>
      </c>
      <c r="J24" s="41"/>
      <c r="K24" s="90" t="s">
        <v>107</v>
      </c>
      <c r="L24" s="103">
        <f t="shared" si="1"/>
        <v>2.12E-2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248</v>
      </c>
      <c r="C25" s="77" t="s">
        <v>117</v>
      </c>
      <c r="D25" s="77" t="s">
        <v>101</v>
      </c>
      <c r="E25" s="74">
        <v>10400</v>
      </c>
      <c r="F25" s="75">
        <v>59.851999999999997</v>
      </c>
      <c r="G25" s="45">
        <f t="shared" si="0"/>
        <v>8.3000000000000001E-3</v>
      </c>
      <c r="H25" s="45"/>
      <c r="I25" s="42" t="s">
        <v>357</v>
      </c>
      <c r="J25" s="41"/>
      <c r="K25" s="90" t="s">
        <v>27</v>
      </c>
      <c r="L25" s="103">
        <f t="shared" si="1"/>
        <v>1.8599999999999998E-2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242</v>
      </c>
      <c r="C26" s="77" t="s">
        <v>113</v>
      </c>
      <c r="D26" s="77" t="s">
        <v>35</v>
      </c>
      <c r="E26" s="74">
        <v>30000</v>
      </c>
      <c r="F26" s="75">
        <v>57.975000000000001</v>
      </c>
      <c r="G26" s="45">
        <f t="shared" si="0"/>
        <v>8.0999999999999996E-3</v>
      </c>
      <c r="H26" s="45"/>
      <c r="I26" s="42" t="s">
        <v>357</v>
      </c>
      <c r="J26" s="41"/>
      <c r="K26" s="90" t="s">
        <v>349</v>
      </c>
      <c r="L26" s="103">
        <f t="shared" si="1"/>
        <v>1.8200000000000001E-2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243</v>
      </c>
      <c r="C27" s="77" t="s">
        <v>111</v>
      </c>
      <c r="D27" s="77" t="s">
        <v>20</v>
      </c>
      <c r="E27" s="74">
        <v>1506</v>
      </c>
      <c r="F27" s="75">
        <v>53.354568</v>
      </c>
      <c r="G27" s="45">
        <f t="shared" si="0"/>
        <v>7.4000000000000003E-3</v>
      </c>
      <c r="H27" s="45"/>
      <c r="I27" s="42" t="s">
        <v>357</v>
      </c>
      <c r="J27" s="41"/>
      <c r="K27" s="90" t="s">
        <v>31</v>
      </c>
      <c r="L27" s="103">
        <f t="shared" si="1"/>
        <v>1.72E-2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194</v>
      </c>
      <c r="C28" s="77" t="s">
        <v>38</v>
      </c>
      <c r="D28" s="77" t="s">
        <v>20</v>
      </c>
      <c r="E28" s="74">
        <v>1930</v>
      </c>
      <c r="F28" s="75">
        <v>52.972709999999999</v>
      </c>
      <c r="G28" s="45">
        <f t="shared" si="0"/>
        <v>7.4000000000000003E-3</v>
      </c>
      <c r="H28" s="45"/>
      <c r="I28" s="42" t="s">
        <v>357</v>
      </c>
      <c r="J28" s="41"/>
      <c r="K28" s="90" t="s">
        <v>50</v>
      </c>
      <c r="L28" s="103">
        <f t="shared" si="1"/>
        <v>1.4999999999999999E-2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16</v>
      </c>
      <c r="C29" s="77" t="s">
        <v>17</v>
      </c>
      <c r="D29" s="77" t="s">
        <v>10</v>
      </c>
      <c r="E29" s="74">
        <v>20908</v>
      </c>
      <c r="F29" s="75">
        <v>52.249092000000005</v>
      </c>
      <c r="G29" s="45">
        <f t="shared" si="0"/>
        <v>7.3000000000000001E-3</v>
      </c>
      <c r="H29" s="45"/>
      <c r="I29" s="42" t="s">
        <v>357</v>
      </c>
      <c r="J29" s="41"/>
      <c r="K29" s="90" t="s">
        <v>40</v>
      </c>
      <c r="L29" s="103">
        <f t="shared" si="1"/>
        <v>1.47E-2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198</v>
      </c>
      <c r="C30" s="77" t="s">
        <v>47</v>
      </c>
      <c r="D30" s="77" t="s">
        <v>25</v>
      </c>
      <c r="E30" s="74">
        <v>1027</v>
      </c>
      <c r="F30" s="75">
        <v>51.048062000000002</v>
      </c>
      <c r="G30" s="45">
        <f t="shared" si="0"/>
        <v>7.1000000000000004E-3</v>
      </c>
      <c r="H30" s="45"/>
      <c r="I30" s="42" t="s">
        <v>357</v>
      </c>
      <c r="J30" s="41"/>
      <c r="K30" s="90" t="s">
        <v>44</v>
      </c>
      <c r="L30" s="103">
        <f t="shared" si="1"/>
        <v>1.26E-2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190</v>
      </c>
      <c r="C31" s="77" t="s">
        <v>11</v>
      </c>
      <c r="D31" s="77" t="s">
        <v>10</v>
      </c>
      <c r="E31" s="74">
        <v>17966</v>
      </c>
      <c r="F31" s="75">
        <v>50.008360999999994</v>
      </c>
      <c r="G31" s="45">
        <f t="shared" si="0"/>
        <v>7.0000000000000001E-3</v>
      </c>
      <c r="H31" s="45"/>
      <c r="I31" s="42" t="s">
        <v>357</v>
      </c>
      <c r="J31" s="41"/>
      <c r="K31" s="90" t="s">
        <v>590</v>
      </c>
      <c r="L31" s="103">
        <f t="shared" si="1"/>
        <v>1.2200000000000001E-2</v>
      </c>
      <c r="M31" s="36"/>
      <c r="N31" s="14"/>
      <c r="O31" s="14"/>
      <c r="Q31" s="14"/>
    </row>
    <row r="32" spans="1:17" ht="12.75" customHeight="1" x14ac:dyDescent="0.2">
      <c r="A32" s="65">
        <f>+MAX($A$7:A31)+1</f>
        <v>24</v>
      </c>
      <c r="B32" s="77" t="s">
        <v>552</v>
      </c>
      <c r="C32" s="77" t="s">
        <v>553</v>
      </c>
      <c r="D32" s="77" t="s">
        <v>105</v>
      </c>
      <c r="E32" s="74">
        <v>66000</v>
      </c>
      <c r="F32" s="75">
        <v>46.332000000000001</v>
      </c>
      <c r="G32" s="45">
        <f t="shared" si="0"/>
        <v>6.4999999999999997E-3</v>
      </c>
      <c r="H32" s="45"/>
      <c r="I32" s="42" t="s">
        <v>357</v>
      </c>
      <c r="J32" s="41"/>
      <c r="K32" s="90" t="s">
        <v>141</v>
      </c>
      <c r="L32" s="103">
        <f t="shared" si="1"/>
        <v>1.01E-2</v>
      </c>
      <c r="M32" s="36"/>
      <c r="N32" s="14"/>
      <c r="O32" s="14"/>
      <c r="Q32" s="14"/>
    </row>
    <row r="33" spans="1:17" ht="12.75" customHeight="1" x14ac:dyDescent="0.2">
      <c r="A33" s="65">
        <f>+MAX($A$7:A32)+1</f>
        <v>25</v>
      </c>
      <c r="B33" s="77" t="s">
        <v>212</v>
      </c>
      <c r="C33" s="77" t="s">
        <v>28</v>
      </c>
      <c r="D33" s="77" t="s">
        <v>10</v>
      </c>
      <c r="E33" s="74">
        <v>6645</v>
      </c>
      <c r="F33" s="75">
        <v>33.922725</v>
      </c>
      <c r="G33" s="45">
        <f t="shared" si="0"/>
        <v>4.7000000000000002E-3</v>
      </c>
      <c r="H33" s="45"/>
      <c r="I33" s="42" t="s">
        <v>357</v>
      </c>
      <c r="J33" s="41"/>
      <c r="K33" s="90" t="s">
        <v>37</v>
      </c>
      <c r="L33" s="103">
        <f t="shared" si="1"/>
        <v>9.9000000000000008E-3</v>
      </c>
      <c r="M33" s="36"/>
      <c r="N33" s="14"/>
      <c r="O33" s="14"/>
      <c r="Q33" s="14"/>
    </row>
    <row r="34" spans="1:17" ht="12.75" customHeight="1" x14ac:dyDescent="0.2">
      <c r="A34" s="65">
        <f>+MAX($A$7:A33)+1</f>
        <v>26</v>
      </c>
      <c r="B34" s="77" t="s">
        <v>204</v>
      </c>
      <c r="C34" s="77" t="s">
        <v>48</v>
      </c>
      <c r="D34" s="77" t="s">
        <v>20</v>
      </c>
      <c r="E34" s="74">
        <v>378</v>
      </c>
      <c r="F34" s="75">
        <v>33.494958000000004</v>
      </c>
      <c r="G34" s="45">
        <f t="shared" si="0"/>
        <v>4.7000000000000002E-3</v>
      </c>
      <c r="H34" s="45"/>
      <c r="I34" s="42" t="s">
        <v>357</v>
      </c>
      <c r="J34" s="41"/>
      <c r="K34" s="90" t="s">
        <v>36</v>
      </c>
      <c r="L34" s="103">
        <f t="shared" si="1"/>
        <v>8.9999999999999993E-3</v>
      </c>
      <c r="M34" s="36"/>
      <c r="N34" s="14"/>
      <c r="O34" s="14"/>
      <c r="Q34" s="14"/>
    </row>
    <row r="35" spans="1:17" ht="12.75" customHeight="1" x14ac:dyDescent="0.2">
      <c r="A35" s="65">
        <f>+MAX($A$7:A34)+1</f>
        <v>27</v>
      </c>
      <c r="B35" s="77" t="s">
        <v>210</v>
      </c>
      <c r="C35" s="77" t="s">
        <v>60</v>
      </c>
      <c r="D35" s="77" t="s">
        <v>22</v>
      </c>
      <c r="E35" s="74">
        <v>5766</v>
      </c>
      <c r="F35" s="75">
        <v>32.165630999999998</v>
      </c>
      <c r="G35" s="45">
        <f t="shared" si="0"/>
        <v>4.4999999999999997E-3</v>
      </c>
      <c r="H35" s="45"/>
      <c r="I35" s="42" t="s">
        <v>357</v>
      </c>
      <c r="J35" s="41"/>
      <c r="K35" s="90" t="s">
        <v>105</v>
      </c>
      <c r="L35" s="103">
        <f t="shared" si="1"/>
        <v>6.4999999999999997E-3</v>
      </c>
      <c r="M35" s="36"/>
      <c r="N35" s="14"/>
      <c r="O35" s="14"/>
      <c r="Q35" s="14"/>
    </row>
    <row r="36" spans="1:17" ht="12.75" customHeight="1" x14ac:dyDescent="0.2">
      <c r="B36" s="18" t="s">
        <v>84</v>
      </c>
      <c r="C36" s="18"/>
      <c r="D36" s="18"/>
      <c r="E36" s="19"/>
      <c r="F36" s="19">
        <f>SUM(F9:F35)</f>
        <v>1930.6823919999999</v>
      </c>
      <c r="G36" s="20">
        <f>SUM(G9:G35)</f>
        <v>0.26899999999999996</v>
      </c>
      <c r="H36" s="20"/>
      <c r="I36" s="21"/>
      <c r="J36" s="49"/>
      <c r="K36" s="90" t="s">
        <v>167</v>
      </c>
      <c r="L36" s="103">
        <f t="shared" si="1"/>
        <v>1.4E-3</v>
      </c>
    </row>
    <row r="37" spans="1:17" ht="12.75" customHeight="1" x14ac:dyDescent="0.2">
      <c r="F37" s="44"/>
      <c r="G37" s="14"/>
      <c r="H37" s="14"/>
      <c r="I37" s="15"/>
      <c r="K37" s="14" t="s">
        <v>63</v>
      </c>
      <c r="L37" s="48">
        <f>+SUMIFS($G$5:$G$997,$B$5:$B$997,"CBLO / Reverse Repo Investments")+SUMIFS($G$5:$G$997,$B$5:$B$997,"Net Receivable/Payable")</f>
        <v>9.6799999999999997E-2</v>
      </c>
    </row>
    <row r="38" spans="1:17" ht="12.75" customHeight="1" x14ac:dyDescent="0.2">
      <c r="A38" s="46"/>
      <c r="B38" s="16" t="s">
        <v>647</v>
      </c>
      <c r="C38" s="16"/>
      <c r="E38" s="38"/>
      <c r="F38" s="44"/>
      <c r="G38" s="45"/>
      <c r="H38" s="45"/>
      <c r="I38" s="47"/>
      <c r="K38" s="90"/>
      <c r="L38" s="103"/>
      <c r="O38" s="14"/>
    </row>
    <row r="39" spans="1:17" s="65" customFormat="1" ht="12.75" customHeight="1" x14ac:dyDescent="0.2">
      <c r="A39" s="65">
        <f>+MAX($A$7:A38)+1</f>
        <v>28</v>
      </c>
      <c r="B39" s="77" t="s">
        <v>197</v>
      </c>
      <c r="C39" s="77" t="s">
        <v>43</v>
      </c>
      <c r="D39" s="77" t="s">
        <v>23</v>
      </c>
      <c r="E39" s="74">
        <v>102000</v>
      </c>
      <c r="F39" s="75">
        <v>520.35299999999995</v>
      </c>
      <c r="G39" s="76">
        <f>+ROUND(F39/VLOOKUP("Grand Total",$B$4:$F$304,5,0),4)</f>
        <v>7.2499999999999995E-2</v>
      </c>
      <c r="H39" s="76"/>
      <c r="I39" s="91" t="s">
        <v>357</v>
      </c>
      <c r="J39" s="101"/>
      <c r="K39" s="90"/>
      <c r="L39" s="103"/>
      <c r="M39" s="84"/>
      <c r="N39" s="90"/>
      <c r="O39" s="90"/>
      <c r="Q39" s="90"/>
    </row>
    <row r="40" spans="1:17" s="65" customFormat="1" ht="12.75" customHeight="1" x14ac:dyDescent="0.2">
      <c r="A40" s="77"/>
      <c r="B40" s="77" t="s">
        <v>197</v>
      </c>
      <c r="C40" s="121" t="s">
        <v>616</v>
      </c>
      <c r="D40" s="77" t="s">
        <v>314</v>
      </c>
      <c r="E40" s="74">
        <v>-102000</v>
      </c>
      <c r="F40" s="75">
        <v>-523.51499999999999</v>
      </c>
      <c r="G40" s="76"/>
      <c r="H40" s="76">
        <f>+ROUND(F40/VLOOKUP("Grand Total",$B$4:$F$304,5,0),4)</f>
        <v>-7.2900000000000006E-2</v>
      </c>
      <c r="I40" s="104">
        <v>43216</v>
      </c>
      <c r="J40" s="101"/>
      <c r="K40" s="90"/>
      <c r="L40" s="103"/>
      <c r="M40" s="54"/>
      <c r="N40" s="90"/>
      <c r="O40" s="90"/>
      <c r="Q40" s="90"/>
    </row>
    <row r="41" spans="1:17" s="65" customFormat="1" ht="12.75" customHeight="1" x14ac:dyDescent="0.2">
      <c r="A41" s="65">
        <f>+MAX($A$7:A40)+1</f>
        <v>29</v>
      </c>
      <c r="B41" s="77" t="s">
        <v>606</v>
      </c>
      <c r="C41" s="77" t="s">
        <v>607</v>
      </c>
      <c r="D41" s="77" t="s">
        <v>35</v>
      </c>
      <c r="E41" s="74">
        <v>28050</v>
      </c>
      <c r="F41" s="75">
        <v>271.01909999999998</v>
      </c>
      <c r="G41" s="76">
        <f>+ROUND(F41/VLOOKUP("Grand Total",$B$4:$F$304,5,0),4)</f>
        <v>3.78E-2</v>
      </c>
      <c r="H41" s="76"/>
      <c r="I41" s="91" t="s">
        <v>357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77"/>
      <c r="B42" s="77" t="s">
        <v>606</v>
      </c>
      <c r="C42" s="121" t="s">
        <v>616</v>
      </c>
      <c r="D42" s="77" t="s">
        <v>314</v>
      </c>
      <c r="E42" s="74">
        <v>-28050</v>
      </c>
      <c r="F42" s="75">
        <v>-271.98682500000001</v>
      </c>
      <c r="G42" s="76"/>
      <c r="H42" s="76">
        <f>+ROUND(F42/VLOOKUP("Grand Total",$B$4:$F$304,5,0),4)</f>
        <v>-3.7900000000000003E-2</v>
      </c>
      <c r="I42" s="104">
        <v>43216</v>
      </c>
      <c r="J42" s="101"/>
      <c r="K42" s="90"/>
      <c r="L42" s="103"/>
      <c r="M42" s="54"/>
      <c r="N42" s="90"/>
      <c r="O42" s="90"/>
      <c r="Q42" s="90"/>
    </row>
    <row r="43" spans="1:17" s="65" customFormat="1" ht="12.75" customHeight="1" x14ac:dyDescent="0.2">
      <c r="A43" s="65">
        <f>+MAX($A$7:A42)+1</f>
        <v>30</v>
      </c>
      <c r="B43" s="77" t="s">
        <v>195</v>
      </c>
      <c r="C43" s="77" t="s">
        <v>34</v>
      </c>
      <c r="D43" s="77" t="s">
        <v>18</v>
      </c>
      <c r="E43" s="74">
        <v>22000</v>
      </c>
      <c r="F43" s="75">
        <v>251.37200000000001</v>
      </c>
      <c r="G43" s="76">
        <f>+ROUND(F43/VLOOKUP("Grand Total",$B$4:$F$304,5,0),4)</f>
        <v>3.5000000000000003E-2</v>
      </c>
      <c r="H43" s="76"/>
      <c r="I43" s="91" t="s">
        <v>357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77"/>
      <c r="B44" s="77" t="s">
        <v>195</v>
      </c>
      <c r="C44" s="121" t="s">
        <v>616</v>
      </c>
      <c r="D44" s="77" t="s">
        <v>314</v>
      </c>
      <c r="E44" s="74">
        <v>-22000</v>
      </c>
      <c r="F44" s="75">
        <v>-252.197</v>
      </c>
      <c r="G44" s="76"/>
      <c r="H44" s="76">
        <f>+ROUND(F44/VLOOKUP("Grand Total",$B$4:$F$304,5,0),4)</f>
        <v>-3.5099999999999999E-2</v>
      </c>
      <c r="I44" s="104">
        <v>43216</v>
      </c>
      <c r="J44" s="101"/>
      <c r="K44" s="90"/>
      <c r="L44" s="103"/>
      <c r="M44" s="54"/>
      <c r="N44" s="90"/>
      <c r="O44" s="90"/>
      <c r="Q44" s="90"/>
    </row>
    <row r="45" spans="1:17" s="65" customFormat="1" ht="12.75" customHeight="1" x14ac:dyDescent="0.2">
      <c r="A45" s="65">
        <f>+MAX($A$7:A44)+1</f>
        <v>31</v>
      </c>
      <c r="B45" s="77" t="s">
        <v>209</v>
      </c>
      <c r="C45" s="77" t="s">
        <v>64</v>
      </c>
      <c r="D45" s="77" t="s">
        <v>33</v>
      </c>
      <c r="E45" s="74">
        <v>56100</v>
      </c>
      <c r="F45" s="75">
        <v>223.67070000000001</v>
      </c>
      <c r="G45" s="76">
        <f>+ROUND(F45/VLOOKUP("Grand Total",$B$4:$F$304,5,0),4)</f>
        <v>3.1199999999999999E-2</v>
      </c>
      <c r="H45" s="76"/>
      <c r="I45" s="91" t="s">
        <v>357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77"/>
      <c r="B46" s="77" t="s">
        <v>209</v>
      </c>
      <c r="C46" s="121" t="s">
        <v>616</v>
      </c>
      <c r="D46" s="77" t="s">
        <v>314</v>
      </c>
      <c r="E46" s="74">
        <v>-56100</v>
      </c>
      <c r="F46" s="75">
        <v>-224.42805000000001</v>
      </c>
      <c r="G46" s="76"/>
      <c r="H46" s="76">
        <f>+ROUND(F46/VLOOKUP("Grand Total",$B$4:$F$304,5,0),4)</f>
        <v>-3.1300000000000001E-2</v>
      </c>
      <c r="I46" s="104">
        <v>43216</v>
      </c>
      <c r="J46" s="101"/>
      <c r="K46" s="90"/>
      <c r="L46" s="103"/>
      <c r="M46" s="54"/>
      <c r="N46" s="90"/>
      <c r="O46" s="90"/>
      <c r="Q46" s="90"/>
    </row>
    <row r="47" spans="1:17" s="65" customFormat="1" ht="12.75" customHeight="1" x14ac:dyDescent="0.2">
      <c r="A47" s="65">
        <f>+MAX($A$7:A46)+1</f>
        <v>32</v>
      </c>
      <c r="B47" s="77" t="s">
        <v>331</v>
      </c>
      <c r="C47" s="77" t="s">
        <v>332</v>
      </c>
      <c r="D47" s="77" t="s">
        <v>20</v>
      </c>
      <c r="E47" s="74">
        <v>133000</v>
      </c>
      <c r="F47" s="75">
        <v>193.4485</v>
      </c>
      <c r="G47" s="76">
        <f>+ROUND(F47/VLOOKUP("Grand Total",$B$4:$F$304,5,0),4)</f>
        <v>2.7E-2</v>
      </c>
      <c r="H47" s="76"/>
      <c r="I47" s="91" t="s">
        <v>357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77"/>
      <c r="B48" s="77" t="s">
        <v>331</v>
      </c>
      <c r="C48" s="121" t="s">
        <v>616</v>
      </c>
      <c r="D48" s="77" t="s">
        <v>314</v>
      </c>
      <c r="E48" s="74">
        <v>-133000</v>
      </c>
      <c r="F48" s="75">
        <v>-193.91399999999999</v>
      </c>
      <c r="G48" s="76"/>
      <c r="H48" s="76">
        <f>+ROUND(F48/VLOOKUP("Grand Total",$B$4:$F$304,5,0),4)</f>
        <v>-2.7E-2</v>
      </c>
      <c r="I48" s="104">
        <v>43216</v>
      </c>
      <c r="J48" s="101"/>
      <c r="K48" s="90"/>
      <c r="L48" s="103"/>
      <c r="M48" s="54"/>
      <c r="N48" s="90"/>
      <c r="O48" s="90"/>
      <c r="Q48" s="90"/>
    </row>
    <row r="49" spans="1:17" s="65" customFormat="1" ht="12.75" customHeight="1" x14ac:dyDescent="0.2">
      <c r="A49" s="65">
        <f>+MAX($A$7:A48)+1</f>
        <v>33</v>
      </c>
      <c r="B49" s="77" t="s">
        <v>204</v>
      </c>
      <c r="C49" s="77" t="s">
        <v>48</v>
      </c>
      <c r="D49" s="77" t="s">
        <v>20</v>
      </c>
      <c r="E49" s="74">
        <v>1875</v>
      </c>
      <c r="F49" s="75">
        <v>166.145625</v>
      </c>
      <c r="G49" s="76">
        <f>+ROUND(F49/VLOOKUP("Grand Total",$B$4:$F$304,5,0),4)</f>
        <v>2.3199999999999998E-2</v>
      </c>
      <c r="H49" s="76"/>
      <c r="I49" s="91" t="s">
        <v>357</v>
      </c>
      <c r="J49" s="101"/>
      <c r="K49" s="90"/>
      <c r="L49" s="103"/>
      <c r="M49" s="84"/>
      <c r="N49" s="90"/>
      <c r="O49" s="90"/>
      <c r="Q49" s="90"/>
    </row>
    <row r="50" spans="1:17" s="65" customFormat="1" ht="12.75" customHeight="1" x14ac:dyDescent="0.2">
      <c r="A50" s="77"/>
      <c r="B50" s="77" t="s">
        <v>204</v>
      </c>
      <c r="C50" s="121" t="s">
        <v>616</v>
      </c>
      <c r="D50" s="77" t="s">
        <v>314</v>
      </c>
      <c r="E50" s="74">
        <v>-1875</v>
      </c>
      <c r="F50" s="75">
        <v>-166.9725</v>
      </c>
      <c r="G50" s="76"/>
      <c r="H50" s="76">
        <f>+ROUND(F50/VLOOKUP("Grand Total",$B$4:$F$304,5,0),4)</f>
        <v>-2.3300000000000001E-2</v>
      </c>
      <c r="I50" s="104">
        <v>43216</v>
      </c>
      <c r="J50" s="101"/>
      <c r="K50" s="90"/>
      <c r="L50" s="103"/>
      <c r="M50" s="54"/>
      <c r="N50" s="90"/>
      <c r="O50" s="90"/>
      <c r="Q50" s="90"/>
    </row>
    <row r="51" spans="1:17" s="65" customFormat="1" ht="12.75" customHeight="1" x14ac:dyDescent="0.2">
      <c r="A51" s="65">
        <f>+MAX($A$7:A50)+1</f>
        <v>34</v>
      </c>
      <c r="B51" s="77" t="s">
        <v>382</v>
      </c>
      <c r="C51" s="77" t="s">
        <v>127</v>
      </c>
      <c r="D51" s="77" t="s">
        <v>20</v>
      </c>
      <c r="E51" s="74">
        <v>82500</v>
      </c>
      <c r="F51" s="75">
        <v>151.2225</v>
      </c>
      <c r="G51" s="76">
        <f>+ROUND(F51/VLOOKUP("Grand Total",$B$4:$F$304,5,0),4)</f>
        <v>2.1100000000000001E-2</v>
      </c>
      <c r="H51" s="76"/>
      <c r="I51" s="91" t="s">
        <v>357</v>
      </c>
      <c r="J51" s="101"/>
      <c r="K51" s="90"/>
      <c r="L51" s="103"/>
      <c r="M51" s="84"/>
      <c r="N51" s="90"/>
      <c r="O51" s="90"/>
      <c r="Q51" s="90"/>
    </row>
    <row r="52" spans="1:17" s="65" customFormat="1" ht="12.75" customHeight="1" x14ac:dyDescent="0.2">
      <c r="A52" s="77"/>
      <c r="B52" s="77" t="s">
        <v>382</v>
      </c>
      <c r="C52" s="121" t="s">
        <v>616</v>
      </c>
      <c r="D52" s="77" t="s">
        <v>314</v>
      </c>
      <c r="E52" s="74">
        <v>-82500</v>
      </c>
      <c r="F52" s="75">
        <v>-151.92375000000001</v>
      </c>
      <c r="G52" s="76"/>
      <c r="H52" s="76">
        <f>+ROUND(F52/VLOOKUP("Grand Total",$B$4:$F$304,5,0),4)</f>
        <v>-2.12E-2</v>
      </c>
      <c r="I52" s="104">
        <v>43216</v>
      </c>
      <c r="J52" s="101"/>
      <c r="K52" s="90"/>
      <c r="L52" s="103"/>
      <c r="M52" s="54"/>
      <c r="N52" s="90"/>
      <c r="O52" s="90"/>
      <c r="Q52" s="90"/>
    </row>
    <row r="53" spans="1:17" s="65" customFormat="1" ht="12.75" customHeight="1" x14ac:dyDescent="0.2">
      <c r="A53" s="65">
        <f>+MAX($A$7:A52)+1</f>
        <v>35</v>
      </c>
      <c r="B53" s="77" t="s">
        <v>201</v>
      </c>
      <c r="C53" s="77" t="s">
        <v>51</v>
      </c>
      <c r="D53" s="77" t="s">
        <v>40</v>
      </c>
      <c r="E53" s="74">
        <v>99000</v>
      </c>
      <c r="F53" s="75">
        <v>105.38549999999999</v>
      </c>
      <c r="G53" s="76">
        <f>+ROUND(F53/VLOOKUP("Grand Total",$B$4:$F$304,5,0),4)</f>
        <v>1.47E-2</v>
      </c>
      <c r="H53" s="76"/>
      <c r="I53" s="91" t="s">
        <v>357</v>
      </c>
      <c r="J53" s="101"/>
      <c r="K53" s="90"/>
      <c r="L53" s="103"/>
      <c r="M53" s="84"/>
      <c r="N53" s="90"/>
      <c r="O53" s="90"/>
      <c r="Q53" s="90"/>
    </row>
    <row r="54" spans="1:17" s="65" customFormat="1" ht="12.75" customHeight="1" x14ac:dyDescent="0.2">
      <c r="A54" s="77"/>
      <c r="B54" s="77" t="s">
        <v>201</v>
      </c>
      <c r="C54" s="121" t="s">
        <v>616</v>
      </c>
      <c r="D54" s="77" t="s">
        <v>314</v>
      </c>
      <c r="E54" s="74">
        <v>-99000</v>
      </c>
      <c r="F54" s="75">
        <v>-106.029</v>
      </c>
      <c r="G54" s="76"/>
      <c r="H54" s="76">
        <f>+ROUND(F54/VLOOKUP("Grand Total",$B$4:$F$304,5,0),4)</f>
        <v>-1.4800000000000001E-2</v>
      </c>
      <c r="I54" s="104">
        <v>43216</v>
      </c>
      <c r="J54" s="101"/>
      <c r="K54" s="90"/>
      <c r="L54" s="103"/>
      <c r="M54" s="54"/>
      <c r="N54" s="90"/>
      <c r="O54" s="90"/>
      <c r="Q54" s="90"/>
    </row>
    <row r="55" spans="1:17" s="65" customFormat="1" ht="12.75" customHeight="1" x14ac:dyDescent="0.2">
      <c r="A55" s="65">
        <f>+MAX($A$7:A54)+1</f>
        <v>36</v>
      </c>
      <c r="B55" s="77" t="s">
        <v>237</v>
      </c>
      <c r="C55" s="77" t="s">
        <v>103</v>
      </c>
      <c r="D55" s="77" t="s">
        <v>22</v>
      </c>
      <c r="E55" s="74">
        <v>13200</v>
      </c>
      <c r="F55" s="75">
        <v>97.132199999999997</v>
      </c>
      <c r="G55" s="76">
        <f>+ROUND(F55/VLOOKUP("Grand Total",$B$4:$F$304,5,0),4)</f>
        <v>1.35E-2</v>
      </c>
      <c r="H55" s="76"/>
      <c r="I55" s="91" t="s">
        <v>357</v>
      </c>
      <c r="J55" s="101"/>
      <c r="K55" s="90"/>
      <c r="L55" s="103"/>
      <c r="M55" s="84"/>
      <c r="N55" s="90"/>
      <c r="O55" s="90"/>
      <c r="Q55" s="90"/>
    </row>
    <row r="56" spans="1:17" s="65" customFormat="1" ht="12.75" customHeight="1" x14ac:dyDescent="0.2">
      <c r="A56" s="77"/>
      <c r="B56" s="77" t="s">
        <v>237</v>
      </c>
      <c r="C56" s="121" t="s">
        <v>616</v>
      </c>
      <c r="D56" s="77" t="s">
        <v>314</v>
      </c>
      <c r="E56" s="74">
        <v>-13200</v>
      </c>
      <c r="F56" s="75">
        <v>-97.68</v>
      </c>
      <c r="G56" s="76"/>
      <c r="H56" s="76">
        <f>+ROUND(F56/VLOOKUP("Grand Total",$B$4:$F$304,5,0),4)</f>
        <v>-1.3599999999999999E-2</v>
      </c>
      <c r="I56" s="104">
        <v>43216</v>
      </c>
      <c r="J56" s="101"/>
      <c r="K56" s="90"/>
      <c r="L56" s="103"/>
      <c r="M56" s="54"/>
      <c r="N56" s="90"/>
      <c r="O56" s="90"/>
      <c r="Q56" s="90"/>
    </row>
    <row r="57" spans="1:17" s="65" customFormat="1" ht="12.75" customHeight="1" x14ac:dyDescent="0.2">
      <c r="A57" s="65">
        <f>+MAX($A$7:A56)+1</f>
        <v>37</v>
      </c>
      <c r="B57" s="77" t="s">
        <v>254</v>
      </c>
      <c r="C57" s="77" t="s">
        <v>122</v>
      </c>
      <c r="D57" s="77" t="s">
        <v>44</v>
      </c>
      <c r="E57" s="74">
        <v>42000</v>
      </c>
      <c r="F57" s="75">
        <v>90.111000000000004</v>
      </c>
      <c r="G57" s="76">
        <f>+ROUND(F57/VLOOKUP("Grand Total",$B$4:$F$304,5,0),4)</f>
        <v>1.26E-2</v>
      </c>
      <c r="H57" s="76"/>
      <c r="I57" s="91" t="s">
        <v>357</v>
      </c>
      <c r="J57" s="101"/>
      <c r="K57" s="90"/>
      <c r="L57" s="103"/>
      <c r="M57" s="84"/>
      <c r="N57" s="90"/>
      <c r="O57" s="90"/>
      <c r="Q57" s="90"/>
    </row>
    <row r="58" spans="1:17" s="65" customFormat="1" ht="12.75" customHeight="1" x14ac:dyDescent="0.2">
      <c r="A58" s="77"/>
      <c r="B58" s="77" t="s">
        <v>254</v>
      </c>
      <c r="C58" s="121" t="s">
        <v>616</v>
      </c>
      <c r="D58" s="77" t="s">
        <v>314</v>
      </c>
      <c r="E58" s="74">
        <v>-42000</v>
      </c>
      <c r="F58" s="75">
        <v>-90.153000000000006</v>
      </c>
      <c r="G58" s="76"/>
      <c r="H58" s="76">
        <f>+ROUND(F58/VLOOKUP("Grand Total",$B$4:$F$304,5,0),4)</f>
        <v>-1.26E-2</v>
      </c>
      <c r="I58" s="104">
        <v>43216</v>
      </c>
      <c r="J58" s="101"/>
      <c r="K58" s="90"/>
      <c r="L58" s="103"/>
      <c r="M58" s="54"/>
      <c r="N58" s="90"/>
      <c r="O58" s="90"/>
      <c r="Q58" s="90"/>
    </row>
    <row r="59" spans="1:17" s="65" customFormat="1" ht="12.75" customHeight="1" x14ac:dyDescent="0.2">
      <c r="A59" s="65">
        <f>+MAX($A$7:A58)+1</f>
        <v>38</v>
      </c>
      <c r="B59" s="77" t="s">
        <v>39</v>
      </c>
      <c r="C59" s="77" t="s">
        <v>41</v>
      </c>
      <c r="D59" s="77" t="s">
        <v>10</v>
      </c>
      <c r="E59" s="74">
        <v>56000</v>
      </c>
      <c r="F59" s="75">
        <v>79.688000000000002</v>
      </c>
      <c r="G59" s="76">
        <f>+ROUND(F59/VLOOKUP("Grand Total",$B$4:$F$304,5,0),4)</f>
        <v>1.11E-2</v>
      </c>
      <c r="H59" s="76"/>
      <c r="I59" s="91" t="s">
        <v>357</v>
      </c>
      <c r="J59" s="101"/>
      <c r="K59" s="90"/>
      <c r="L59" s="103"/>
      <c r="M59" s="84"/>
      <c r="N59" s="90"/>
      <c r="O59" s="90"/>
      <c r="Q59" s="90"/>
    </row>
    <row r="60" spans="1:17" s="65" customFormat="1" ht="12.75" customHeight="1" x14ac:dyDescent="0.2">
      <c r="A60" s="77"/>
      <c r="B60" s="77" t="s">
        <v>39</v>
      </c>
      <c r="C60" s="121" t="s">
        <v>616</v>
      </c>
      <c r="D60" s="77" t="s">
        <v>314</v>
      </c>
      <c r="E60" s="74">
        <v>-56000</v>
      </c>
      <c r="F60" s="75">
        <v>-79.884</v>
      </c>
      <c r="G60" s="76"/>
      <c r="H60" s="76">
        <f>+ROUND(F60/VLOOKUP("Grand Total",$B$4:$F$304,5,0),4)</f>
        <v>-1.11E-2</v>
      </c>
      <c r="I60" s="104">
        <v>43216</v>
      </c>
      <c r="J60" s="101"/>
      <c r="K60" s="90"/>
      <c r="L60" s="103"/>
      <c r="M60" s="54"/>
      <c r="N60" s="90"/>
      <c r="O60" s="90"/>
      <c r="Q60" s="90"/>
    </row>
    <row r="61" spans="1:17" s="65" customFormat="1" ht="12.75" customHeight="1" x14ac:dyDescent="0.2">
      <c r="A61" s="65">
        <f>+MAX($A$7:A60)+1</f>
        <v>39</v>
      </c>
      <c r="B61" s="77" t="s">
        <v>16</v>
      </c>
      <c r="C61" s="77" t="s">
        <v>17</v>
      </c>
      <c r="D61" s="77" t="s">
        <v>10</v>
      </c>
      <c r="E61" s="74">
        <v>30000</v>
      </c>
      <c r="F61" s="75">
        <v>74.97</v>
      </c>
      <c r="G61" s="76">
        <f>+ROUND(F61/VLOOKUP("Grand Total",$B$4:$F$304,5,0),4)</f>
        <v>1.04E-2</v>
      </c>
      <c r="H61" s="76"/>
      <c r="I61" s="91" t="s">
        <v>357</v>
      </c>
      <c r="J61" s="101"/>
      <c r="K61" s="90"/>
      <c r="L61" s="103"/>
      <c r="M61" s="84"/>
      <c r="N61" s="90"/>
      <c r="O61" s="90"/>
      <c r="Q61" s="90"/>
    </row>
    <row r="62" spans="1:17" s="65" customFormat="1" ht="12.75" customHeight="1" x14ac:dyDescent="0.2">
      <c r="A62" s="77"/>
      <c r="B62" s="77" t="s">
        <v>16</v>
      </c>
      <c r="C62" s="121" t="s">
        <v>616</v>
      </c>
      <c r="D62" s="77" t="s">
        <v>314</v>
      </c>
      <c r="E62" s="74">
        <v>-30000</v>
      </c>
      <c r="F62" s="75">
        <v>-75.36</v>
      </c>
      <c r="G62" s="76"/>
      <c r="H62" s="76">
        <f>+ROUND(F62/VLOOKUP("Grand Total",$B$4:$F$304,5,0),4)</f>
        <v>-1.0500000000000001E-2</v>
      </c>
      <c r="I62" s="104">
        <v>43216</v>
      </c>
      <c r="J62" s="101"/>
      <c r="K62" s="90"/>
      <c r="L62" s="103"/>
      <c r="M62" s="54"/>
      <c r="N62" s="90"/>
      <c r="O62" s="90"/>
      <c r="Q62" s="90"/>
    </row>
    <row r="63" spans="1:17" s="65" customFormat="1" ht="12.75" customHeight="1" x14ac:dyDescent="0.2">
      <c r="A63" s="65">
        <f>+MAX($A$7:A62)+1</f>
        <v>40</v>
      </c>
      <c r="B63" s="77" t="s">
        <v>239</v>
      </c>
      <c r="C63" s="77" t="s">
        <v>108</v>
      </c>
      <c r="D63" s="77" t="s">
        <v>22</v>
      </c>
      <c r="E63" s="74">
        <v>3500</v>
      </c>
      <c r="F63" s="75">
        <v>72.819249999999997</v>
      </c>
      <c r="G63" s="76">
        <f>+ROUND(F63/VLOOKUP("Grand Total",$B$4:$F$304,5,0),4)</f>
        <v>1.01E-2</v>
      </c>
      <c r="H63" s="76"/>
      <c r="I63" s="91" t="s">
        <v>357</v>
      </c>
      <c r="J63" s="101"/>
      <c r="K63" s="90"/>
      <c r="L63" s="103"/>
      <c r="M63" s="84"/>
      <c r="N63" s="90"/>
      <c r="O63" s="90"/>
      <c r="Q63" s="90"/>
    </row>
    <row r="64" spans="1:17" s="65" customFormat="1" ht="12.75" customHeight="1" x14ac:dyDescent="0.2">
      <c r="A64" s="77"/>
      <c r="B64" s="77" t="s">
        <v>239</v>
      </c>
      <c r="C64" s="121" t="s">
        <v>616</v>
      </c>
      <c r="D64" s="77" t="s">
        <v>314</v>
      </c>
      <c r="E64" s="74">
        <v>-3500</v>
      </c>
      <c r="F64" s="75">
        <v>-73.254999999999995</v>
      </c>
      <c r="G64" s="76"/>
      <c r="H64" s="76">
        <f>+ROUND(F64/VLOOKUP("Grand Total",$B$4:$F$304,5,0),4)</f>
        <v>-1.0200000000000001E-2</v>
      </c>
      <c r="I64" s="104">
        <v>43216</v>
      </c>
      <c r="J64" s="101"/>
      <c r="K64" s="90"/>
      <c r="L64" s="103"/>
      <c r="M64" s="54"/>
      <c r="N64" s="90"/>
      <c r="O64" s="90"/>
      <c r="Q64" s="90"/>
    </row>
    <row r="65" spans="1:17" s="65" customFormat="1" ht="12.75" customHeight="1" x14ac:dyDescent="0.2">
      <c r="A65" s="65">
        <f>+MAX($A$7:A64)+1</f>
        <v>41</v>
      </c>
      <c r="B65" s="77" t="s">
        <v>271</v>
      </c>
      <c r="C65" s="77" t="s">
        <v>151</v>
      </c>
      <c r="D65" s="77" t="s">
        <v>141</v>
      </c>
      <c r="E65" s="74">
        <v>9900</v>
      </c>
      <c r="F65" s="75">
        <v>72.265050000000002</v>
      </c>
      <c r="G65" s="76">
        <f>+ROUND(F65/VLOOKUP("Grand Total",$B$4:$F$304,5,0),4)</f>
        <v>1.01E-2</v>
      </c>
      <c r="H65" s="76"/>
      <c r="I65" s="91" t="s">
        <v>357</v>
      </c>
      <c r="J65" s="101"/>
      <c r="K65" s="90"/>
      <c r="L65" s="103"/>
      <c r="M65" s="84"/>
      <c r="N65" s="90"/>
      <c r="O65" s="90"/>
      <c r="Q65" s="90"/>
    </row>
    <row r="66" spans="1:17" s="65" customFormat="1" ht="12.75" customHeight="1" x14ac:dyDescent="0.2">
      <c r="A66" s="77"/>
      <c r="B66" s="77" t="s">
        <v>271</v>
      </c>
      <c r="C66" s="121" t="s">
        <v>616</v>
      </c>
      <c r="D66" s="77" t="s">
        <v>314</v>
      </c>
      <c r="E66" s="74">
        <v>-9900</v>
      </c>
      <c r="F66" s="75">
        <v>-72.700649999999996</v>
      </c>
      <c r="G66" s="76"/>
      <c r="H66" s="76">
        <f>+ROUND(F66/VLOOKUP("Grand Total",$B$4:$F$304,5,0),4)</f>
        <v>-1.01E-2</v>
      </c>
      <c r="I66" s="104">
        <v>43216</v>
      </c>
      <c r="J66" s="101"/>
      <c r="K66" s="90"/>
      <c r="L66" s="103"/>
      <c r="M66" s="54"/>
      <c r="N66" s="90"/>
      <c r="O66" s="90"/>
      <c r="Q66" s="90"/>
    </row>
    <row r="67" spans="1:17" s="65" customFormat="1" ht="12.75" customHeight="1" x14ac:dyDescent="0.2">
      <c r="A67" s="65">
        <f>+MAX($A$7:A66)+1</f>
        <v>42</v>
      </c>
      <c r="B67" s="77" t="s">
        <v>288</v>
      </c>
      <c r="C67" s="77" t="s">
        <v>175</v>
      </c>
      <c r="D67" s="77" t="s">
        <v>35</v>
      </c>
      <c r="E67" s="74">
        <v>16900</v>
      </c>
      <c r="F67" s="75">
        <v>72.247500000000002</v>
      </c>
      <c r="G67" s="76">
        <f>+ROUND(F67/VLOOKUP("Grand Total",$B$4:$F$304,5,0),4)</f>
        <v>1.01E-2</v>
      </c>
      <c r="H67" s="76"/>
      <c r="I67" s="91" t="s">
        <v>357</v>
      </c>
      <c r="J67" s="101"/>
      <c r="K67" s="90"/>
      <c r="L67" s="103"/>
      <c r="M67" s="84"/>
      <c r="N67" s="90"/>
      <c r="O67" s="90"/>
      <c r="Q67" s="90"/>
    </row>
    <row r="68" spans="1:17" s="65" customFormat="1" ht="12.75" customHeight="1" x14ac:dyDescent="0.2">
      <c r="A68" s="77"/>
      <c r="B68" s="77" t="s">
        <v>288</v>
      </c>
      <c r="C68" s="121" t="s">
        <v>616</v>
      </c>
      <c r="D68" s="77" t="s">
        <v>314</v>
      </c>
      <c r="E68" s="74">
        <v>-16900</v>
      </c>
      <c r="F68" s="75">
        <v>-72.289749999999998</v>
      </c>
      <c r="G68" s="76"/>
      <c r="H68" s="76">
        <f>+ROUND(F68/VLOOKUP("Grand Total",$B$4:$F$304,5,0),4)</f>
        <v>-1.01E-2</v>
      </c>
      <c r="I68" s="104">
        <v>43216</v>
      </c>
      <c r="J68" s="101"/>
      <c r="K68" s="90"/>
      <c r="L68" s="103"/>
      <c r="M68" s="54"/>
      <c r="N68" s="90"/>
      <c r="O68" s="90"/>
      <c r="Q68" s="90"/>
    </row>
    <row r="69" spans="1:17" s="65" customFormat="1" ht="12.75" customHeight="1" x14ac:dyDescent="0.2">
      <c r="A69" s="65">
        <f>+MAX($A$7:A68)+1</f>
        <v>43</v>
      </c>
      <c r="B69" s="77" t="s">
        <v>289</v>
      </c>
      <c r="C69" s="77" t="s">
        <v>174</v>
      </c>
      <c r="D69" s="77" t="s">
        <v>37</v>
      </c>
      <c r="E69" s="74">
        <v>32000</v>
      </c>
      <c r="F69" s="75">
        <v>71.311999999999998</v>
      </c>
      <c r="G69" s="76">
        <f>+ROUND(F69/VLOOKUP("Grand Total",$B$4:$F$304,5,0),4)</f>
        <v>9.9000000000000008E-3</v>
      </c>
      <c r="H69" s="76"/>
      <c r="I69" s="91" t="s">
        <v>357</v>
      </c>
      <c r="J69" s="101"/>
      <c r="K69" s="90"/>
      <c r="L69" s="103"/>
      <c r="M69" s="84"/>
      <c r="N69" s="90"/>
      <c r="O69" s="90"/>
      <c r="Q69" s="90"/>
    </row>
    <row r="70" spans="1:17" s="65" customFormat="1" ht="12.75" customHeight="1" x14ac:dyDescent="0.2">
      <c r="A70" s="77"/>
      <c r="B70" s="77" t="s">
        <v>289</v>
      </c>
      <c r="C70" s="121" t="s">
        <v>616</v>
      </c>
      <c r="D70" s="77" t="s">
        <v>314</v>
      </c>
      <c r="E70" s="74">
        <v>-32000</v>
      </c>
      <c r="F70" s="75">
        <v>-71.376000000000005</v>
      </c>
      <c r="G70" s="76"/>
      <c r="H70" s="76">
        <f>+ROUND(F70/VLOOKUP("Grand Total",$B$4:$F$304,5,0),4)</f>
        <v>-9.9000000000000008E-3</v>
      </c>
      <c r="I70" s="104">
        <v>43216</v>
      </c>
      <c r="J70" s="101"/>
      <c r="K70" s="90"/>
      <c r="L70" s="103"/>
      <c r="M70" s="54"/>
      <c r="N70" s="90"/>
      <c r="O70" s="90"/>
      <c r="Q70" s="90"/>
    </row>
    <row r="71" spans="1:17" s="65" customFormat="1" ht="12.75" customHeight="1" x14ac:dyDescent="0.2">
      <c r="A71" s="65">
        <f>+MAX($A$7:A70)+1</f>
        <v>44</v>
      </c>
      <c r="B71" s="77" t="s">
        <v>507</v>
      </c>
      <c r="C71" s="77" t="s">
        <v>508</v>
      </c>
      <c r="D71" s="77" t="s">
        <v>25</v>
      </c>
      <c r="E71" s="74">
        <v>91000</v>
      </c>
      <c r="F71" s="75">
        <v>68.841499999999996</v>
      </c>
      <c r="G71" s="76">
        <f>+ROUND(F71/VLOOKUP("Grand Total",$B$4:$F$304,5,0),4)</f>
        <v>9.5999999999999992E-3</v>
      </c>
      <c r="H71" s="76"/>
      <c r="I71" s="91" t="s">
        <v>357</v>
      </c>
      <c r="J71" s="101"/>
      <c r="K71" s="90"/>
      <c r="L71" s="103"/>
      <c r="M71" s="84"/>
      <c r="N71" s="90"/>
      <c r="O71" s="90"/>
      <c r="Q71" s="90"/>
    </row>
    <row r="72" spans="1:17" s="65" customFormat="1" ht="12.75" customHeight="1" x14ac:dyDescent="0.2">
      <c r="A72" s="77"/>
      <c r="B72" s="77" t="s">
        <v>507</v>
      </c>
      <c r="C72" s="121" t="s">
        <v>616</v>
      </c>
      <c r="D72" s="77" t="s">
        <v>314</v>
      </c>
      <c r="E72" s="74">
        <v>-91000</v>
      </c>
      <c r="F72" s="75">
        <v>-69.387500000000003</v>
      </c>
      <c r="G72" s="76"/>
      <c r="H72" s="76">
        <f>+ROUND(F72/VLOOKUP("Grand Total",$B$4:$F$304,5,0),4)</f>
        <v>-9.7000000000000003E-3</v>
      </c>
      <c r="I72" s="104">
        <v>43216</v>
      </c>
      <c r="J72" s="101"/>
      <c r="K72" s="90"/>
      <c r="L72" s="103"/>
      <c r="M72" s="54"/>
      <c r="N72" s="90"/>
      <c r="O72" s="90"/>
      <c r="Q72" s="90"/>
    </row>
    <row r="73" spans="1:17" s="65" customFormat="1" ht="12.75" customHeight="1" x14ac:dyDescent="0.2">
      <c r="A73" s="65">
        <f>+MAX($A$7:A72)+1</f>
        <v>45</v>
      </c>
      <c r="B73" s="77" t="s">
        <v>290</v>
      </c>
      <c r="C73" s="77" t="s">
        <v>176</v>
      </c>
      <c r="D73" s="77" t="s">
        <v>101</v>
      </c>
      <c r="E73" s="74">
        <v>6000</v>
      </c>
      <c r="F73" s="75">
        <v>50.915999999999997</v>
      </c>
      <c r="G73" s="76">
        <f>+ROUND(F73/VLOOKUP("Grand Total",$B$4:$F$304,5,0),4)</f>
        <v>7.1000000000000004E-3</v>
      </c>
      <c r="H73" s="76"/>
      <c r="I73" s="91" t="s">
        <v>357</v>
      </c>
      <c r="J73" s="101"/>
      <c r="K73" s="90"/>
      <c r="L73" s="103"/>
      <c r="M73" s="84"/>
      <c r="N73" s="90"/>
      <c r="O73" s="90"/>
      <c r="Q73" s="90"/>
    </row>
    <row r="74" spans="1:17" s="65" customFormat="1" ht="12.75" customHeight="1" x14ac:dyDescent="0.2">
      <c r="A74" s="77"/>
      <c r="B74" s="77" t="s">
        <v>290</v>
      </c>
      <c r="C74" s="121" t="s">
        <v>616</v>
      </c>
      <c r="D74" s="77" t="s">
        <v>314</v>
      </c>
      <c r="E74" s="74">
        <v>-6000</v>
      </c>
      <c r="F74" s="75">
        <v>-51.128999999999998</v>
      </c>
      <c r="G74" s="76"/>
      <c r="H74" s="76">
        <f>+ROUND(F74/VLOOKUP("Grand Total",$B$4:$F$304,5,0),4)</f>
        <v>-7.1000000000000004E-3</v>
      </c>
      <c r="I74" s="104">
        <v>43216</v>
      </c>
      <c r="J74" s="101"/>
      <c r="K74" s="90"/>
      <c r="L74" s="103"/>
      <c r="M74" s="54"/>
      <c r="N74" s="90"/>
      <c r="O74" s="90"/>
      <c r="Q74" s="90"/>
    </row>
    <row r="75" spans="1:17" s="65" customFormat="1" ht="12.75" customHeight="1" x14ac:dyDescent="0.2">
      <c r="A75" s="65">
        <f>+MAX($A$7:A74)+1</f>
        <v>46</v>
      </c>
      <c r="B75" s="77" t="s">
        <v>583</v>
      </c>
      <c r="C75" s="77" t="s">
        <v>584</v>
      </c>
      <c r="D75" s="77" t="s">
        <v>31</v>
      </c>
      <c r="E75" s="74">
        <v>25000</v>
      </c>
      <c r="F75" s="75">
        <v>50.3125</v>
      </c>
      <c r="G75" s="76">
        <f>+ROUND(F75/VLOOKUP("Grand Total",$B$4:$F$304,5,0),4)</f>
        <v>7.0000000000000001E-3</v>
      </c>
      <c r="H75" s="76"/>
      <c r="I75" s="91" t="s">
        <v>357</v>
      </c>
      <c r="J75" s="101"/>
      <c r="K75" s="90"/>
      <c r="L75" s="103"/>
      <c r="M75" s="84"/>
      <c r="N75" s="90"/>
      <c r="O75" s="90"/>
      <c r="Q75" s="90"/>
    </row>
    <row r="76" spans="1:17" s="65" customFormat="1" ht="12.75" customHeight="1" x14ac:dyDescent="0.2">
      <c r="A76" s="77"/>
      <c r="B76" s="77" t="s">
        <v>583</v>
      </c>
      <c r="C76" s="121" t="s">
        <v>616</v>
      </c>
      <c r="D76" s="77" t="s">
        <v>314</v>
      </c>
      <c r="E76" s="74">
        <v>-25000</v>
      </c>
      <c r="F76" s="75">
        <v>-50.612499999999997</v>
      </c>
      <c r="G76" s="76"/>
      <c r="H76" s="76">
        <f>+ROUND(F76/VLOOKUP("Grand Total",$B$4:$F$304,5,0),4)</f>
        <v>-7.1000000000000004E-3</v>
      </c>
      <c r="I76" s="104">
        <v>43216</v>
      </c>
      <c r="J76" s="101"/>
      <c r="K76" s="90"/>
      <c r="L76" s="103"/>
      <c r="M76" s="54"/>
      <c r="N76" s="90"/>
      <c r="O76" s="90"/>
      <c r="Q76" s="90"/>
    </row>
    <row r="77" spans="1:17" s="65" customFormat="1" ht="12.75" customHeight="1" x14ac:dyDescent="0.2">
      <c r="A77" s="65">
        <f>+MAX($A$7:A76)+1</f>
        <v>47</v>
      </c>
      <c r="B77" s="77" t="s">
        <v>608</v>
      </c>
      <c r="C77" s="77" t="s">
        <v>609</v>
      </c>
      <c r="D77" s="77" t="s">
        <v>101</v>
      </c>
      <c r="E77" s="74">
        <v>70000</v>
      </c>
      <c r="F77" s="75">
        <v>49.875</v>
      </c>
      <c r="G77" s="76">
        <f>+ROUND(F77/VLOOKUP("Grand Total",$B$4:$F$304,5,0),4)</f>
        <v>6.8999999999999999E-3</v>
      </c>
      <c r="H77" s="76"/>
      <c r="I77" s="91" t="s">
        <v>357</v>
      </c>
      <c r="J77" s="101"/>
      <c r="K77" s="90"/>
      <c r="L77" s="103"/>
      <c r="M77" s="84"/>
      <c r="N77" s="90"/>
      <c r="O77" s="90"/>
      <c r="Q77" s="90"/>
    </row>
    <row r="78" spans="1:17" s="65" customFormat="1" ht="12.75" customHeight="1" x14ac:dyDescent="0.2">
      <c r="A78" s="77"/>
      <c r="B78" s="77" t="s">
        <v>608</v>
      </c>
      <c r="C78" s="121" t="s">
        <v>616</v>
      </c>
      <c r="D78" s="77" t="s">
        <v>314</v>
      </c>
      <c r="E78" s="74">
        <v>-70000</v>
      </c>
      <c r="F78" s="75">
        <v>-50.12</v>
      </c>
      <c r="G78" s="76"/>
      <c r="H78" s="76">
        <f>+ROUND(F78/VLOOKUP("Grand Total",$B$4:$F$304,5,0),4)</f>
        <v>-7.0000000000000001E-3</v>
      </c>
      <c r="I78" s="104">
        <v>43216</v>
      </c>
      <c r="J78" s="101"/>
      <c r="K78" s="90"/>
      <c r="L78" s="103"/>
      <c r="M78" s="54"/>
      <c r="N78" s="90"/>
      <c r="O78" s="90"/>
      <c r="Q78" s="90"/>
    </row>
    <row r="79" spans="1:17" s="65" customFormat="1" ht="12.75" customHeight="1" x14ac:dyDescent="0.2">
      <c r="A79" s="65">
        <f>+MAX($A$7:A78)+1</f>
        <v>48</v>
      </c>
      <c r="B79" s="77" t="s">
        <v>210</v>
      </c>
      <c r="C79" s="77" t="s">
        <v>60</v>
      </c>
      <c r="D79" s="77" t="s">
        <v>22</v>
      </c>
      <c r="E79" s="74">
        <v>8800</v>
      </c>
      <c r="F79" s="75">
        <v>49.090800000000002</v>
      </c>
      <c r="G79" s="76">
        <f>+ROUND(F79/VLOOKUP("Grand Total",$B$4:$F$304,5,0),4)</f>
        <v>6.7999999999999996E-3</v>
      </c>
      <c r="H79" s="76"/>
      <c r="I79" s="91" t="s">
        <v>357</v>
      </c>
      <c r="J79" s="101"/>
      <c r="K79" s="90"/>
      <c r="L79" s="103"/>
      <c r="M79" s="84"/>
      <c r="N79" s="90"/>
      <c r="O79" s="90"/>
      <c r="Q79" s="90"/>
    </row>
    <row r="80" spans="1:17" s="65" customFormat="1" ht="12.75" customHeight="1" x14ac:dyDescent="0.2">
      <c r="A80" s="77"/>
      <c r="B80" s="77" t="s">
        <v>210</v>
      </c>
      <c r="C80" s="121" t="s">
        <v>616</v>
      </c>
      <c r="D80" s="77" t="s">
        <v>314</v>
      </c>
      <c r="E80" s="74">
        <v>-8800</v>
      </c>
      <c r="F80" s="75">
        <v>-49.354799999999997</v>
      </c>
      <c r="G80" s="76"/>
      <c r="H80" s="76">
        <f>+ROUND(F80/VLOOKUP("Grand Total",$B$4:$F$304,5,0),4)</f>
        <v>-6.8999999999999999E-3</v>
      </c>
      <c r="I80" s="104">
        <v>43216</v>
      </c>
      <c r="J80" s="101"/>
      <c r="K80" s="90"/>
      <c r="L80" s="103"/>
      <c r="M80" s="54"/>
      <c r="N80" s="90"/>
      <c r="O80" s="90"/>
      <c r="Q80" s="90"/>
    </row>
    <row r="81" spans="1:17" s="65" customFormat="1" ht="12.75" customHeight="1" x14ac:dyDescent="0.2">
      <c r="A81" s="65">
        <f>+MAX($A$7:A80)+1</f>
        <v>49</v>
      </c>
      <c r="B81" s="77" t="s">
        <v>213</v>
      </c>
      <c r="C81" s="77" t="s">
        <v>72</v>
      </c>
      <c r="D81" s="77" t="s">
        <v>31</v>
      </c>
      <c r="E81" s="74">
        <v>20000</v>
      </c>
      <c r="F81" s="75">
        <v>44.6</v>
      </c>
      <c r="G81" s="76">
        <f>+ROUND(F81/VLOOKUP("Grand Total",$B$4:$F$304,5,0),4)</f>
        <v>6.1999999999999998E-3</v>
      </c>
      <c r="H81" s="76"/>
      <c r="I81" s="91" t="s">
        <v>357</v>
      </c>
      <c r="J81" s="101"/>
      <c r="K81" s="90"/>
      <c r="L81" s="103"/>
      <c r="M81" s="84"/>
      <c r="N81" s="90"/>
      <c r="O81" s="90"/>
      <c r="Q81" s="90"/>
    </row>
    <row r="82" spans="1:17" s="65" customFormat="1" ht="12.75" customHeight="1" x14ac:dyDescent="0.2">
      <c r="A82" s="77"/>
      <c r="B82" s="77" t="s">
        <v>213</v>
      </c>
      <c r="C82" s="121" t="s">
        <v>616</v>
      </c>
      <c r="D82" s="77" t="s">
        <v>314</v>
      </c>
      <c r="E82" s="74">
        <v>-20000</v>
      </c>
      <c r="F82" s="75">
        <v>-44.83</v>
      </c>
      <c r="G82" s="76"/>
      <c r="H82" s="76">
        <f>+ROUND(F82/VLOOKUP("Grand Total",$B$4:$F$304,5,0),4)</f>
        <v>-6.1999999999999998E-3</v>
      </c>
      <c r="I82" s="104">
        <v>43216</v>
      </c>
      <c r="J82" s="101"/>
      <c r="K82" s="90"/>
      <c r="L82" s="103"/>
      <c r="M82" s="54"/>
      <c r="N82" s="90"/>
      <c r="O82" s="90"/>
      <c r="Q82" s="90"/>
    </row>
    <row r="83" spans="1:17" s="65" customFormat="1" ht="12.75" customHeight="1" x14ac:dyDescent="0.2">
      <c r="A83" s="65">
        <f>+MAX($A$7:A82)+1</f>
        <v>50</v>
      </c>
      <c r="B83" s="77" t="s">
        <v>198</v>
      </c>
      <c r="C83" s="77" t="s">
        <v>47</v>
      </c>
      <c r="D83" s="77" t="s">
        <v>25</v>
      </c>
      <c r="E83" s="74">
        <v>800</v>
      </c>
      <c r="F83" s="75">
        <v>39.764800000000008</v>
      </c>
      <c r="G83" s="76">
        <f>+ROUND(F83/VLOOKUP("Grand Total",$B$4:$F$304,5,0),4)</f>
        <v>5.4999999999999997E-3</v>
      </c>
      <c r="H83" s="76"/>
      <c r="I83" s="91" t="s">
        <v>357</v>
      </c>
      <c r="J83" s="101"/>
      <c r="K83" s="90"/>
      <c r="L83" s="103"/>
      <c r="M83" s="84"/>
      <c r="N83" s="90"/>
      <c r="O83" s="90"/>
      <c r="Q83" s="90"/>
    </row>
    <row r="84" spans="1:17" s="65" customFormat="1" ht="12.75" customHeight="1" x14ac:dyDescent="0.2">
      <c r="A84" s="77"/>
      <c r="B84" s="77" t="s">
        <v>198</v>
      </c>
      <c r="C84" s="121" t="s">
        <v>616</v>
      </c>
      <c r="D84" s="77" t="s">
        <v>314</v>
      </c>
      <c r="E84" s="74">
        <v>-800</v>
      </c>
      <c r="F84" s="75">
        <v>-39.759599999999999</v>
      </c>
      <c r="G84" s="76"/>
      <c r="H84" s="76">
        <f>+ROUND(F84/VLOOKUP("Grand Total",$B$4:$F$304,5,0),4)</f>
        <v>-5.4999999999999997E-3</v>
      </c>
      <c r="I84" s="104">
        <v>43216</v>
      </c>
      <c r="J84" s="101"/>
      <c r="K84" s="90"/>
      <c r="L84" s="103"/>
      <c r="M84" s="54"/>
      <c r="N84" s="90"/>
      <c r="O84" s="90"/>
      <c r="Q84" s="90"/>
    </row>
    <row r="85" spans="1:17" s="65" customFormat="1" ht="12.75" customHeight="1" x14ac:dyDescent="0.2">
      <c r="A85" s="65">
        <f>+MAX($A$7:A84)+1</f>
        <v>51</v>
      </c>
      <c r="B85" s="77" t="s">
        <v>246</v>
      </c>
      <c r="C85" s="77" t="s">
        <v>517</v>
      </c>
      <c r="D85" s="77" t="s">
        <v>10</v>
      </c>
      <c r="E85" s="74">
        <v>10500</v>
      </c>
      <c r="F85" s="75">
        <v>32.009250000000002</v>
      </c>
      <c r="G85" s="76">
        <f>+ROUND(F85/VLOOKUP("Grand Total",$B$4:$F$304,5,0),4)</f>
        <v>4.4999999999999997E-3</v>
      </c>
      <c r="H85" s="76"/>
      <c r="I85" s="91" t="s">
        <v>357</v>
      </c>
      <c r="J85" s="101"/>
      <c r="K85" s="90"/>
      <c r="L85" s="103"/>
      <c r="M85" s="84"/>
      <c r="N85" s="90"/>
      <c r="O85" s="90"/>
      <c r="Q85" s="90"/>
    </row>
    <row r="86" spans="1:17" s="65" customFormat="1" ht="12.75" customHeight="1" x14ac:dyDescent="0.2">
      <c r="A86" s="77"/>
      <c r="B86" s="77" t="s">
        <v>246</v>
      </c>
      <c r="C86" s="121" t="s">
        <v>616</v>
      </c>
      <c r="D86" s="77" t="s">
        <v>314</v>
      </c>
      <c r="E86" s="74">
        <v>-10500</v>
      </c>
      <c r="F86" s="75">
        <v>-32.213999999999999</v>
      </c>
      <c r="G86" s="76"/>
      <c r="H86" s="76">
        <f>+ROUND(F86/VLOOKUP("Grand Total",$B$4:$F$304,5,0),4)</f>
        <v>-4.4999999999999997E-3</v>
      </c>
      <c r="I86" s="104">
        <v>43216</v>
      </c>
      <c r="J86" s="101"/>
      <c r="K86" s="90"/>
      <c r="L86" s="103"/>
      <c r="M86" s="54"/>
      <c r="N86" s="90"/>
      <c r="O86" s="90"/>
      <c r="Q86" s="90"/>
    </row>
    <row r="87" spans="1:17" s="65" customFormat="1" ht="12.75" customHeight="1" x14ac:dyDescent="0.2">
      <c r="A87" s="65">
        <f>+MAX($A$7:A86)+1</f>
        <v>52</v>
      </c>
      <c r="B87" s="77" t="s">
        <v>328</v>
      </c>
      <c r="C87" s="77" t="s">
        <v>329</v>
      </c>
      <c r="D87" s="77" t="s">
        <v>31</v>
      </c>
      <c r="E87" s="74">
        <v>15000</v>
      </c>
      <c r="F87" s="75">
        <v>28.56</v>
      </c>
      <c r="G87" s="76">
        <f>+ROUND(F87/VLOOKUP("Grand Total",$B$4:$F$304,5,0),4)</f>
        <v>4.0000000000000001E-3</v>
      </c>
      <c r="H87" s="76"/>
      <c r="I87" s="91" t="s">
        <v>357</v>
      </c>
      <c r="J87" s="101"/>
      <c r="K87" s="90"/>
      <c r="L87" s="103"/>
      <c r="M87" s="84"/>
      <c r="N87" s="90"/>
      <c r="O87" s="90"/>
      <c r="Q87" s="90"/>
    </row>
    <row r="88" spans="1:17" s="65" customFormat="1" ht="12.75" customHeight="1" x14ac:dyDescent="0.2">
      <c r="A88" s="77"/>
      <c r="B88" s="77" t="s">
        <v>328</v>
      </c>
      <c r="C88" s="121" t="s">
        <v>616</v>
      </c>
      <c r="D88" s="77" t="s">
        <v>314</v>
      </c>
      <c r="E88" s="74">
        <v>-15000</v>
      </c>
      <c r="F88" s="75">
        <v>-28.717500000000001</v>
      </c>
      <c r="G88" s="76"/>
      <c r="H88" s="76">
        <f>+ROUND(F88/VLOOKUP("Grand Total",$B$4:$F$304,5,0),4)</f>
        <v>-4.0000000000000001E-3</v>
      </c>
      <c r="I88" s="104">
        <v>43216</v>
      </c>
      <c r="J88" s="101"/>
      <c r="K88" s="90"/>
      <c r="L88" s="103"/>
      <c r="M88" s="54"/>
      <c r="N88" s="90"/>
      <c r="O88" s="90"/>
      <c r="Q88" s="90"/>
    </row>
    <row r="89" spans="1:17" s="65" customFormat="1" ht="12.75" customHeight="1" x14ac:dyDescent="0.2">
      <c r="A89" s="65">
        <f>+MAX($A$7:A88)+1</f>
        <v>53</v>
      </c>
      <c r="B89" s="77" t="s">
        <v>585</v>
      </c>
      <c r="C89" s="77" t="s">
        <v>586</v>
      </c>
      <c r="D89" s="77" t="s">
        <v>23</v>
      </c>
      <c r="E89" s="74">
        <v>3000</v>
      </c>
      <c r="F89" s="75">
        <v>12.699</v>
      </c>
      <c r="G89" s="76">
        <f>+ROUND(F89/VLOOKUP("Grand Total",$B$4:$F$304,5,0),4)</f>
        <v>1.8E-3</v>
      </c>
      <c r="H89" s="76"/>
      <c r="I89" s="91" t="s">
        <v>357</v>
      </c>
      <c r="J89" s="101"/>
      <c r="K89" s="90"/>
      <c r="L89" s="103"/>
      <c r="M89" s="84"/>
      <c r="N89" s="90"/>
      <c r="O89" s="90"/>
      <c r="Q89" s="90"/>
    </row>
    <row r="90" spans="1:17" s="65" customFormat="1" ht="12.75" customHeight="1" x14ac:dyDescent="0.2">
      <c r="A90" s="77"/>
      <c r="B90" s="77" t="s">
        <v>585</v>
      </c>
      <c r="C90" s="121" t="s">
        <v>616</v>
      </c>
      <c r="D90" s="77" t="s">
        <v>314</v>
      </c>
      <c r="E90" s="74">
        <v>-3000</v>
      </c>
      <c r="F90" s="75">
        <v>-12.775499999999999</v>
      </c>
      <c r="G90" s="76"/>
      <c r="H90" s="76">
        <f>+ROUND(F90/VLOOKUP("Grand Total",$B$4:$F$304,5,0),4)</f>
        <v>-1.8E-3</v>
      </c>
      <c r="I90" s="104">
        <v>43216</v>
      </c>
      <c r="J90" s="101"/>
      <c r="K90" s="90"/>
      <c r="L90" s="103"/>
      <c r="M90" s="54"/>
      <c r="N90" s="90"/>
      <c r="O90" s="90"/>
      <c r="Q90" s="90"/>
    </row>
    <row r="91" spans="1:17" s="65" customFormat="1" ht="12.75" customHeight="1" x14ac:dyDescent="0.2">
      <c r="A91" s="65">
        <f>+MAX($A$7:A90)+1</f>
        <v>54</v>
      </c>
      <c r="B91" s="77" t="s">
        <v>415</v>
      </c>
      <c r="C91" s="77" t="s">
        <v>67</v>
      </c>
      <c r="D91" s="77" t="s">
        <v>22</v>
      </c>
      <c r="E91" s="74">
        <v>2200</v>
      </c>
      <c r="F91" s="75">
        <v>10.892200000000001</v>
      </c>
      <c r="G91" s="76">
        <f>+ROUND(F91/VLOOKUP("Grand Total",$B$4:$F$304,5,0),4)</f>
        <v>1.5E-3</v>
      </c>
      <c r="H91" s="76"/>
      <c r="I91" s="91" t="s">
        <v>357</v>
      </c>
      <c r="J91" s="101"/>
      <c r="K91" s="90"/>
      <c r="L91" s="103"/>
      <c r="M91" s="84"/>
      <c r="N91" s="90"/>
      <c r="O91" s="90"/>
      <c r="Q91" s="90"/>
    </row>
    <row r="92" spans="1:17" s="65" customFormat="1" ht="12.75" customHeight="1" x14ac:dyDescent="0.2">
      <c r="A92" s="77"/>
      <c r="B92" s="77" t="s">
        <v>415</v>
      </c>
      <c r="C92" s="121" t="s">
        <v>616</v>
      </c>
      <c r="D92" s="77" t="s">
        <v>314</v>
      </c>
      <c r="E92" s="74">
        <v>-2200</v>
      </c>
      <c r="F92" s="75">
        <v>-10.943899999999999</v>
      </c>
      <c r="G92" s="76"/>
      <c r="H92" s="76">
        <f>+ROUND(F92/VLOOKUP("Grand Total",$B$4:$F$304,5,0),4)</f>
        <v>-1.5E-3</v>
      </c>
      <c r="I92" s="104">
        <v>43216</v>
      </c>
      <c r="J92" s="101"/>
      <c r="K92" s="90"/>
      <c r="L92" s="103"/>
      <c r="M92" s="54"/>
      <c r="N92" s="90"/>
      <c r="O92" s="90"/>
      <c r="Q92" s="90"/>
    </row>
    <row r="93" spans="1:17" s="46" customFormat="1" x14ac:dyDescent="0.2">
      <c r="A93"/>
      <c r="B93" s="18" t="s">
        <v>84</v>
      </c>
      <c r="C93" s="18"/>
      <c r="D93" s="18"/>
      <c r="E93" s="19"/>
      <c r="F93" s="19">
        <f>+F39+F41+F43+F45+F47+F49+F51+F53+F55+F57+F59+F61+F63+F65+F67+F69+F71+F73+F75+F77+F79+F81+F83+F85+F87+F89+F91</f>
        <v>2950.7229749999997</v>
      </c>
      <c r="G93" s="20">
        <f>+G39+G41+G43+G45+G47+G49+G51+G53+G55+G57+G59+G61+G63+G65+G67+G69+G71+G73+G75+G77+G79+G81+G83+G85+G87+G89+G91</f>
        <v>0.41120000000000007</v>
      </c>
      <c r="H93" s="20">
        <f>SUM(H40:H92)</f>
        <v>-0.41289999999999999</v>
      </c>
      <c r="I93" s="21"/>
      <c r="J93" s="55"/>
      <c r="K93"/>
      <c r="L93" s="36"/>
      <c r="M93"/>
    </row>
    <row r="94" spans="1:17" s="46" customFormat="1" x14ac:dyDescent="0.2">
      <c r="A94"/>
      <c r="B94"/>
      <c r="C94"/>
      <c r="D94"/>
      <c r="E94" s="28"/>
      <c r="F94" s="28"/>
      <c r="G94" s="28"/>
      <c r="H94" s="28"/>
      <c r="I94" s="15"/>
      <c r="J94" s="56"/>
      <c r="L94" s="48"/>
    </row>
    <row r="95" spans="1:17" s="46" customFormat="1" x14ac:dyDescent="0.2">
      <c r="A95"/>
      <c r="B95" s="16" t="s">
        <v>90</v>
      </c>
      <c r="C95"/>
      <c r="D95"/>
      <c r="E95" s="28"/>
      <c r="F95" s="28"/>
      <c r="G95" s="28"/>
      <c r="H95" s="14"/>
      <c r="I95" s="15"/>
      <c r="J95" s="56"/>
      <c r="L95" s="48"/>
    </row>
    <row r="96" spans="1:17" ht="12.75" customHeight="1" x14ac:dyDescent="0.2">
      <c r="B96" s="16" t="s">
        <v>299</v>
      </c>
      <c r="F96" s="13"/>
      <c r="G96" s="14"/>
      <c r="H96" s="14"/>
      <c r="I96" s="33"/>
      <c r="J96"/>
      <c r="K96" s="36"/>
      <c r="L96"/>
    </row>
    <row r="97" spans="1:13" ht="12.75" customHeight="1" x14ac:dyDescent="0.2">
      <c r="A97" s="65">
        <f>+MAX($A$7:A96)+1</f>
        <v>55</v>
      </c>
      <c r="B97" t="s">
        <v>534</v>
      </c>
      <c r="C97" t="s">
        <v>641</v>
      </c>
      <c r="D97" t="s">
        <v>535</v>
      </c>
      <c r="E97" s="28">
        <v>60</v>
      </c>
      <c r="F97" s="13">
        <v>295.36680000000001</v>
      </c>
      <c r="G97" s="14">
        <f>+ROUND(F97/VLOOKUP("Grand Total",$B$4:$F$333,5,0),4)</f>
        <v>4.1200000000000001E-2</v>
      </c>
      <c r="H97" s="14"/>
      <c r="I97" s="15">
        <v>43245</v>
      </c>
      <c r="J97"/>
      <c r="K97" s="36"/>
      <c r="L97"/>
    </row>
    <row r="98" spans="1:13" ht="12.75" customHeight="1" x14ac:dyDescent="0.2">
      <c r="A98" s="65">
        <f>+MAX($A$7:A97)+1</f>
        <v>56</v>
      </c>
      <c r="B98" t="s">
        <v>534</v>
      </c>
      <c r="C98" t="s">
        <v>673</v>
      </c>
      <c r="D98" t="s">
        <v>535</v>
      </c>
      <c r="E98" s="28">
        <v>40</v>
      </c>
      <c r="F98" s="13">
        <v>195.60499999999999</v>
      </c>
      <c r="G98" s="14">
        <f>+ROUND(F98/VLOOKUP("Grand Total",$B$4:$F$333,5,0),4)</f>
        <v>2.7300000000000001E-2</v>
      </c>
      <c r="H98" s="14"/>
      <c r="I98" s="15">
        <v>43272</v>
      </c>
      <c r="J98"/>
      <c r="K98" s="36"/>
      <c r="L98"/>
    </row>
    <row r="99" spans="1:13" ht="12.75" customHeight="1" x14ac:dyDescent="0.2">
      <c r="A99" s="65">
        <f>+MAX($A$7:A98)+1</f>
        <v>57</v>
      </c>
      <c r="B99" t="s">
        <v>284</v>
      </c>
      <c r="C99" t="s">
        <v>562</v>
      </c>
      <c r="D99" t="s">
        <v>542</v>
      </c>
      <c r="E99" s="28">
        <v>40</v>
      </c>
      <c r="F99" s="13">
        <v>189.65199999999999</v>
      </c>
      <c r="G99" s="14">
        <f>+ROUND(F99/VLOOKUP("Grand Total",$B$4:$F$333,5,0),4)</f>
        <v>2.64E-2</v>
      </c>
      <c r="H99" s="14"/>
      <c r="I99" s="15">
        <v>43426</v>
      </c>
      <c r="J99"/>
      <c r="K99" s="36"/>
      <c r="L99"/>
    </row>
    <row r="100" spans="1:13" ht="12.75" customHeight="1" x14ac:dyDescent="0.2">
      <c r="B100" s="18" t="s">
        <v>84</v>
      </c>
      <c r="C100" s="18"/>
      <c r="D100" s="18"/>
      <c r="E100" s="29"/>
      <c r="F100" s="19">
        <f>SUM(F97:F99)</f>
        <v>680.62380000000007</v>
      </c>
      <c r="G100" s="20">
        <f>SUM(G97:G99)</f>
        <v>9.4900000000000012E-2</v>
      </c>
      <c r="H100" s="20"/>
      <c r="I100" s="21"/>
      <c r="J100"/>
      <c r="K100" s="36"/>
      <c r="L100"/>
    </row>
    <row r="101" spans="1:13" x14ac:dyDescent="0.2">
      <c r="F101" s="44"/>
      <c r="G101" s="14"/>
      <c r="H101" s="14"/>
      <c r="I101" s="15"/>
      <c r="J101" s="56"/>
      <c r="K101" s="48"/>
      <c r="L101" s="46"/>
      <c r="M101" s="46"/>
    </row>
    <row r="102" spans="1:13" x14ac:dyDescent="0.2">
      <c r="B102" s="16" t="s">
        <v>123</v>
      </c>
      <c r="F102" s="44"/>
      <c r="G102" s="14"/>
      <c r="H102" s="14"/>
      <c r="I102" s="15"/>
      <c r="J102" s="56"/>
      <c r="K102" s="48"/>
      <c r="L102" s="46"/>
      <c r="M102" s="46"/>
    </row>
    <row r="103" spans="1:13" ht="12.75" customHeight="1" x14ac:dyDescent="0.2">
      <c r="B103" s="31" t="s">
        <v>392</v>
      </c>
      <c r="F103" s="13"/>
      <c r="G103" s="14"/>
      <c r="H103" s="14"/>
      <c r="I103" s="33"/>
      <c r="J103"/>
      <c r="K103" s="36"/>
      <c r="L103"/>
    </row>
    <row r="104" spans="1:13" ht="12.75" customHeight="1" x14ac:dyDescent="0.2">
      <c r="A104">
        <f>+MAX($A$7:A103)+1</f>
        <v>58</v>
      </c>
      <c r="B104" s="65" t="s">
        <v>730</v>
      </c>
      <c r="C104" t="s">
        <v>682</v>
      </c>
      <c r="D104" t="s">
        <v>683</v>
      </c>
      <c r="E104" s="28">
        <v>200</v>
      </c>
      <c r="F104" s="13">
        <v>202.9794</v>
      </c>
      <c r="G104" s="14">
        <f t="shared" ref="G104:G110" si="2">+ROUND(F104/VLOOKUP("Grand Total",$B$4:$F$333,5,0),4)</f>
        <v>2.8299999999999999E-2</v>
      </c>
      <c r="H104" s="14"/>
      <c r="I104" s="15">
        <v>43766</v>
      </c>
      <c r="J104"/>
      <c r="K104" s="36"/>
      <c r="L104"/>
    </row>
    <row r="105" spans="1:13" ht="12.75" customHeight="1" x14ac:dyDescent="0.2">
      <c r="A105">
        <f>+MAX($A$7:A104)+1</f>
        <v>59</v>
      </c>
      <c r="B105" s="65" t="s">
        <v>649</v>
      </c>
      <c r="C105" t="s">
        <v>465</v>
      </c>
      <c r="D105" t="s">
        <v>285</v>
      </c>
      <c r="E105" s="28">
        <v>17</v>
      </c>
      <c r="F105" s="13">
        <v>169.86519000000001</v>
      </c>
      <c r="G105" s="14">
        <f t="shared" si="2"/>
        <v>2.3699999999999999E-2</v>
      </c>
      <c r="H105" s="14"/>
      <c r="I105" s="15">
        <v>43630</v>
      </c>
      <c r="J105"/>
      <c r="K105" s="36"/>
      <c r="L105"/>
    </row>
    <row r="106" spans="1:13" ht="12.75" customHeight="1" x14ac:dyDescent="0.2">
      <c r="A106">
        <f>+MAX($A$7:A105)+1</f>
        <v>60</v>
      </c>
      <c r="B106" s="65" t="s">
        <v>623</v>
      </c>
      <c r="C106" t="s">
        <v>406</v>
      </c>
      <c r="D106" t="s">
        <v>349</v>
      </c>
      <c r="E106" s="28">
        <v>13</v>
      </c>
      <c r="F106" s="13">
        <v>130.29952</v>
      </c>
      <c r="G106" s="14">
        <f t="shared" si="2"/>
        <v>1.8200000000000001E-2</v>
      </c>
      <c r="H106" s="14"/>
      <c r="I106" s="15">
        <v>43322</v>
      </c>
      <c r="J106"/>
      <c r="K106" s="36"/>
      <c r="L106"/>
    </row>
    <row r="107" spans="1:13" ht="12.75" customHeight="1" x14ac:dyDescent="0.2">
      <c r="A107">
        <f>+MAX($A$7:A106)+1</f>
        <v>61</v>
      </c>
      <c r="B107" s="65" t="s">
        <v>491</v>
      </c>
      <c r="C107" t="s">
        <v>492</v>
      </c>
      <c r="D107" t="s">
        <v>107</v>
      </c>
      <c r="E107" s="28">
        <v>10</v>
      </c>
      <c r="F107" s="13">
        <v>99.820099999999996</v>
      </c>
      <c r="G107" s="14">
        <f t="shared" si="2"/>
        <v>1.3899999999999999E-2</v>
      </c>
      <c r="H107" s="14"/>
      <c r="I107" s="15">
        <v>44091</v>
      </c>
      <c r="J107"/>
      <c r="K107" s="36"/>
      <c r="L107"/>
    </row>
    <row r="108" spans="1:13" ht="12.75" customHeight="1" x14ac:dyDescent="0.2">
      <c r="A108">
        <f>+MAX($A$7:A107)+1</f>
        <v>62</v>
      </c>
      <c r="B108" s="65" t="s">
        <v>626</v>
      </c>
      <c r="C108" t="s">
        <v>603</v>
      </c>
      <c r="D108" t="s">
        <v>590</v>
      </c>
      <c r="E108" s="28">
        <v>9.9999999999999982</v>
      </c>
      <c r="F108" s="13">
        <v>87.623699999999999</v>
      </c>
      <c r="G108" s="14">
        <f t="shared" si="2"/>
        <v>1.2200000000000001E-2</v>
      </c>
      <c r="H108" s="14"/>
      <c r="I108" s="15">
        <v>43826</v>
      </c>
      <c r="J108"/>
      <c r="K108" s="36"/>
      <c r="L108"/>
    </row>
    <row r="109" spans="1:13" ht="12.75" customHeight="1" x14ac:dyDescent="0.2">
      <c r="A109">
        <f>+MAX($A$7:A108)+1</f>
        <v>63</v>
      </c>
      <c r="B109" s="65" t="s">
        <v>660</v>
      </c>
      <c r="C109" t="s">
        <v>569</v>
      </c>
      <c r="D109" t="s">
        <v>107</v>
      </c>
      <c r="E109" s="28">
        <v>4</v>
      </c>
      <c r="F109" s="13">
        <v>52.338850000000001</v>
      </c>
      <c r="G109" s="14">
        <f t="shared" si="2"/>
        <v>7.3000000000000001E-3</v>
      </c>
      <c r="H109" s="14"/>
      <c r="I109" s="15">
        <v>44401</v>
      </c>
      <c r="J109"/>
      <c r="K109" s="36"/>
      <c r="L109"/>
    </row>
    <row r="110" spans="1:13" ht="12.75" customHeight="1" x14ac:dyDescent="0.2">
      <c r="A110">
        <f>+MAX($A$7:A109)+1</f>
        <v>64</v>
      </c>
      <c r="B110" s="65" t="s">
        <v>625</v>
      </c>
      <c r="C110" t="s">
        <v>168</v>
      </c>
      <c r="D110" t="s">
        <v>167</v>
      </c>
      <c r="E110" s="28">
        <v>1</v>
      </c>
      <c r="F110" s="13">
        <v>10.02664</v>
      </c>
      <c r="G110" s="14">
        <f t="shared" si="2"/>
        <v>1.4E-3</v>
      </c>
      <c r="H110" s="14"/>
      <c r="I110" s="15">
        <v>43259</v>
      </c>
      <c r="J110"/>
      <c r="K110" s="36"/>
      <c r="L110"/>
    </row>
    <row r="111" spans="1:13" ht="12.75" customHeight="1" x14ac:dyDescent="0.2">
      <c r="B111" s="18" t="s">
        <v>84</v>
      </c>
      <c r="C111" s="18"/>
      <c r="D111" s="18"/>
      <c r="E111" s="29"/>
      <c r="F111" s="19">
        <f>SUM(F104:F110)</f>
        <v>752.9534000000001</v>
      </c>
      <c r="G111" s="20">
        <f>SUM(G104:G110)</f>
        <v>0.105</v>
      </c>
      <c r="H111" s="20"/>
      <c r="I111" s="21"/>
      <c r="J111"/>
      <c r="K111" s="36"/>
      <c r="L111"/>
    </row>
    <row r="112" spans="1:13" x14ac:dyDescent="0.2">
      <c r="F112" s="44"/>
      <c r="G112" s="14"/>
      <c r="H112" s="14"/>
      <c r="I112" s="15"/>
      <c r="J112" s="56"/>
      <c r="K112" s="48"/>
      <c r="L112" s="46"/>
      <c r="M112" s="46"/>
    </row>
    <row r="113" spans="1:13" ht="12.75" customHeight="1" x14ac:dyDescent="0.2">
      <c r="B113" s="16" t="s">
        <v>91</v>
      </c>
      <c r="F113" s="13"/>
      <c r="G113" s="14"/>
      <c r="H113" s="14"/>
      <c r="I113" s="33"/>
      <c r="J113"/>
      <c r="K113" s="36"/>
      <c r="L113"/>
    </row>
    <row r="114" spans="1:13" ht="12.75" customHeight="1" x14ac:dyDescent="0.2">
      <c r="A114">
        <f>+MAX($A$7:A113)+1</f>
        <v>65</v>
      </c>
      <c r="B114" t="s">
        <v>430</v>
      </c>
      <c r="C114" t="s">
        <v>341</v>
      </c>
      <c r="D114" t="s">
        <v>311</v>
      </c>
      <c r="E114" s="28">
        <v>9842.8194000000003</v>
      </c>
      <c r="F114" s="13">
        <v>165.8900415</v>
      </c>
      <c r="G114" s="14">
        <f>+ROUND(F114/VLOOKUP("Grand Total",$B$4:$F$333,5,0),4)</f>
        <v>2.3099999999999999E-2</v>
      </c>
      <c r="H114" s="14"/>
      <c r="I114" s="33" t="s">
        <v>357</v>
      </c>
      <c r="J114"/>
      <c r="K114" s="36"/>
      <c r="L114"/>
    </row>
    <row r="115" spans="1:13" ht="12.75" customHeight="1" x14ac:dyDescent="0.2">
      <c r="B115" s="18" t="s">
        <v>84</v>
      </c>
      <c r="C115" s="18"/>
      <c r="D115" s="18"/>
      <c r="E115" s="29"/>
      <c r="F115" s="19">
        <f>SUM(F114)</f>
        <v>165.8900415</v>
      </c>
      <c r="G115" s="20">
        <f>SUM(G114)</f>
        <v>2.3099999999999999E-2</v>
      </c>
      <c r="H115" s="20"/>
      <c r="I115" s="21"/>
      <c r="J115"/>
      <c r="K115" s="36"/>
      <c r="L115"/>
    </row>
    <row r="116" spans="1:13" x14ac:dyDescent="0.2">
      <c r="F116" s="44"/>
      <c r="G116" s="14"/>
      <c r="H116" s="14"/>
      <c r="I116" s="15"/>
      <c r="J116" s="56"/>
      <c r="K116" s="48"/>
      <c r="L116" s="46"/>
      <c r="M116" s="46"/>
    </row>
    <row r="117" spans="1:13" x14ac:dyDescent="0.2">
      <c r="A117" s="95" t="s">
        <v>356</v>
      </c>
      <c r="B117" s="16" t="s">
        <v>92</v>
      </c>
      <c r="C117" s="16"/>
      <c r="F117" s="13">
        <v>201.37723800000001</v>
      </c>
      <c r="G117" s="14">
        <f>+ROUND(F117/VLOOKUP("Grand Total",$B$4:$F$309,5,0),4)</f>
        <v>2.81E-2</v>
      </c>
      <c r="H117" s="14"/>
      <c r="I117" s="15">
        <v>43193</v>
      </c>
      <c r="J117" s="56"/>
      <c r="K117" s="36"/>
      <c r="L117"/>
    </row>
    <row r="118" spans="1:13" x14ac:dyDescent="0.2">
      <c r="B118" s="18" t="s">
        <v>84</v>
      </c>
      <c r="C118" s="18"/>
      <c r="D118" s="18"/>
      <c r="E118" s="29"/>
      <c r="F118" s="19">
        <f>SUM(F117)</f>
        <v>201.37723800000001</v>
      </c>
      <c r="G118" s="20">
        <f>SUM(G117)</f>
        <v>2.81E-2</v>
      </c>
      <c r="H118" s="20"/>
      <c r="I118" s="21"/>
      <c r="J118" s="55"/>
    </row>
    <row r="119" spans="1:13" x14ac:dyDescent="0.2">
      <c r="F119" s="13"/>
      <c r="G119" s="14"/>
      <c r="H119" s="14"/>
      <c r="I119" s="15"/>
      <c r="J119" s="56"/>
    </row>
    <row r="120" spans="1:13" x14ac:dyDescent="0.2">
      <c r="B120" s="16" t="s">
        <v>93</v>
      </c>
      <c r="C120" s="16"/>
      <c r="F120" s="13"/>
      <c r="G120" s="14"/>
      <c r="H120" s="14"/>
      <c r="I120" s="15"/>
      <c r="J120" s="56"/>
    </row>
    <row r="121" spans="1:13" x14ac:dyDescent="0.2">
      <c r="B121" s="16" t="s">
        <v>94</v>
      </c>
      <c r="C121" s="16"/>
      <c r="F121" s="44">
        <f>+F123-SUMIF($B$5:B120,"Total",$F$5:F120)</f>
        <v>494.15977770000154</v>
      </c>
      <c r="G121" s="45">
        <f>+ROUND(F121/VLOOKUP("Grand Total",$B$4:$F$309,5,0),4)-0.02%</f>
        <v>6.8699999999999997E-2</v>
      </c>
      <c r="H121" s="45"/>
      <c r="I121" s="15"/>
      <c r="J121" s="56"/>
    </row>
    <row r="122" spans="1:13" x14ac:dyDescent="0.2">
      <c r="B122" s="18" t="s">
        <v>84</v>
      </c>
      <c r="C122" s="18"/>
      <c r="D122" s="18"/>
      <c r="E122" s="29"/>
      <c r="F122" s="19">
        <f>SUM(F121)</f>
        <v>494.15977770000154</v>
      </c>
      <c r="G122" s="20">
        <f>SUM(G121)</f>
        <v>6.8699999999999997E-2</v>
      </c>
      <c r="H122" s="20"/>
      <c r="I122" s="21"/>
      <c r="J122" s="55"/>
    </row>
    <row r="123" spans="1:13" x14ac:dyDescent="0.2">
      <c r="B123" s="22" t="s">
        <v>95</v>
      </c>
      <c r="C123" s="22"/>
      <c r="D123" s="22"/>
      <c r="E123" s="30"/>
      <c r="F123" s="23">
        <v>7176.4096242000014</v>
      </c>
      <c r="G123" s="24">
        <f>+SUMIF($B$5:B122,"Total",$G$5:G122)</f>
        <v>1</v>
      </c>
      <c r="H123" s="24"/>
      <c r="I123" s="25"/>
      <c r="J123" s="39"/>
    </row>
    <row r="124" spans="1:13" x14ac:dyDescent="0.2">
      <c r="F124" s="40"/>
      <c r="L124"/>
    </row>
    <row r="125" spans="1:13" x14ac:dyDescent="0.2">
      <c r="B125" s="16" t="s">
        <v>592</v>
      </c>
      <c r="C125" s="16"/>
      <c r="L125"/>
    </row>
    <row r="126" spans="1:13" x14ac:dyDescent="0.2">
      <c r="B126" s="16" t="s">
        <v>182</v>
      </c>
      <c r="C126" s="16"/>
      <c r="L126"/>
    </row>
    <row r="127" spans="1:13" x14ac:dyDescent="0.2">
      <c r="B127" s="53"/>
      <c r="L127"/>
    </row>
    <row r="128" spans="1:13" x14ac:dyDescent="0.2">
      <c r="L128"/>
    </row>
    <row r="129" spans="5:12" x14ac:dyDescent="0.2">
      <c r="L129"/>
    </row>
    <row r="130" spans="5:12" x14ac:dyDescent="0.2">
      <c r="L130"/>
    </row>
    <row r="131" spans="5:12" x14ac:dyDescent="0.2">
      <c r="L131"/>
    </row>
    <row r="132" spans="5:12" x14ac:dyDescent="0.2">
      <c r="L132"/>
    </row>
    <row r="133" spans="5:12" x14ac:dyDescent="0.2">
      <c r="L133"/>
    </row>
    <row r="134" spans="5:12" x14ac:dyDescent="0.2">
      <c r="L134"/>
    </row>
    <row r="135" spans="5:12" x14ac:dyDescent="0.2"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  <c r="J171"/>
      <c r="L171"/>
    </row>
    <row r="172" spans="5:12" x14ac:dyDescent="0.2">
      <c r="E172"/>
      <c r="J172"/>
      <c r="L172"/>
    </row>
    <row r="173" spans="5:12" x14ac:dyDescent="0.2">
      <c r="E173"/>
      <c r="J173"/>
      <c r="L173"/>
    </row>
    <row r="174" spans="5:12" x14ac:dyDescent="0.2">
      <c r="E174"/>
      <c r="J174"/>
      <c r="L174"/>
    </row>
  </sheetData>
  <sheetProtection password="EDB3" sheet="1" objects="1" scenarios="1"/>
  <sortState ref="K9:L37">
    <sortCondition descending="1" ref="L9:L37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7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371</v>
      </c>
      <c r="B1" s="126" t="s">
        <v>441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90</v>
      </c>
      <c r="C7" s="16"/>
      <c r="F7" s="13"/>
      <c r="G7" s="14"/>
      <c r="H7" s="15"/>
    </row>
    <row r="8" spans="1:16" ht="12.75" customHeight="1" x14ac:dyDescent="0.2">
      <c r="B8" s="16" t="s">
        <v>165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+MAX($A$7:A8)+1</f>
        <v>1</v>
      </c>
      <c r="B9" t="s">
        <v>545</v>
      </c>
      <c r="C9" t="s">
        <v>667</v>
      </c>
      <c r="D9" t="s">
        <v>389</v>
      </c>
      <c r="E9" s="28">
        <v>20000</v>
      </c>
      <c r="F9" s="13">
        <v>19.78032</v>
      </c>
      <c r="G9" s="14">
        <f>+ROUND(F9/VLOOKUP("Grand Total",$B$4:$F$291,5,0),4)</f>
        <v>9.2999999999999992E-3</v>
      </c>
      <c r="H9" s="15">
        <v>43258</v>
      </c>
      <c r="J9" s="14" t="s">
        <v>107</v>
      </c>
      <c r="K9" s="48">
        <f t="shared" ref="K9:K15" si="0">SUMIFS($G$5:$G$321,$D$5:$D$321,J9)</f>
        <v>0.31019999999999998</v>
      </c>
    </row>
    <row r="10" spans="1:16" ht="12.75" customHeight="1" x14ac:dyDescent="0.2">
      <c r="B10" s="18" t="s">
        <v>84</v>
      </c>
      <c r="C10" s="18"/>
      <c r="D10" s="18"/>
      <c r="E10" s="29"/>
      <c r="F10" s="19">
        <f>SUM(F9:F9)</f>
        <v>19.78032</v>
      </c>
      <c r="G10" s="20">
        <f>SUM(G9:G9)</f>
        <v>9.2999999999999992E-3</v>
      </c>
      <c r="H10" s="21"/>
      <c r="J10" t="s">
        <v>389</v>
      </c>
      <c r="K10" s="48">
        <f t="shared" si="0"/>
        <v>0.15279999999999999</v>
      </c>
    </row>
    <row r="11" spans="1:16" ht="12.75" customHeight="1" x14ac:dyDescent="0.2">
      <c r="B11" s="16"/>
      <c r="C11" s="16"/>
      <c r="F11" s="13"/>
      <c r="G11" s="14"/>
      <c r="H11" s="15"/>
      <c r="J11" t="s">
        <v>167</v>
      </c>
      <c r="K11" s="48">
        <f t="shared" si="0"/>
        <v>9.4500000000000001E-2</v>
      </c>
    </row>
    <row r="12" spans="1:16" ht="12.75" customHeight="1" x14ac:dyDescent="0.2">
      <c r="B12" s="16" t="s">
        <v>166</v>
      </c>
      <c r="C12" s="16"/>
      <c r="F12" s="13"/>
      <c r="G12" s="14"/>
      <c r="H12" s="15"/>
      <c r="J12" s="46" t="s">
        <v>285</v>
      </c>
      <c r="K12" s="48">
        <f t="shared" si="0"/>
        <v>8.4699999999999998E-2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559</v>
      </c>
      <c r="C13" t="s">
        <v>560</v>
      </c>
      <c r="D13" t="s">
        <v>389</v>
      </c>
      <c r="E13" s="28">
        <v>300000</v>
      </c>
      <c r="F13" s="13">
        <v>285.08249999999998</v>
      </c>
      <c r="G13" s="14">
        <f>+ROUND(F13/VLOOKUP("Grand Total",$B$4:$F$289,5,0),4)</f>
        <v>0.1343</v>
      </c>
      <c r="H13" s="15">
        <v>46522</v>
      </c>
      <c r="J13" s="14" t="s">
        <v>466</v>
      </c>
      <c r="K13" s="48">
        <f t="shared" si="0"/>
        <v>8.4000000000000005E-2</v>
      </c>
      <c r="M13" s="14"/>
      <c r="N13" s="36"/>
      <c r="P13" s="14"/>
    </row>
    <row r="14" spans="1:16" ht="12.75" customHeight="1" x14ac:dyDescent="0.2">
      <c r="A14">
        <f>+MAX($A$7:A13)+1</f>
        <v>3</v>
      </c>
      <c r="B14" s="1" t="s">
        <v>447</v>
      </c>
      <c r="C14" t="s">
        <v>448</v>
      </c>
      <c r="D14" t="s">
        <v>389</v>
      </c>
      <c r="E14" s="28">
        <v>20000</v>
      </c>
      <c r="F14" s="13">
        <v>19.623619999999999</v>
      </c>
      <c r="G14" s="14">
        <f>+ROUND(F14/VLOOKUP("Grand Total",$B$4:$F$289,5,0),4)</f>
        <v>9.1999999999999998E-3</v>
      </c>
      <c r="H14" s="15">
        <v>44914</v>
      </c>
      <c r="J14" s="14" t="s">
        <v>510</v>
      </c>
      <c r="K14" s="48">
        <f t="shared" si="0"/>
        <v>7.0999999999999994E-2</v>
      </c>
      <c r="M14" s="14"/>
      <c r="N14" s="36"/>
      <c r="P14" s="14"/>
    </row>
    <row r="15" spans="1:16" ht="12.75" customHeight="1" x14ac:dyDescent="0.2">
      <c r="B15" s="18" t="s">
        <v>84</v>
      </c>
      <c r="C15" s="18"/>
      <c r="D15" s="18"/>
      <c r="E15" s="29"/>
      <c r="F15" s="19">
        <f>SUM(F13:F14)</f>
        <v>304.70612</v>
      </c>
      <c r="G15" s="20">
        <f>SUM(G13:G14)</f>
        <v>0.14350000000000002</v>
      </c>
      <c r="H15" s="21"/>
      <c r="I15" s="35"/>
      <c r="J15" t="s">
        <v>171</v>
      </c>
      <c r="K15" s="48">
        <f t="shared" si="0"/>
        <v>7.0800000000000002E-2</v>
      </c>
      <c r="L15" s="54"/>
      <c r="M15" s="14"/>
      <c r="N15" s="36"/>
      <c r="P15" s="14"/>
    </row>
    <row r="16" spans="1:16" ht="12.75" customHeight="1" x14ac:dyDescent="0.2">
      <c r="F16" s="13"/>
      <c r="G16" s="14"/>
      <c r="H16" s="15"/>
      <c r="J16" t="s">
        <v>349</v>
      </c>
      <c r="K16" s="48">
        <f t="shared" ref="K16:K17" si="1">SUMIFS($G$5:$G$321,$D$5:$D$321,J16)</f>
        <v>5.21E-2</v>
      </c>
      <c r="L16" s="54"/>
      <c r="M16" s="14"/>
      <c r="N16" s="36"/>
      <c r="P16" s="14"/>
    </row>
    <row r="17" spans="1:16" ht="12.75" customHeight="1" x14ac:dyDescent="0.2">
      <c r="B17" s="16" t="s">
        <v>123</v>
      </c>
      <c r="C17" s="16"/>
      <c r="F17" s="13"/>
      <c r="G17" s="14"/>
      <c r="H17" s="15"/>
      <c r="J17" s="14" t="s">
        <v>687</v>
      </c>
      <c r="K17" s="48">
        <f t="shared" si="1"/>
        <v>4.7500000000000001E-2</v>
      </c>
      <c r="L17" s="54">
        <f>+SUM($K$12:K17)</f>
        <v>0.41009999999999996</v>
      </c>
      <c r="M17" s="14"/>
      <c r="N17" s="36"/>
      <c r="P17" s="14"/>
    </row>
    <row r="18" spans="1:16" ht="12.75" customHeight="1" x14ac:dyDescent="0.2">
      <c r="B18" s="31" t="s">
        <v>392</v>
      </c>
      <c r="C18" s="16"/>
      <c r="F18" s="13"/>
      <c r="G18" s="14"/>
      <c r="H18" s="15"/>
      <c r="J18" s="14" t="s">
        <v>63</v>
      </c>
      <c r="K18" s="48">
        <f>+SUMIFS($G$5:$G$997,$B$5:$B$997,"CBLO / Reverse Repo Investments")+SUMIFS($G$5:$G$997,$B$5:$B$997,"Net Receivable/Payable")</f>
        <v>3.2399999999999998E-2</v>
      </c>
    </row>
    <row r="19" spans="1:16" ht="12.75" customHeight="1" x14ac:dyDescent="0.2">
      <c r="A19">
        <f>+MAX($A$7:A18)+1</f>
        <v>4</v>
      </c>
      <c r="B19" s="65" t="s">
        <v>699</v>
      </c>
      <c r="C19" t="s">
        <v>700</v>
      </c>
      <c r="D19" t="s">
        <v>107</v>
      </c>
      <c r="E19" s="28">
        <v>20</v>
      </c>
      <c r="F19" s="13">
        <v>205.702</v>
      </c>
      <c r="G19" s="14">
        <f t="shared" ref="G19:G25" si="2">+ROUND(F19/VLOOKUP("Grand Total",$B$4:$F$289,5,0),4)</f>
        <v>9.69E-2</v>
      </c>
      <c r="H19" s="15">
        <v>46808</v>
      </c>
      <c r="J19" s="52"/>
    </row>
    <row r="20" spans="1:16" ht="12.75" customHeight="1" x14ac:dyDescent="0.2">
      <c r="A20">
        <f>+MAX($A$7:A19)+1</f>
        <v>5</v>
      </c>
      <c r="B20" t="s">
        <v>625</v>
      </c>
      <c r="C20" t="s">
        <v>168</v>
      </c>
      <c r="D20" t="s">
        <v>167</v>
      </c>
      <c r="E20" s="28">
        <v>20</v>
      </c>
      <c r="F20" s="13">
        <v>200.53280000000001</v>
      </c>
      <c r="G20" s="14">
        <f t="shared" si="2"/>
        <v>9.4500000000000001E-2</v>
      </c>
      <c r="H20" s="15">
        <v>43259</v>
      </c>
    </row>
    <row r="21" spans="1:16" ht="12.75" customHeight="1" x14ac:dyDescent="0.2">
      <c r="A21">
        <f>+MAX($A$7:A20)+1</f>
        <v>6</v>
      </c>
      <c r="B21" t="s">
        <v>733</v>
      </c>
      <c r="C21" t="s">
        <v>698</v>
      </c>
      <c r="D21" t="s">
        <v>107</v>
      </c>
      <c r="E21" s="28">
        <v>20</v>
      </c>
      <c r="F21" s="13">
        <v>200.3484</v>
      </c>
      <c r="G21" s="14">
        <f t="shared" si="2"/>
        <v>9.4399999999999998E-2</v>
      </c>
      <c r="H21" s="15">
        <v>43539</v>
      </c>
      <c r="J21" s="52"/>
    </row>
    <row r="22" spans="1:16" ht="12.75" customHeight="1" x14ac:dyDescent="0.2">
      <c r="A22">
        <f>+MAX($A$7:A21)+1</f>
        <v>7</v>
      </c>
      <c r="B22" s="65" t="s">
        <v>649</v>
      </c>
      <c r="C22" t="s">
        <v>465</v>
      </c>
      <c r="D22" t="s">
        <v>285</v>
      </c>
      <c r="E22" s="28">
        <v>18</v>
      </c>
      <c r="F22" s="13">
        <v>179.85726</v>
      </c>
      <c r="G22" s="14">
        <f t="shared" si="2"/>
        <v>8.4699999999999998E-2</v>
      </c>
      <c r="H22" s="15">
        <v>43630</v>
      </c>
      <c r="J22" s="52"/>
    </row>
    <row r="23" spans="1:16" ht="12.75" customHeight="1" x14ac:dyDescent="0.2">
      <c r="A23">
        <f>+MAX($A$7:A22)+1</f>
        <v>8</v>
      </c>
      <c r="B23" t="s">
        <v>630</v>
      </c>
      <c r="C23" t="s">
        <v>493</v>
      </c>
      <c r="D23" t="s">
        <v>466</v>
      </c>
      <c r="E23" s="28">
        <v>18</v>
      </c>
      <c r="F23" s="13">
        <v>178.26084</v>
      </c>
      <c r="G23" s="14">
        <f t="shared" si="2"/>
        <v>8.4000000000000005E-2</v>
      </c>
      <c r="H23" s="15">
        <v>44026</v>
      </c>
      <c r="J23" s="52"/>
    </row>
    <row r="24" spans="1:16" ht="12.75" customHeight="1" x14ac:dyDescent="0.2">
      <c r="A24">
        <f>+MAX($A$7:A23)+1</f>
        <v>9</v>
      </c>
      <c r="B24" t="s">
        <v>734</v>
      </c>
      <c r="C24" t="s">
        <v>701</v>
      </c>
      <c r="D24" t="s">
        <v>107</v>
      </c>
      <c r="E24" s="28">
        <v>15</v>
      </c>
      <c r="F24" s="13">
        <v>150.95429999999999</v>
      </c>
      <c r="G24" s="14">
        <f t="shared" si="2"/>
        <v>7.1099999999999997E-2</v>
      </c>
      <c r="H24" s="15">
        <v>44915</v>
      </c>
      <c r="J24" s="52"/>
    </row>
    <row r="25" spans="1:16" ht="12.75" customHeight="1" x14ac:dyDescent="0.2">
      <c r="A25">
        <f>+MAX($A$7:A24)+1</f>
        <v>10</v>
      </c>
      <c r="B25" t="s">
        <v>652</v>
      </c>
      <c r="C25" t="s">
        <v>339</v>
      </c>
      <c r="D25" t="s">
        <v>510</v>
      </c>
      <c r="E25" s="28">
        <v>15</v>
      </c>
      <c r="F25" s="13">
        <v>150.78299999999999</v>
      </c>
      <c r="G25" s="14">
        <f t="shared" si="2"/>
        <v>7.0999999999999994E-2</v>
      </c>
      <c r="H25" s="15">
        <v>43309</v>
      </c>
      <c r="J25" s="52"/>
    </row>
    <row r="26" spans="1:16" ht="12.75" customHeight="1" x14ac:dyDescent="0.2">
      <c r="A26">
        <f>+MAX($A$7:A25)+1</f>
        <v>11</v>
      </c>
      <c r="B26" t="s">
        <v>653</v>
      </c>
      <c r="C26" t="s">
        <v>340</v>
      </c>
      <c r="D26" t="s">
        <v>171</v>
      </c>
      <c r="E26" s="28">
        <v>15</v>
      </c>
      <c r="F26" s="13">
        <v>150.15495000000001</v>
      </c>
      <c r="G26" s="14">
        <f t="shared" ref="G26:G30" si="3">+ROUND(F26/VLOOKUP("Grand Total",$B$4:$F$289,5,0),4)</f>
        <v>7.0800000000000002E-2</v>
      </c>
      <c r="H26" s="15">
        <v>43299</v>
      </c>
      <c r="J26" s="52"/>
    </row>
    <row r="27" spans="1:16" ht="12.75" customHeight="1" x14ac:dyDescent="0.2">
      <c r="A27">
        <f>+MAX($A$7:A26)+1</f>
        <v>12</v>
      </c>
      <c r="B27" t="s">
        <v>622</v>
      </c>
      <c r="C27" t="s">
        <v>393</v>
      </c>
      <c r="D27" t="s">
        <v>107</v>
      </c>
      <c r="E27" s="28">
        <v>10</v>
      </c>
      <c r="F27" s="13">
        <v>101.5155</v>
      </c>
      <c r="G27" s="14">
        <f t="shared" si="3"/>
        <v>4.7800000000000002E-2</v>
      </c>
      <c r="H27" s="15">
        <v>44343</v>
      </c>
      <c r="J27" s="52"/>
    </row>
    <row r="28" spans="1:16" ht="12.75" customHeight="1" x14ac:dyDescent="0.2">
      <c r="A28">
        <f>+MAX($A$7:A27)+1</f>
        <v>13</v>
      </c>
      <c r="B28" t="s">
        <v>731</v>
      </c>
      <c r="C28" t="s">
        <v>686</v>
      </c>
      <c r="D28" t="s">
        <v>687</v>
      </c>
      <c r="E28" s="28">
        <v>10</v>
      </c>
      <c r="F28" s="13">
        <v>100.7647</v>
      </c>
      <c r="G28" s="14">
        <f t="shared" si="3"/>
        <v>4.7500000000000001E-2</v>
      </c>
      <c r="H28" s="15">
        <v>45097</v>
      </c>
      <c r="J28" s="52"/>
    </row>
    <row r="29" spans="1:16" ht="12.75" customHeight="1" x14ac:dyDescent="0.2">
      <c r="A29">
        <f>+MAX($A$7:A28)+1</f>
        <v>14</v>
      </c>
      <c r="B29" t="s">
        <v>619</v>
      </c>
      <c r="C29" t="s">
        <v>511</v>
      </c>
      <c r="D29" t="s">
        <v>349</v>
      </c>
      <c r="E29" s="28">
        <v>10000</v>
      </c>
      <c r="F29" s="13">
        <v>100.6401</v>
      </c>
      <c r="G29" s="14">
        <f t="shared" si="3"/>
        <v>4.7399999999999998E-2</v>
      </c>
      <c r="H29" s="15">
        <v>43717</v>
      </c>
      <c r="J29" s="52"/>
    </row>
    <row r="30" spans="1:16" ht="12.75" customHeight="1" x14ac:dyDescent="0.2">
      <c r="A30">
        <f>+MAX($A$7:A29)+1</f>
        <v>15</v>
      </c>
      <c r="B30" t="s">
        <v>651</v>
      </c>
      <c r="C30" t="s">
        <v>407</v>
      </c>
      <c r="D30" t="s">
        <v>349</v>
      </c>
      <c r="E30" s="28">
        <v>1000</v>
      </c>
      <c r="F30" s="13">
        <v>10.059519999999999</v>
      </c>
      <c r="G30" s="14">
        <f t="shared" si="3"/>
        <v>4.7000000000000002E-3</v>
      </c>
      <c r="H30" s="15">
        <v>43717</v>
      </c>
      <c r="J30" s="52"/>
    </row>
    <row r="31" spans="1:16" ht="12.75" customHeight="1" x14ac:dyDescent="0.2">
      <c r="B31" s="18" t="s">
        <v>84</v>
      </c>
      <c r="C31" s="18"/>
      <c r="D31" s="18"/>
      <c r="E31" s="29"/>
      <c r="F31" s="19">
        <f>SUM(F19:F30)</f>
        <v>1729.5733700000001</v>
      </c>
      <c r="G31" s="20">
        <f>SUM(G19:G30)</f>
        <v>0.81479999999999997</v>
      </c>
      <c r="H31" s="21"/>
      <c r="J31" s="52"/>
    </row>
    <row r="32" spans="1:16" ht="12.75" customHeight="1" x14ac:dyDescent="0.2">
      <c r="F32" s="13"/>
      <c r="G32" s="14"/>
      <c r="H32" s="15"/>
    </row>
    <row r="33" spans="1:9" ht="12.75" customHeight="1" x14ac:dyDescent="0.2">
      <c r="A33" s="95" t="s">
        <v>356</v>
      </c>
      <c r="B33" s="16" t="s">
        <v>92</v>
      </c>
      <c r="C33" s="16"/>
      <c r="F33" s="13">
        <v>19.8252107</v>
      </c>
      <c r="G33" s="14">
        <f>+ROUND(F33/VLOOKUP("Grand Total",$B$4:$F$289,5,0),4)</f>
        <v>9.2999999999999992E-3</v>
      </c>
      <c r="H33" s="15">
        <v>43193</v>
      </c>
    </row>
    <row r="34" spans="1:9" ht="12.75" customHeight="1" x14ac:dyDescent="0.2">
      <c r="B34" s="18" t="s">
        <v>84</v>
      </c>
      <c r="C34" s="18"/>
      <c r="D34" s="18"/>
      <c r="E34" s="29"/>
      <c r="F34" s="19">
        <f>SUM(F33)</f>
        <v>19.8252107</v>
      </c>
      <c r="G34" s="20">
        <f>SUM(G33)</f>
        <v>9.2999999999999992E-3</v>
      </c>
      <c r="H34" s="21"/>
      <c r="I34" s="35"/>
    </row>
    <row r="35" spans="1:9" ht="12.75" customHeight="1" x14ac:dyDescent="0.2">
      <c r="F35" s="13"/>
      <c r="G35" s="14"/>
      <c r="H35" s="15"/>
    </row>
    <row r="36" spans="1:9" ht="12.75" customHeight="1" x14ac:dyDescent="0.2">
      <c r="B36" s="16" t="s">
        <v>93</v>
      </c>
      <c r="C36" s="16"/>
      <c r="F36" s="13"/>
      <c r="G36" s="14"/>
      <c r="H36" s="15"/>
    </row>
    <row r="37" spans="1:9" ht="12.75" customHeight="1" x14ac:dyDescent="0.2">
      <c r="B37" s="16" t="s">
        <v>94</v>
      </c>
      <c r="C37" s="16"/>
      <c r="F37" s="13">
        <v>48.362251499999729</v>
      </c>
      <c r="G37" s="14">
        <f>+ROUND(F37/VLOOKUP("Grand Total",$B$4:$F$289,5,0),4)+0.03%</f>
        <v>2.3100000000000002E-2</v>
      </c>
      <c r="H37" s="15"/>
    </row>
    <row r="38" spans="1:9" ht="12.75" customHeight="1" x14ac:dyDescent="0.2">
      <c r="B38" s="18" t="s">
        <v>84</v>
      </c>
      <c r="C38" s="18"/>
      <c r="D38" s="18"/>
      <c r="E38" s="29"/>
      <c r="F38" s="19">
        <f>SUM(F37)</f>
        <v>48.362251499999729</v>
      </c>
      <c r="G38" s="20">
        <f>SUM(G37)</f>
        <v>2.3100000000000002E-2</v>
      </c>
      <c r="H38" s="21"/>
      <c r="I38" s="35"/>
    </row>
    <row r="39" spans="1:9" ht="12.75" customHeight="1" x14ac:dyDescent="0.2">
      <c r="B39" s="22" t="s">
        <v>95</v>
      </c>
      <c r="C39" s="22"/>
      <c r="D39" s="22"/>
      <c r="E39" s="30"/>
      <c r="F39" s="23">
        <f>+SUMIF($B$5:B38,"Total",$F$5:F38)</f>
        <v>2122.2472721999998</v>
      </c>
      <c r="G39" s="24">
        <f>+SUMIF($B$5:B38,"Total",$G$5:G38)</f>
        <v>1</v>
      </c>
      <c r="H39" s="25"/>
      <c r="I39" s="35"/>
    </row>
    <row r="40" spans="1:9" ht="12.75" customHeight="1" x14ac:dyDescent="0.2"/>
    <row r="41" spans="1:9" ht="12.75" customHeight="1" x14ac:dyDescent="0.2">
      <c r="B41" s="16" t="s">
        <v>592</v>
      </c>
      <c r="C41" s="16"/>
    </row>
    <row r="42" spans="1:9" ht="12.75" customHeight="1" x14ac:dyDescent="0.2">
      <c r="B42" s="16" t="s">
        <v>182</v>
      </c>
      <c r="C42" s="16"/>
    </row>
    <row r="43" spans="1:9" ht="12.75" customHeight="1" x14ac:dyDescent="0.2">
      <c r="B43" s="16"/>
      <c r="C43" s="16"/>
    </row>
    <row r="44" spans="1:9" ht="12.75" customHeight="1" x14ac:dyDescent="0.2">
      <c r="B44" s="16"/>
      <c r="C44" s="16"/>
    </row>
    <row r="45" spans="1:9" ht="12.75" customHeight="1" x14ac:dyDescent="0.2">
      <c r="B45" s="16"/>
      <c r="C45" s="16"/>
    </row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</sheetData>
  <sheetProtection password="EDB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9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372</v>
      </c>
      <c r="B1" s="126" t="s">
        <v>169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+MAX($A$7:A8)+1</f>
        <v>1</v>
      </c>
      <c r="B9" t="s">
        <v>188</v>
      </c>
      <c r="C9" t="s">
        <v>15</v>
      </c>
      <c r="D9" t="s">
        <v>14</v>
      </c>
      <c r="E9" s="28">
        <v>266500</v>
      </c>
      <c r="F9" s="13">
        <v>3016.2469999999998</v>
      </c>
      <c r="G9" s="14">
        <f t="shared" ref="G9:G40" si="0">+ROUND(F9/VLOOKUP("Grand Total",$B$4:$F$337,5,0),4)</f>
        <v>2.76E-2</v>
      </c>
      <c r="H9" s="15" t="s">
        <v>357</v>
      </c>
      <c r="I9" s="107"/>
      <c r="J9" s="14" t="s">
        <v>25</v>
      </c>
      <c r="K9" s="48">
        <f>SUMIFS($G$5:$G$375,$D$5:$D$375,J9)</f>
        <v>9.7899999999999987E-2</v>
      </c>
    </row>
    <row r="10" spans="1:16" ht="12.75" customHeight="1" x14ac:dyDescent="0.2">
      <c r="A10">
        <f>+MAX($A$7:A9)+1</f>
        <v>2</v>
      </c>
      <c r="B10" t="s">
        <v>187</v>
      </c>
      <c r="C10" t="s">
        <v>13</v>
      </c>
      <c r="D10" t="s">
        <v>10</v>
      </c>
      <c r="E10" s="28">
        <v>144203</v>
      </c>
      <c r="F10" s="13">
        <v>2719.8127830000003</v>
      </c>
      <c r="G10" s="14">
        <f t="shared" si="0"/>
        <v>2.4899999999999999E-2</v>
      </c>
      <c r="H10" s="15" t="s">
        <v>357</v>
      </c>
      <c r="I10" s="107"/>
      <c r="J10" s="14" t="s">
        <v>389</v>
      </c>
      <c r="K10" s="48">
        <f>SUMIFS($G$5:$G$375,$D$5:$D$375,J10)</f>
        <v>9.0600000000000014E-2</v>
      </c>
    </row>
    <row r="11" spans="1:16" ht="12.75" customHeight="1" x14ac:dyDescent="0.2">
      <c r="A11">
        <f>+MAX($A$7:A10)+1</f>
        <v>3</v>
      </c>
      <c r="B11" t="s">
        <v>196</v>
      </c>
      <c r="C11" t="s">
        <v>45</v>
      </c>
      <c r="D11" t="s">
        <v>25</v>
      </c>
      <c r="E11" s="28">
        <v>991277</v>
      </c>
      <c r="F11" s="13">
        <v>2532.7127350000001</v>
      </c>
      <c r="G11" s="14">
        <f t="shared" si="0"/>
        <v>2.3099999999999999E-2</v>
      </c>
      <c r="H11" s="15" t="s">
        <v>357</v>
      </c>
      <c r="I11" s="107"/>
      <c r="J11" s="14" t="s">
        <v>14</v>
      </c>
      <c r="K11" s="48">
        <f>SUMIFS($G$5:$G$375,$D$5:$D$375,J11)</f>
        <v>8.9099999999999999E-2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245</v>
      </c>
      <c r="C12" t="s">
        <v>114</v>
      </c>
      <c r="D12" t="s">
        <v>35</v>
      </c>
      <c r="E12" s="28">
        <v>1308080</v>
      </c>
      <c r="F12" s="13">
        <v>2219.81176</v>
      </c>
      <c r="G12" s="14">
        <f t="shared" si="0"/>
        <v>2.0299999999999999E-2</v>
      </c>
      <c r="H12" s="15" t="s">
        <v>357</v>
      </c>
      <c r="I12" s="107"/>
      <c r="J12" t="s">
        <v>107</v>
      </c>
      <c r="K12" s="48">
        <f t="shared" ref="K12:K52" si="1">SUMIFS($G$5:$G$375,$D$5:$D$375,J12)</f>
        <v>8.6799999999999974E-2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220</v>
      </c>
      <c r="C13" t="s">
        <v>70</v>
      </c>
      <c r="D13" t="s">
        <v>27</v>
      </c>
      <c r="E13" s="28">
        <v>167626</v>
      </c>
      <c r="F13" s="13">
        <v>2197.4092340000002</v>
      </c>
      <c r="G13" s="14">
        <f t="shared" si="0"/>
        <v>2.01E-2</v>
      </c>
      <c r="H13" s="15" t="s">
        <v>357</v>
      </c>
      <c r="I13" s="107"/>
      <c r="J13" s="14" t="s">
        <v>10</v>
      </c>
      <c r="K13" s="48">
        <f t="shared" si="1"/>
        <v>8.2199999999999995E-2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192</v>
      </c>
      <c r="C14" t="s">
        <v>24</v>
      </c>
      <c r="D14" t="s">
        <v>14</v>
      </c>
      <c r="E14" s="28">
        <v>224437</v>
      </c>
      <c r="F14" s="13">
        <v>2173.8967819999998</v>
      </c>
      <c r="G14" s="14">
        <f t="shared" si="0"/>
        <v>1.9900000000000001E-2</v>
      </c>
      <c r="H14" s="15" t="s">
        <v>357</v>
      </c>
      <c r="I14" s="107"/>
      <c r="J14" s="14" t="s">
        <v>23</v>
      </c>
      <c r="K14" s="48">
        <f t="shared" si="1"/>
        <v>4.8500000000000001E-2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211</v>
      </c>
      <c r="C15" t="s">
        <v>19</v>
      </c>
      <c r="D15" t="s">
        <v>14</v>
      </c>
      <c r="E15" s="28">
        <v>74759</v>
      </c>
      <c r="F15" s="13">
        <v>2129.9960485000001</v>
      </c>
      <c r="G15" s="14">
        <f t="shared" si="0"/>
        <v>1.95E-2</v>
      </c>
      <c r="H15" s="15" t="s">
        <v>357</v>
      </c>
      <c r="I15" s="107"/>
      <c r="J15" s="14" t="s">
        <v>35</v>
      </c>
      <c r="K15" s="48">
        <f t="shared" si="1"/>
        <v>4.2099999999999999E-2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550</v>
      </c>
      <c r="C16" t="s">
        <v>551</v>
      </c>
      <c r="D16" t="s">
        <v>25</v>
      </c>
      <c r="E16" s="28">
        <v>34690</v>
      </c>
      <c r="F16" s="13">
        <v>2116.1246900000001</v>
      </c>
      <c r="G16" s="14">
        <f t="shared" si="0"/>
        <v>1.9300000000000001E-2</v>
      </c>
      <c r="H16" s="15" t="s">
        <v>357</v>
      </c>
      <c r="I16" s="107"/>
      <c r="J16" s="14" t="s">
        <v>20</v>
      </c>
      <c r="K16" s="48">
        <f t="shared" si="1"/>
        <v>3.4300000000000004E-2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226</v>
      </c>
      <c r="C17" t="s">
        <v>77</v>
      </c>
      <c r="D17" t="s">
        <v>25</v>
      </c>
      <c r="E17" s="28">
        <v>66025</v>
      </c>
      <c r="F17" s="13">
        <v>2066.3514125000002</v>
      </c>
      <c r="G17" s="14">
        <f t="shared" si="0"/>
        <v>1.89E-2</v>
      </c>
      <c r="H17" s="15" t="s">
        <v>357</v>
      </c>
      <c r="I17" s="107"/>
      <c r="J17" s="14" t="s">
        <v>27</v>
      </c>
      <c r="K17" s="48">
        <f t="shared" si="1"/>
        <v>2.8400000000000002E-2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380</v>
      </c>
      <c r="C18" t="s">
        <v>379</v>
      </c>
      <c r="D18" t="s">
        <v>25</v>
      </c>
      <c r="E18" s="28">
        <v>624109</v>
      </c>
      <c r="F18" s="13">
        <v>2049.5739559999997</v>
      </c>
      <c r="G18" s="14">
        <f t="shared" si="0"/>
        <v>1.8700000000000001E-2</v>
      </c>
      <c r="H18" s="15" t="s">
        <v>357</v>
      </c>
      <c r="I18" s="107"/>
      <c r="J18" s="14" t="s">
        <v>40</v>
      </c>
      <c r="K18" s="48">
        <f t="shared" si="1"/>
        <v>2.4199999999999999E-2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308</v>
      </c>
      <c r="C19" t="s">
        <v>309</v>
      </c>
      <c r="D19" t="s">
        <v>141</v>
      </c>
      <c r="E19" s="28">
        <v>337043</v>
      </c>
      <c r="F19" s="13">
        <v>1901.2595630000001</v>
      </c>
      <c r="G19" s="14">
        <f t="shared" si="0"/>
        <v>1.7399999999999999E-2</v>
      </c>
      <c r="H19" s="15" t="s">
        <v>357</v>
      </c>
      <c r="I19" s="107"/>
      <c r="J19" s="14" t="s">
        <v>18</v>
      </c>
      <c r="K19" s="48">
        <f t="shared" si="1"/>
        <v>2.3E-2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485</v>
      </c>
      <c r="C20" t="s">
        <v>486</v>
      </c>
      <c r="D20" t="s">
        <v>23</v>
      </c>
      <c r="E20" s="28">
        <v>403000</v>
      </c>
      <c r="F20" s="13">
        <v>1866.8975</v>
      </c>
      <c r="G20" s="14">
        <f t="shared" si="0"/>
        <v>1.7100000000000001E-2</v>
      </c>
      <c r="H20" s="15" t="s">
        <v>357</v>
      </c>
      <c r="I20" s="107"/>
      <c r="J20" s="14" t="s">
        <v>105</v>
      </c>
      <c r="K20" s="48">
        <f t="shared" si="1"/>
        <v>2.01E-2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223</v>
      </c>
      <c r="C21" t="s">
        <v>78</v>
      </c>
      <c r="D21" t="s">
        <v>50</v>
      </c>
      <c r="E21" s="28">
        <v>654568</v>
      </c>
      <c r="F21" s="13">
        <v>1854.3911440000002</v>
      </c>
      <c r="G21" s="14">
        <f t="shared" si="0"/>
        <v>1.6899999999999998E-2</v>
      </c>
      <c r="H21" s="15" t="s">
        <v>357</v>
      </c>
      <c r="I21" s="107"/>
      <c r="J21" s="14" t="s">
        <v>22</v>
      </c>
      <c r="K21" s="48">
        <f t="shared" si="1"/>
        <v>1.8200000000000001E-2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193</v>
      </c>
      <c r="C22" t="s">
        <v>26</v>
      </c>
      <c r="D22" t="s">
        <v>23</v>
      </c>
      <c r="E22" s="28">
        <v>100000</v>
      </c>
      <c r="F22" s="13">
        <v>1825.6</v>
      </c>
      <c r="G22" s="14">
        <f t="shared" si="0"/>
        <v>1.67E-2</v>
      </c>
      <c r="H22" s="15" t="s">
        <v>357</v>
      </c>
      <c r="I22" s="107"/>
      <c r="J22" s="14" t="s">
        <v>131</v>
      </c>
      <c r="K22" s="48">
        <f t="shared" si="1"/>
        <v>1.8099999999999998E-2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548</v>
      </c>
      <c r="C23" t="s">
        <v>549</v>
      </c>
      <c r="D23" t="s">
        <v>35</v>
      </c>
      <c r="E23" s="28">
        <v>1930000</v>
      </c>
      <c r="F23" s="13">
        <v>1524.7</v>
      </c>
      <c r="G23" s="14">
        <f t="shared" si="0"/>
        <v>1.3899999999999999E-2</v>
      </c>
      <c r="H23" s="15" t="s">
        <v>357</v>
      </c>
      <c r="I23" s="107"/>
      <c r="J23" s="14" t="s">
        <v>141</v>
      </c>
      <c r="K23" s="48">
        <f t="shared" si="1"/>
        <v>1.7399999999999999E-2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189</v>
      </c>
      <c r="C24" t="s">
        <v>30</v>
      </c>
      <c r="D24" t="s">
        <v>29</v>
      </c>
      <c r="E24" s="28">
        <v>164300</v>
      </c>
      <c r="F24" s="13">
        <v>1450.2761</v>
      </c>
      <c r="G24" s="14">
        <f t="shared" si="0"/>
        <v>1.3299999999999999E-2</v>
      </c>
      <c r="H24" s="15" t="s">
        <v>357</v>
      </c>
      <c r="I24" s="107"/>
      <c r="J24" s="14" t="s">
        <v>283</v>
      </c>
      <c r="K24" s="48">
        <f t="shared" si="1"/>
        <v>1.72E-2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190</v>
      </c>
      <c r="C25" t="s">
        <v>11</v>
      </c>
      <c r="D25" t="s">
        <v>10</v>
      </c>
      <c r="E25" s="28">
        <v>509976</v>
      </c>
      <c r="F25" s="13">
        <v>1419.518196</v>
      </c>
      <c r="G25" s="14">
        <f t="shared" si="0"/>
        <v>1.2999999999999999E-2</v>
      </c>
      <c r="H25" s="15" t="s">
        <v>357</v>
      </c>
      <c r="I25" s="107"/>
      <c r="J25" s="14" t="s">
        <v>50</v>
      </c>
      <c r="K25" s="48">
        <f t="shared" si="1"/>
        <v>1.6899999999999998E-2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262</v>
      </c>
      <c r="C26" t="s">
        <v>81</v>
      </c>
      <c r="D26" t="s">
        <v>14</v>
      </c>
      <c r="E26" s="28">
        <v>202500</v>
      </c>
      <c r="F26" s="13">
        <v>1407.07125</v>
      </c>
      <c r="G26" s="14">
        <f t="shared" si="0"/>
        <v>1.29E-2</v>
      </c>
      <c r="H26" s="15" t="s">
        <v>357</v>
      </c>
      <c r="I26" s="107"/>
      <c r="J26" s="14" t="s">
        <v>317</v>
      </c>
      <c r="K26" s="48">
        <f t="shared" si="1"/>
        <v>1.6199999999999999E-2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394</v>
      </c>
      <c r="C27" t="s">
        <v>395</v>
      </c>
      <c r="D27" t="s">
        <v>396</v>
      </c>
      <c r="E27" s="28">
        <v>847943</v>
      </c>
      <c r="F27" s="13">
        <v>1396.1381494999998</v>
      </c>
      <c r="G27" s="14">
        <f t="shared" si="0"/>
        <v>1.2800000000000001E-2</v>
      </c>
      <c r="H27" s="15" t="s">
        <v>357</v>
      </c>
      <c r="I27" s="107"/>
      <c r="J27" s="14" t="s">
        <v>44</v>
      </c>
      <c r="K27" s="48">
        <f t="shared" si="1"/>
        <v>1.5099999999999999E-2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207</v>
      </c>
      <c r="C28" t="s">
        <v>97</v>
      </c>
      <c r="D28" t="s">
        <v>10</v>
      </c>
      <c r="E28" s="28">
        <v>132716</v>
      </c>
      <c r="F28" s="13">
        <v>1390.598248</v>
      </c>
      <c r="G28" s="14">
        <f t="shared" si="0"/>
        <v>1.2699999999999999E-2</v>
      </c>
      <c r="H28" s="15" t="s">
        <v>357</v>
      </c>
      <c r="I28" s="107"/>
      <c r="J28" s="14" t="s">
        <v>542</v>
      </c>
      <c r="K28" s="48">
        <f t="shared" si="1"/>
        <v>1.4200000000000001E-2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201</v>
      </c>
      <c r="C29" t="s">
        <v>51</v>
      </c>
      <c r="D29" t="s">
        <v>40</v>
      </c>
      <c r="E29" s="28">
        <v>1293614</v>
      </c>
      <c r="F29" s="13">
        <v>1377.0521030000002</v>
      </c>
      <c r="G29" s="14">
        <f t="shared" si="0"/>
        <v>1.26E-2</v>
      </c>
      <c r="H29" s="15" t="s">
        <v>357</v>
      </c>
      <c r="I29" s="107"/>
      <c r="J29" s="14" t="s">
        <v>349</v>
      </c>
      <c r="K29" s="48">
        <f t="shared" si="1"/>
        <v>1.41E-2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235</v>
      </c>
      <c r="C30" t="s">
        <v>99</v>
      </c>
      <c r="D30" t="s">
        <v>20</v>
      </c>
      <c r="E30" s="28">
        <v>176563</v>
      </c>
      <c r="F30" s="13">
        <v>1304.6240070000001</v>
      </c>
      <c r="G30" s="14">
        <f t="shared" si="0"/>
        <v>1.1900000000000001E-2</v>
      </c>
      <c r="H30" s="15" t="s">
        <v>357</v>
      </c>
      <c r="I30" s="107"/>
      <c r="J30" t="s">
        <v>311</v>
      </c>
      <c r="K30" s="48">
        <f t="shared" si="1"/>
        <v>1.4E-2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552</v>
      </c>
      <c r="C31" t="s">
        <v>553</v>
      </c>
      <c r="D31" t="s">
        <v>105</v>
      </c>
      <c r="E31" s="28">
        <v>1740000</v>
      </c>
      <c r="F31" s="13">
        <v>1221.48</v>
      </c>
      <c r="G31" s="14">
        <f t="shared" si="0"/>
        <v>1.12E-2</v>
      </c>
      <c r="H31" s="15" t="s">
        <v>357</v>
      </c>
      <c r="I31" s="107"/>
      <c r="J31" t="s">
        <v>158</v>
      </c>
      <c r="K31" s="48">
        <f t="shared" si="1"/>
        <v>1.3499999999999998E-2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206</v>
      </c>
      <c r="C32" t="s">
        <v>73</v>
      </c>
      <c r="D32" t="s">
        <v>470</v>
      </c>
      <c r="E32" s="28">
        <v>915888</v>
      </c>
      <c r="F32" s="13">
        <v>1185.1590719999999</v>
      </c>
      <c r="G32" s="14">
        <f t="shared" si="0"/>
        <v>1.0800000000000001E-2</v>
      </c>
      <c r="H32" s="15" t="s">
        <v>357</v>
      </c>
      <c r="I32" s="107"/>
      <c r="J32" t="s">
        <v>171</v>
      </c>
      <c r="K32" s="48">
        <f t="shared" si="1"/>
        <v>1.35E-2</v>
      </c>
      <c r="L32" s="54">
        <f>+SUM($K$9:K37)</f>
        <v>0.9111999999999999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16</v>
      </c>
      <c r="C33" t="s">
        <v>17</v>
      </c>
      <c r="D33" t="s">
        <v>10</v>
      </c>
      <c r="E33" s="28">
        <v>462536</v>
      </c>
      <c r="F33" s="13">
        <v>1155.8774640000001</v>
      </c>
      <c r="G33" s="14">
        <f t="shared" si="0"/>
        <v>1.06E-2</v>
      </c>
      <c r="H33" s="15" t="s">
        <v>357</v>
      </c>
      <c r="I33" s="107"/>
      <c r="J33" s="14" t="s">
        <v>29</v>
      </c>
      <c r="K33" s="48">
        <f t="shared" si="1"/>
        <v>1.3299999999999999E-2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243</v>
      </c>
      <c r="C34" t="s">
        <v>111</v>
      </c>
      <c r="D34" t="s">
        <v>20</v>
      </c>
      <c r="E34" s="28">
        <v>29440</v>
      </c>
      <c r="F34" s="13">
        <v>1043.0003200000001</v>
      </c>
      <c r="G34" s="14">
        <f t="shared" si="0"/>
        <v>9.4999999999999998E-3</v>
      </c>
      <c r="H34" s="15" t="s">
        <v>357</v>
      </c>
      <c r="I34" s="107"/>
      <c r="J34" s="14" t="s">
        <v>396</v>
      </c>
      <c r="K34" s="48">
        <f t="shared" si="1"/>
        <v>1.2800000000000001E-2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633</v>
      </c>
      <c r="C35" t="s">
        <v>634</v>
      </c>
      <c r="D35" t="s">
        <v>36</v>
      </c>
      <c r="E35" s="28">
        <v>80323</v>
      </c>
      <c r="F35" s="13">
        <v>1036.5281534999999</v>
      </c>
      <c r="G35" s="14">
        <f t="shared" si="0"/>
        <v>9.4999999999999998E-3</v>
      </c>
      <c r="H35" s="15" t="s">
        <v>357</v>
      </c>
      <c r="I35" s="107"/>
      <c r="J35" s="14" t="s">
        <v>470</v>
      </c>
      <c r="K35" s="48">
        <f t="shared" si="1"/>
        <v>1.0800000000000001E-2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210</v>
      </c>
      <c r="C36" t="s">
        <v>60</v>
      </c>
      <c r="D36" t="s">
        <v>22</v>
      </c>
      <c r="E36" s="28">
        <v>184760</v>
      </c>
      <c r="F36" s="13">
        <v>1030.6836599999999</v>
      </c>
      <c r="G36" s="14">
        <f t="shared" si="0"/>
        <v>9.4000000000000004E-3</v>
      </c>
      <c r="H36" s="15" t="s">
        <v>357</v>
      </c>
      <c r="I36" s="107"/>
      <c r="J36" s="14" t="s">
        <v>36</v>
      </c>
      <c r="K36" s="48">
        <f t="shared" si="1"/>
        <v>9.4999999999999998E-3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244</v>
      </c>
      <c r="C37" t="s">
        <v>112</v>
      </c>
      <c r="D37" t="s">
        <v>14</v>
      </c>
      <c r="E37" s="28">
        <v>157852</v>
      </c>
      <c r="F37" s="13">
        <v>1008.200724</v>
      </c>
      <c r="G37" s="14">
        <f t="shared" si="0"/>
        <v>9.1999999999999998E-3</v>
      </c>
      <c r="H37" s="15" t="s">
        <v>357</v>
      </c>
      <c r="I37" s="107"/>
      <c r="J37" t="s">
        <v>46</v>
      </c>
      <c r="K37" s="48">
        <f t="shared" si="1"/>
        <v>9.1999999999999998E-3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250</v>
      </c>
      <c r="C38" t="s">
        <v>118</v>
      </c>
      <c r="D38" t="s">
        <v>46</v>
      </c>
      <c r="E38" s="28">
        <v>306666</v>
      </c>
      <c r="F38" s="13">
        <v>1007.551143</v>
      </c>
      <c r="G38" s="14">
        <f t="shared" si="0"/>
        <v>9.1999999999999998E-3</v>
      </c>
      <c r="H38" s="15" t="s">
        <v>357</v>
      </c>
      <c r="I38" s="107"/>
      <c r="J38" s="14" t="s">
        <v>159</v>
      </c>
      <c r="K38" s="48">
        <f t="shared" si="1"/>
        <v>8.9999999999999993E-3</v>
      </c>
    </row>
    <row r="39" spans="1:16" ht="12.75" customHeight="1" x14ac:dyDescent="0.2">
      <c r="A39">
        <f>+MAX($A$7:A38)+1</f>
        <v>31</v>
      </c>
      <c r="B39" t="s">
        <v>519</v>
      </c>
      <c r="C39" t="s">
        <v>520</v>
      </c>
      <c r="D39" t="s">
        <v>131</v>
      </c>
      <c r="E39" s="28">
        <v>266291</v>
      </c>
      <c r="F39" s="13">
        <v>997.65923150000003</v>
      </c>
      <c r="G39" s="14">
        <f t="shared" si="0"/>
        <v>9.1000000000000004E-3</v>
      </c>
      <c r="H39" s="15" t="s">
        <v>357</v>
      </c>
      <c r="I39" s="107"/>
      <c r="J39" s="14" t="s">
        <v>33</v>
      </c>
      <c r="K39" s="48">
        <f t="shared" si="1"/>
        <v>6.4000000000000003E-3</v>
      </c>
    </row>
    <row r="40" spans="1:16" ht="12.75" customHeight="1" x14ac:dyDescent="0.2">
      <c r="A40">
        <f>+MAX($A$7:A39)+1</f>
        <v>32</v>
      </c>
      <c r="B40" t="s">
        <v>234</v>
      </c>
      <c r="C40" t="s">
        <v>100</v>
      </c>
      <c r="D40" t="s">
        <v>25</v>
      </c>
      <c r="E40" s="28">
        <v>74235</v>
      </c>
      <c r="F40" s="13">
        <v>989.81237250000004</v>
      </c>
      <c r="G40" s="14">
        <f t="shared" si="0"/>
        <v>8.9999999999999993E-3</v>
      </c>
      <c r="H40" s="15" t="s">
        <v>357</v>
      </c>
      <c r="I40" s="107"/>
      <c r="J40" t="s">
        <v>535</v>
      </c>
      <c r="K40" s="48">
        <f t="shared" si="1"/>
        <v>6.3E-3</v>
      </c>
    </row>
    <row r="41" spans="1:16" ht="12.75" customHeight="1" x14ac:dyDescent="0.2">
      <c r="A41">
        <f>+MAX($A$7:A40)+1</f>
        <v>33</v>
      </c>
      <c r="B41" t="s">
        <v>334</v>
      </c>
      <c r="C41" t="s">
        <v>397</v>
      </c>
      <c r="D41" t="s">
        <v>131</v>
      </c>
      <c r="E41" s="28">
        <v>90699</v>
      </c>
      <c r="F41" s="13">
        <v>984.62834400000008</v>
      </c>
      <c r="G41" s="14">
        <f t="shared" ref="G41:G69" si="2">+ROUND(F41/VLOOKUP("Grand Total",$B$4:$F$337,5,0),4)</f>
        <v>8.9999999999999993E-3</v>
      </c>
      <c r="H41" s="15" t="s">
        <v>357</v>
      </c>
      <c r="I41" s="107"/>
      <c r="J41" s="90" t="s">
        <v>590</v>
      </c>
      <c r="K41" s="48">
        <f t="shared" si="1"/>
        <v>5.5999999999999999E-3</v>
      </c>
    </row>
    <row r="42" spans="1:16" ht="12.75" customHeight="1" x14ac:dyDescent="0.2">
      <c r="A42">
        <f>+MAX($A$7:A41)+1</f>
        <v>34</v>
      </c>
      <c r="B42" t="s">
        <v>573</v>
      </c>
      <c r="C42" t="s">
        <v>574</v>
      </c>
      <c r="D42" t="s">
        <v>105</v>
      </c>
      <c r="E42" s="28">
        <v>1150000</v>
      </c>
      <c r="F42" s="13">
        <v>972.32500000000005</v>
      </c>
      <c r="G42" s="14">
        <f t="shared" si="2"/>
        <v>8.8999999999999999E-3</v>
      </c>
      <c r="H42" s="15" t="s">
        <v>357</v>
      </c>
      <c r="I42" s="107"/>
      <c r="J42" t="s">
        <v>42</v>
      </c>
      <c r="K42" s="48">
        <f t="shared" si="1"/>
        <v>4.8999999999999998E-3</v>
      </c>
    </row>
    <row r="43" spans="1:16" ht="12.75" customHeight="1" x14ac:dyDescent="0.2">
      <c r="A43">
        <f>+MAX($A$7:A42)+1</f>
        <v>35</v>
      </c>
      <c r="B43" s="65" t="s">
        <v>225</v>
      </c>
      <c r="C43" s="65" t="s">
        <v>80</v>
      </c>
      <c r="D43" t="s">
        <v>44</v>
      </c>
      <c r="E43" s="28">
        <v>322378</v>
      </c>
      <c r="F43" s="13">
        <v>968.90707900000007</v>
      </c>
      <c r="G43" s="14">
        <f t="shared" si="2"/>
        <v>8.8999999999999999E-3</v>
      </c>
      <c r="H43" s="15" t="s">
        <v>357</v>
      </c>
      <c r="I43" s="107"/>
      <c r="J43" t="s">
        <v>352</v>
      </c>
      <c r="K43" s="48">
        <f t="shared" si="1"/>
        <v>4.7999999999999996E-3</v>
      </c>
    </row>
    <row r="44" spans="1:16" ht="12.75" customHeight="1" x14ac:dyDescent="0.2">
      <c r="A44">
        <f>+MAX($A$7:A43)+1</f>
        <v>36</v>
      </c>
      <c r="B44" t="s">
        <v>415</v>
      </c>
      <c r="C44" t="s">
        <v>67</v>
      </c>
      <c r="D44" t="s">
        <v>22</v>
      </c>
      <c r="E44" s="28">
        <v>193514</v>
      </c>
      <c r="F44" s="13">
        <v>958.08781400000009</v>
      </c>
      <c r="G44" s="14">
        <f t="shared" si="2"/>
        <v>8.8000000000000005E-3</v>
      </c>
      <c r="H44" s="15" t="s">
        <v>357</v>
      </c>
      <c r="I44" s="107"/>
      <c r="J44" s="14" t="s">
        <v>285</v>
      </c>
      <c r="K44" s="48">
        <f t="shared" si="1"/>
        <v>4.5999999999999999E-3</v>
      </c>
    </row>
    <row r="45" spans="1:16" ht="12.75" customHeight="1" x14ac:dyDescent="0.2">
      <c r="A45">
        <f>+MAX($A$7:A44)+1</f>
        <v>37</v>
      </c>
      <c r="B45" t="s">
        <v>219</v>
      </c>
      <c r="C45" t="s">
        <v>65</v>
      </c>
      <c r="D45" t="s">
        <v>27</v>
      </c>
      <c r="E45" s="28">
        <v>233862</v>
      </c>
      <c r="F45" s="13">
        <v>911.47714499999995</v>
      </c>
      <c r="G45" s="14">
        <f t="shared" si="2"/>
        <v>8.3000000000000001E-3</v>
      </c>
      <c r="H45" s="15" t="s">
        <v>357</v>
      </c>
      <c r="I45" s="107"/>
      <c r="J45" s="14" t="s">
        <v>450</v>
      </c>
      <c r="K45" s="48">
        <f t="shared" si="1"/>
        <v>4.5999999999999999E-3</v>
      </c>
    </row>
    <row r="46" spans="1:16" ht="12.75" customHeight="1" x14ac:dyDescent="0.2">
      <c r="A46">
        <f>+MAX($A$7:A45)+1</f>
        <v>38</v>
      </c>
      <c r="B46" t="s">
        <v>242</v>
      </c>
      <c r="C46" t="s">
        <v>113</v>
      </c>
      <c r="D46" t="s">
        <v>35</v>
      </c>
      <c r="E46" s="28">
        <v>450000</v>
      </c>
      <c r="F46" s="13">
        <v>869.625</v>
      </c>
      <c r="G46" s="14">
        <f t="shared" si="2"/>
        <v>7.9000000000000008E-3</v>
      </c>
      <c r="H46" s="15" t="s">
        <v>357</v>
      </c>
      <c r="I46" s="107"/>
      <c r="J46" t="s">
        <v>466</v>
      </c>
      <c r="K46" s="48">
        <f t="shared" si="1"/>
        <v>4.4999999999999997E-3</v>
      </c>
    </row>
    <row r="47" spans="1:16" ht="12.75" customHeight="1" x14ac:dyDescent="0.2">
      <c r="A47">
        <f>+MAX($A$7:A46)+1</f>
        <v>39</v>
      </c>
      <c r="B47" t="s">
        <v>433</v>
      </c>
      <c r="C47" t="s">
        <v>434</v>
      </c>
      <c r="D47" t="s">
        <v>23</v>
      </c>
      <c r="E47" s="28">
        <v>572097</v>
      </c>
      <c r="F47" s="13">
        <v>866.72695499999998</v>
      </c>
      <c r="G47" s="14">
        <f t="shared" si="2"/>
        <v>7.9000000000000008E-3</v>
      </c>
      <c r="H47" s="15" t="s">
        <v>357</v>
      </c>
      <c r="I47" s="107"/>
      <c r="J47" s="14" t="s">
        <v>31</v>
      </c>
      <c r="K47" s="48">
        <f t="shared" si="1"/>
        <v>4.4000000000000003E-3</v>
      </c>
    </row>
    <row r="48" spans="1:16" ht="12.75" customHeight="1" x14ac:dyDescent="0.2">
      <c r="A48">
        <f>+MAX($A$7:A47)+1</f>
        <v>40</v>
      </c>
      <c r="B48" t="s">
        <v>303</v>
      </c>
      <c r="C48" t="s">
        <v>66</v>
      </c>
      <c r="D48" t="s">
        <v>18</v>
      </c>
      <c r="E48" s="28">
        <v>600000</v>
      </c>
      <c r="F48" s="13">
        <v>850.5</v>
      </c>
      <c r="G48" s="14">
        <f t="shared" si="2"/>
        <v>7.7999999999999996E-3</v>
      </c>
      <c r="H48" s="15" t="s">
        <v>357</v>
      </c>
      <c r="I48" s="107"/>
      <c r="J48" t="s">
        <v>37</v>
      </c>
      <c r="K48" s="48">
        <f t="shared" si="1"/>
        <v>4.4000000000000003E-3</v>
      </c>
    </row>
    <row r="49" spans="1:11" ht="12.75" customHeight="1" x14ac:dyDescent="0.2">
      <c r="A49">
        <f>+MAX($A$7:A48)+1</f>
        <v>41</v>
      </c>
      <c r="B49" t="s">
        <v>39</v>
      </c>
      <c r="C49" t="s">
        <v>41</v>
      </c>
      <c r="D49" t="s">
        <v>10</v>
      </c>
      <c r="E49" s="28">
        <v>561699</v>
      </c>
      <c r="F49" s="13">
        <v>799.29767700000002</v>
      </c>
      <c r="G49" s="14">
        <f t="shared" si="2"/>
        <v>7.3000000000000001E-3</v>
      </c>
      <c r="H49" s="15" t="s">
        <v>357</v>
      </c>
      <c r="I49" s="107"/>
      <c r="J49" t="s">
        <v>591</v>
      </c>
      <c r="K49" s="48">
        <f t="shared" si="1"/>
        <v>2.7000000000000001E-3</v>
      </c>
    </row>
    <row r="50" spans="1:11" ht="12.75" customHeight="1" x14ac:dyDescent="0.2">
      <c r="A50">
        <f>+MAX($A$7:A49)+1</f>
        <v>42</v>
      </c>
      <c r="B50" t="s">
        <v>197</v>
      </c>
      <c r="C50" t="s">
        <v>43</v>
      </c>
      <c r="D50" t="s">
        <v>23</v>
      </c>
      <c r="E50" s="28">
        <v>145008</v>
      </c>
      <c r="F50" s="13">
        <v>739.75831200000005</v>
      </c>
      <c r="G50" s="14">
        <f t="shared" si="2"/>
        <v>6.7999999999999996E-3</v>
      </c>
      <c r="H50" s="15" t="s">
        <v>357</v>
      </c>
      <c r="I50" s="107"/>
      <c r="J50" s="14" t="s">
        <v>286</v>
      </c>
      <c r="K50" s="48">
        <f t="shared" si="1"/>
        <v>8.9999999999999998E-4</v>
      </c>
    </row>
    <row r="51" spans="1:11" ht="12.75" customHeight="1" x14ac:dyDescent="0.2">
      <c r="A51">
        <f>+MAX($A$7:A50)+1</f>
        <v>43</v>
      </c>
      <c r="B51" t="s">
        <v>199</v>
      </c>
      <c r="C51" t="s">
        <v>52</v>
      </c>
      <c r="D51" t="s">
        <v>18</v>
      </c>
      <c r="E51" s="28">
        <v>18538</v>
      </c>
      <c r="F51" s="13">
        <v>732.25099999999998</v>
      </c>
      <c r="G51" s="14">
        <f t="shared" si="2"/>
        <v>6.7000000000000002E-3</v>
      </c>
      <c r="H51" s="15" t="s">
        <v>357</v>
      </c>
      <c r="I51" s="107"/>
      <c r="J51" s="14" t="s">
        <v>418</v>
      </c>
      <c r="K51" s="48">
        <f t="shared" si="1"/>
        <v>2.9999999999999997E-4</v>
      </c>
    </row>
    <row r="52" spans="1:11" ht="12.75" customHeight="1" x14ac:dyDescent="0.2">
      <c r="A52">
        <f>+MAX($A$7:A51)+1</f>
        <v>44</v>
      </c>
      <c r="B52" t="s">
        <v>218</v>
      </c>
      <c r="C52" t="s">
        <v>69</v>
      </c>
      <c r="D52" t="s">
        <v>10</v>
      </c>
      <c r="E52" s="28">
        <v>806552</v>
      </c>
      <c r="F52" s="13">
        <v>719.44438400000001</v>
      </c>
      <c r="G52" s="14">
        <f t="shared" si="2"/>
        <v>6.6E-3</v>
      </c>
      <c r="H52" s="15" t="s">
        <v>357</v>
      </c>
      <c r="I52" s="107"/>
      <c r="J52" t="s">
        <v>101</v>
      </c>
      <c r="K52" s="48">
        <f t="shared" si="1"/>
        <v>0</v>
      </c>
    </row>
    <row r="53" spans="1:11" ht="12.75" customHeight="1" x14ac:dyDescent="0.2">
      <c r="A53">
        <f>+MAX($A$7:A52)+1</f>
        <v>45</v>
      </c>
      <c r="B53" t="s">
        <v>191</v>
      </c>
      <c r="C53" t="s">
        <v>21</v>
      </c>
      <c r="D53" t="s">
        <v>20</v>
      </c>
      <c r="E53" s="28">
        <v>217228</v>
      </c>
      <c r="F53" s="13">
        <v>710.00971800000002</v>
      </c>
      <c r="G53" s="14">
        <f t="shared" si="2"/>
        <v>6.4999999999999997E-3</v>
      </c>
      <c r="H53" s="15" t="s">
        <v>357</v>
      </c>
      <c r="I53" s="107"/>
      <c r="J53" s="14" t="s">
        <v>63</v>
      </c>
      <c r="K53" s="48">
        <f>+SUMIFS($G$5:$G$997,$B$5:$B$997,"CBLO / Reverse Repo Investments")+SUMIFS($G$5:$G$997,$B$5:$B$997,"Net Receivable/Payable")</f>
        <v>2.5400000000000002E-2</v>
      </c>
    </row>
    <row r="54" spans="1:11" ht="12.75" customHeight="1" x14ac:dyDescent="0.2">
      <c r="A54">
        <f>+MAX($A$7:A53)+1</f>
        <v>46</v>
      </c>
      <c r="B54" t="s">
        <v>270</v>
      </c>
      <c r="C54" t="s">
        <v>144</v>
      </c>
      <c r="D54" t="s">
        <v>40</v>
      </c>
      <c r="E54" s="28">
        <v>100000</v>
      </c>
      <c r="F54" s="13">
        <v>702.65</v>
      </c>
      <c r="G54" s="14">
        <f t="shared" si="2"/>
        <v>6.4000000000000003E-3</v>
      </c>
      <c r="H54" s="15" t="s">
        <v>357</v>
      </c>
      <c r="I54" s="107"/>
    </row>
    <row r="55" spans="1:11" ht="12.75" customHeight="1" x14ac:dyDescent="0.2">
      <c r="A55">
        <f>+MAX($A$7:A54)+1</f>
        <v>47</v>
      </c>
      <c r="B55" t="s">
        <v>204</v>
      </c>
      <c r="C55" t="s">
        <v>48</v>
      </c>
      <c r="D55" t="s">
        <v>20</v>
      </c>
      <c r="E55" s="28">
        <v>7924</v>
      </c>
      <c r="F55" s="13">
        <v>702.15356400000007</v>
      </c>
      <c r="G55" s="14">
        <f t="shared" si="2"/>
        <v>6.4000000000000003E-3</v>
      </c>
      <c r="H55" s="15" t="s">
        <v>357</v>
      </c>
      <c r="I55" s="107"/>
    </row>
    <row r="56" spans="1:11" ht="12.75" customHeight="1" x14ac:dyDescent="0.2">
      <c r="A56">
        <f>+MAX($A$7:A55)+1</f>
        <v>48</v>
      </c>
      <c r="B56" t="s">
        <v>209</v>
      </c>
      <c r="C56" t="s">
        <v>64</v>
      </c>
      <c r="D56" t="s">
        <v>33</v>
      </c>
      <c r="E56" s="28">
        <v>174829</v>
      </c>
      <c r="F56" s="13">
        <v>697.04322300000001</v>
      </c>
      <c r="G56" s="14">
        <f t="shared" si="2"/>
        <v>6.4000000000000003E-3</v>
      </c>
      <c r="H56" s="15" t="s">
        <v>357</v>
      </c>
      <c r="I56" s="107"/>
    </row>
    <row r="57" spans="1:11" ht="12.75" customHeight="1" x14ac:dyDescent="0.2">
      <c r="A57">
        <f>+MAX($A$7:A56)+1</f>
        <v>49</v>
      </c>
      <c r="B57" t="s">
        <v>521</v>
      </c>
      <c r="C57" t="s">
        <v>522</v>
      </c>
      <c r="D57" t="s">
        <v>44</v>
      </c>
      <c r="E57" s="28">
        <v>1021430</v>
      </c>
      <c r="F57" s="13">
        <v>678.74023499999998</v>
      </c>
      <c r="G57" s="14">
        <f t="shared" si="2"/>
        <v>6.1999999999999998E-3</v>
      </c>
      <c r="H57" s="15" t="s">
        <v>357</v>
      </c>
      <c r="I57" s="107"/>
    </row>
    <row r="58" spans="1:11" ht="12.75" customHeight="1" x14ac:dyDescent="0.2">
      <c r="A58">
        <f>+MAX($A$7:A57)+1</f>
        <v>50</v>
      </c>
      <c r="B58" t="s">
        <v>455</v>
      </c>
      <c r="C58" t="s">
        <v>456</v>
      </c>
      <c r="D58" t="s">
        <v>40</v>
      </c>
      <c r="E58" s="28">
        <v>165000</v>
      </c>
      <c r="F58" s="13">
        <v>564.46500000000003</v>
      </c>
      <c r="G58" s="14">
        <f t="shared" si="2"/>
        <v>5.1999999999999998E-3</v>
      </c>
      <c r="H58" s="15" t="s">
        <v>357</v>
      </c>
      <c r="I58" s="107"/>
    </row>
    <row r="59" spans="1:11" ht="12.75" customHeight="1" x14ac:dyDescent="0.2">
      <c r="A59">
        <f>+MAX($A$7:A58)+1</f>
        <v>51</v>
      </c>
      <c r="B59" t="s">
        <v>471</v>
      </c>
      <c r="C59" t="s">
        <v>472</v>
      </c>
      <c r="D59" t="s">
        <v>42</v>
      </c>
      <c r="E59" s="28">
        <v>59992</v>
      </c>
      <c r="F59" s="13">
        <v>538.57817999999997</v>
      </c>
      <c r="G59" s="14">
        <f t="shared" si="2"/>
        <v>4.8999999999999998E-3</v>
      </c>
      <c r="H59" s="15" t="s">
        <v>357</v>
      </c>
      <c r="I59" s="107"/>
    </row>
    <row r="60" spans="1:11" ht="12.75" customHeight="1" x14ac:dyDescent="0.2">
      <c r="A60">
        <f>+MAX($A$7:A59)+1</f>
        <v>52</v>
      </c>
      <c r="B60" t="s">
        <v>301</v>
      </c>
      <c r="C60" t="s">
        <v>56</v>
      </c>
      <c r="D60" t="s">
        <v>25</v>
      </c>
      <c r="E60" s="28">
        <v>43807</v>
      </c>
      <c r="F60" s="13">
        <v>512.89235600000006</v>
      </c>
      <c r="G60" s="14">
        <f t="shared" si="2"/>
        <v>4.7000000000000002E-3</v>
      </c>
      <c r="H60" s="15" t="s">
        <v>357</v>
      </c>
      <c r="I60" s="107"/>
    </row>
    <row r="61" spans="1:11" ht="12.75" customHeight="1" x14ac:dyDescent="0.2">
      <c r="A61">
        <f>+MAX($A$7:A60)+1</f>
        <v>53</v>
      </c>
      <c r="B61" t="s">
        <v>302</v>
      </c>
      <c r="C61" t="s">
        <v>75</v>
      </c>
      <c r="D61" t="s">
        <v>37</v>
      </c>
      <c r="E61" s="28">
        <v>146336</v>
      </c>
      <c r="F61" s="13">
        <v>485.83551999999997</v>
      </c>
      <c r="G61" s="14">
        <f t="shared" si="2"/>
        <v>4.4000000000000003E-3</v>
      </c>
      <c r="H61" s="15" t="s">
        <v>357</v>
      </c>
      <c r="I61" s="107"/>
    </row>
    <row r="62" spans="1:11" ht="12.75" customHeight="1" x14ac:dyDescent="0.2">
      <c r="A62">
        <f>+MAX($A$7:A61)+1</f>
        <v>54</v>
      </c>
      <c r="B62" t="s">
        <v>494</v>
      </c>
      <c r="C62" t="s">
        <v>495</v>
      </c>
      <c r="D62" t="s">
        <v>31</v>
      </c>
      <c r="E62" s="28">
        <v>305000</v>
      </c>
      <c r="F62" s="13">
        <v>479.61250000000001</v>
      </c>
      <c r="G62" s="14">
        <f t="shared" si="2"/>
        <v>4.4000000000000003E-3</v>
      </c>
      <c r="H62" s="15" t="s">
        <v>357</v>
      </c>
      <c r="I62" s="107"/>
    </row>
    <row r="63" spans="1:11" ht="12.75" customHeight="1" x14ac:dyDescent="0.2">
      <c r="A63">
        <f>+MAX($A$7:A62)+1</f>
        <v>55</v>
      </c>
      <c r="B63" t="s">
        <v>198</v>
      </c>
      <c r="C63" t="s">
        <v>47</v>
      </c>
      <c r="D63" t="s">
        <v>25</v>
      </c>
      <c r="E63" s="28">
        <v>9276</v>
      </c>
      <c r="F63" s="13">
        <v>461.072856</v>
      </c>
      <c r="G63" s="14">
        <f t="shared" si="2"/>
        <v>4.1999999999999997E-3</v>
      </c>
      <c r="H63" s="15" t="s">
        <v>357</v>
      </c>
      <c r="I63" s="107"/>
    </row>
    <row r="64" spans="1:11" ht="12.75" customHeight="1" x14ac:dyDescent="0.2">
      <c r="A64">
        <f>+MAX($A$7:A63)+1</f>
        <v>56</v>
      </c>
      <c r="B64" t="s">
        <v>212</v>
      </c>
      <c r="C64" t="s">
        <v>28</v>
      </c>
      <c r="D64" t="s">
        <v>10</v>
      </c>
      <c r="E64" s="28">
        <v>85419</v>
      </c>
      <c r="F64" s="13">
        <v>436.06399499999998</v>
      </c>
      <c r="G64" s="14">
        <f t="shared" si="2"/>
        <v>4.0000000000000001E-3</v>
      </c>
      <c r="H64" s="15" t="s">
        <v>357</v>
      </c>
      <c r="I64" s="107"/>
    </row>
    <row r="65" spans="1:9" ht="12.75" customHeight="1" x14ac:dyDescent="0.2">
      <c r="A65">
        <f>+MAX($A$7:A64)+1</f>
        <v>57</v>
      </c>
      <c r="B65" t="s">
        <v>523</v>
      </c>
      <c r="C65" t="s">
        <v>524</v>
      </c>
      <c r="D65" t="s">
        <v>10</v>
      </c>
      <c r="E65" s="28">
        <v>645520</v>
      </c>
      <c r="F65" s="13">
        <v>335.99315999999999</v>
      </c>
      <c r="G65" s="14">
        <f t="shared" si="2"/>
        <v>3.0999999999999999E-3</v>
      </c>
      <c r="H65" s="15" t="s">
        <v>357</v>
      </c>
      <c r="I65" s="107"/>
    </row>
    <row r="66" spans="1:9" ht="12.75" customHeight="1" x14ac:dyDescent="0.2">
      <c r="A66">
        <f>+MAX($A$7:A65)+1</f>
        <v>58</v>
      </c>
      <c r="B66" t="s">
        <v>253</v>
      </c>
      <c r="C66" t="s">
        <v>121</v>
      </c>
      <c r="D66" t="s">
        <v>18</v>
      </c>
      <c r="E66" s="28">
        <v>21646</v>
      </c>
      <c r="F66" s="13">
        <v>326.31344999999999</v>
      </c>
      <c r="G66" s="14">
        <f t="shared" si="2"/>
        <v>3.0000000000000001E-3</v>
      </c>
      <c r="H66" s="15" t="s">
        <v>357</v>
      </c>
      <c r="I66" s="107"/>
    </row>
    <row r="67" spans="1:9" ht="12.75" customHeight="1" x14ac:dyDescent="0.2">
      <c r="A67">
        <f>+MAX($A$7:A66)+1</f>
        <v>59</v>
      </c>
      <c r="B67" t="s">
        <v>252</v>
      </c>
      <c r="C67" t="s">
        <v>119</v>
      </c>
      <c r="D67" t="s">
        <v>18</v>
      </c>
      <c r="E67" s="28">
        <v>135300</v>
      </c>
      <c r="F67" s="13">
        <v>315.18135000000001</v>
      </c>
      <c r="G67" s="14">
        <f t="shared" si="2"/>
        <v>2.8999999999999998E-3</v>
      </c>
      <c r="H67" s="15" t="s">
        <v>357</v>
      </c>
      <c r="I67" s="107"/>
    </row>
    <row r="68" spans="1:9" ht="12.75" customHeight="1" x14ac:dyDescent="0.2">
      <c r="A68">
        <f>+MAX($A$7:A67)+1</f>
        <v>60</v>
      </c>
      <c r="B68" t="s">
        <v>326</v>
      </c>
      <c r="C68" t="s">
        <v>327</v>
      </c>
      <c r="D68" t="s">
        <v>18</v>
      </c>
      <c r="E68" s="28">
        <v>39494</v>
      </c>
      <c r="F68" s="13">
        <v>282.26361800000001</v>
      </c>
      <c r="G68" s="14">
        <f t="shared" si="2"/>
        <v>2.5999999999999999E-3</v>
      </c>
      <c r="H68" s="15" t="s">
        <v>357</v>
      </c>
      <c r="I68" s="107"/>
    </row>
    <row r="69" spans="1:9" ht="12.75" customHeight="1" x14ac:dyDescent="0.2">
      <c r="A69">
        <f>+MAX($A$7:A68)+1</f>
        <v>61</v>
      </c>
      <c r="B69" t="s">
        <v>416</v>
      </c>
      <c r="C69" t="s">
        <v>417</v>
      </c>
      <c r="D69" t="s">
        <v>418</v>
      </c>
      <c r="E69" s="28">
        <v>17235</v>
      </c>
      <c r="F69" s="13">
        <v>32.660325</v>
      </c>
      <c r="G69" s="14">
        <f t="shared" si="2"/>
        <v>2.9999999999999997E-4</v>
      </c>
      <c r="H69" s="15" t="s">
        <v>357</v>
      </c>
      <c r="I69" s="107"/>
    </row>
    <row r="70" spans="1:9" ht="12.75" customHeight="1" x14ac:dyDescent="0.2">
      <c r="A70">
        <f>+MAX($A$7:A69)+1</f>
        <v>62</v>
      </c>
      <c r="B70" t="s">
        <v>541</v>
      </c>
      <c r="C70" t="s">
        <v>83</v>
      </c>
      <c r="D70" t="s">
        <v>101</v>
      </c>
      <c r="E70" s="28">
        <v>30579</v>
      </c>
      <c r="F70" s="13">
        <v>0</v>
      </c>
      <c r="G70" s="108" t="s">
        <v>516</v>
      </c>
      <c r="H70" s="15" t="s">
        <v>357</v>
      </c>
      <c r="I70" s="107"/>
    </row>
    <row r="71" spans="1:9" ht="12.75" customHeight="1" x14ac:dyDescent="0.2">
      <c r="B71" s="18" t="s">
        <v>84</v>
      </c>
      <c r="C71" s="18"/>
      <c r="D71" s="18"/>
      <c r="E71" s="29"/>
      <c r="F71" s="19">
        <f>SUM(F9:F70)</f>
        <v>71250.572561999987</v>
      </c>
      <c r="G71" s="20">
        <f>SUM(G9:G70)</f>
        <v>0.65149999999999997</v>
      </c>
      <c r="H71" s="21"/>
      <c r="I71" s="35"/>
    </row>
    <row r="72" spans="1:9" ht="12.75" customHeight="1" x14ac:dyDescent="0.2">
      <c r="F72" s="13"/>
      <c r="G72" s="14"/>
      <c r="H72" s="15"/>
    </row>
    <row r="73" spans="1:9" ht="12.75" customHeight="1" x14ac:dyDescent="0.2">
      <c r="B73" s="16" t="s">
        <v>90</v>
      </c>
      <c r="C73" s="16"/>
      <c r="F73" s="13"/>
      <c r="G73" s="14"/>
      <c r="H73" s="15"/>
    </row>
    <row r="74" spans="1:9" ht="12.75" customHeight="1" x14ac:dyDescent="0.2">
      <c r="B74" s="16" t="s">
        <v>728</v>
      </c>
      <c r="C74" s="16"/>
      <c r="F74" s="13"/>
      <c r="G74" s="14"/>
      <c r="H74" s="15"/>
    </row>
    <row r="75" spans="1:9" ht="12.75" customHeight="1" x14ac:dyDescent="0.2">
      <c r="A75">
        <f>+MAX($A$7:A74)+1</f>
        <v>63</v>
      </c>
      <c r="B75" s="65" t="s">
        <v>696</v>
      </c>
      <c r="C75" t="s">
        <v>697</v>
      </c>
      <c r="D75" t="s">
        <v>317</v>
      </c>
      <c r="E75" s="28">
        <v>1800</v>
      </c>
      <c r="F75" s="13">
        <v>1774.6235999999999</v>
      </c>
      <c r="G75" s="14">
        <f>+ROUND(F75/VLOOKUP("Grand Total",$B$4:$F$337,5,0),4)</f>
        <v>1.6199999999999999E-2</v>
      </c>
      <c r="H75" s="15">
        <v>43273</v>
      </c>
      <c r="I75" s="107"/>
    </row>
    <row r="76" spans="1:9" ht="12.75" customHeight="1" x14ac:dyDescent="0.2">
      <c r="A76">
        <f>+MAX($A$7:A75)+1</f>
        <v>64</v>
      </c>
      <c r="B76" s="65" t="s">
        <v>190</v>
      </c>
      <c r="C76" t="s">
        <v>610</v>
      </c>
      <c r="D76" t="s">
        <v>159</v>
      </c>
      <c r="E76" s="28">
        <v>1000</v>
      </c>
      <c r="F76" s="13">
        <v>989.54899999999998</v>
      </c>
      <c r="G76" s="14">
        <f>+ROUND(F76/VLOOKUP("Grand Total",$B$4:$F$337,5,0),4)</f>
        <v>8.9999999999999993E-3</v>
      </c>
      <c r="H76" s="15">
        <v>43251</v>
      </c>
      <c r="I76" s="107"/>
    </row>
    <row r="77" spans="1:9" ht="12.75" customHeight="1" x14ac:dyDescent="0.2">
      <c r="A77">
        <f>+MAX($A$7:A76)+1</f>
        <v>65</v>
      </c>
      <c r="B77" s="65" t="s">
        <v>702</v>
      </c>
      <c r="C77" t="s">
        <v>703</v>
      </c>
      <c r="D77" t="s">
        <v>158</v>
      </c>
      <c r="E77" s="28">
        <v>500</v>
      </c>
      <c r="F77" s="13">
        <v>495.42200000000003</v>
      </c>
      <c r="G77" s="14">
        <f>+ROUND(F77/VLOOKUP("Grand Total",$B$4:$F$337,5,0),4)</f>
        <v>4.4999999999999997E-3</v>
      </c>
      <c r="H77" s="15">
        <v>43236</v>
      </c>
      <c r="I77" s="107"/>
    </row>
    <row r="78" spans="1:9" ht="12.75" customHeight="1" x14ac:dyDescent="0.2">
      <c r="B78" s="18" t="s">
        <v>84</v>
      </c>
      <c r="C78" s="18"/>
      <c r="D78" s="18"/>
      <c r="E78" s="29"/>
      <c r="F78" s="19">
        <f>SUM(F75:F77)</f>
        <v>3259.5945999999999</v>
      </c>
      <c r="G78" s="20">
        <f>SUM(G75:G77)</f>
        <v>2.9700000000000001E-2</v>
      </c>
      <c r="H78" s="21"/>
    </row>
    <row r="79" spans="1:9" ht="12.75" customHeight="1" x14ac:dyDescent="0.2">
      <c r="B79" s="16"/>
      <c r="C79" s="16"/>
      <c r="F79" s="13"/>
      <c r="G79" s="14"/>
      <c r="H79" s="15"/>
    </row>
    <row r="80" spans="1:9" ht="12.75" customHeight="1" x14ac:dyDescent="0.2">
      <c r="B80" s="16" t="s">
        <v>299</v>
      </c>
      <c r="C80" s="16"/>
      <c r="F80" s="13"/>
      <c r="G80" s="14"/>
      <c r="H80" s="15"/>
    </row>
    <row r="81" spans="1:9" ht="12.75" customHeight="1" x14ac:dyDescent="0.2">
      <c r="A81">
        <f>+MAX($A$7:A80)+1</f>
        <v>66</v>
      </c>
      <c r="B81" s="65" t="s">
        <v>284</v>
      </c>
      <c r="C81" t="s">
        <v>532</v>
      </c>
      <c r="D81" t="s">
        <v>542</v>
      </c>
      <c r="E81" s="28">
        <v>200</v>
      </c>
      <c r="F81" s="13">
        <v>965.10599999999999</v>
      </c>
      <c r="G81" s="14">
        <f t="shared" ref="G81:G88" si="3">+ROUND(F81/VLOOKUP("Grand Total",$B$4:$F$337,5,0),4)</f>
        <v>8.8000000000000005E-3</v>
      </c>
      <c r="H81" s="15">
        <v>43350</v>
      </c>
      <c r="I81" s="107"/>
    </row>
    <row r="82" spans="1:9" ht="12.75" customHeight="1" x14ac:dyDescent="0.2">
      <c r="A82">
        <f>+MAX($A$7:A81)+1</f>
        <v>67</v>
      </c>
      <c r="B82" s="65" t="s">
        <v>638</v>
      </c>
      <c r="C82" t="s">
        <v>639</v>
      </c>
      <c r="D82" t="s">
        <v>283</v>
      </c>
      <c r="E82" s="28">
        <v>180</v>
      </c>
      <c r="F82" s="13">
        <v>893.17439999999999</v>
      </c>
      <c r="G82" s="14">
        <f t="shared" si="3"/>
        <v>8.2000000000000007E-3</v>
      </c>
      <c r="H82" s="15">
        <v>43228</v>
      </c>
      <c r="I82" s="107"/>
    </row>
    <row r="83" spans="1:9" ht="12.75" customHeight="1" x14ac:dyDescent="0.2">
      <c r="A83">
        <f>+MAX($A$7:A82)+1</f>
        <v>68</v>
      </c>
      <c r="B83" s="65" t="s">
        <v>534</v>
      </c>
      <c r="C83" t="s">
        <v>673</v>
      </c>
      <c r="D83" t="s">
        <v>535</v>
      </c>
      <c r="E83" s="28">
        <v>140</v>
      </c>
      <c r="F83" s="13">
        <v>684.61749999999995</v>
      </c>
      <c r="G83" s="14">
        <f t="shared" si="3"/>
        <v>6.3E-3</v>
      </c>
      <c r="H83" s="15">
        <v>43272</v>
      </c>
      <c r="I83" s="107"/>
    </row>
    <row r="84" spans="1:9" ht="12.75" customHeight="1" x14ac:dyDescent="0.2">
      <c r="A84">
        <f>+MAX($A$7:A83)+1</f>
        <v>69</v>
      </c>
      <c r="B84" s="65" t="s">
        <v>284</v>
      </c>
      <c r="C84" t="s">
        <v>640</v>
      </c>
      <c r="D84" t="s">
        <v>542</v>
      </c>
      <c r="E84" s="28">
        <v>120</v>
      </c>
      <c r="F84" s="13">
        <v>593.59799999999996</v>
      </c>
      <c r="G84" s="14">
        <f t="shared" si="3"/>
        <v>5.4000000000000003E-3</v>
      </c>
      <c r="H84" s="15">
        <v>43241</v>
      </c>
      <c r="I84" s="107"/>
    </row>
    <row r="85" spans="1:9" ht="12.75" customHeight="1" x14ac:dyDescent="0.2">
      <c r="A85">
        <f>+MAX($A$7:A84)+1</f>
        <v>70</v>
      </c>
      <c r="B85" s="65" t="s">
        <v>704</v>
      </c>
      <c r="C85" t="s">
        <v>705</v>
      </c>
      <c r="D85" t="s">
        <v>283</v>
      </c>
      <c r="E85" s="28">
        <v>100</v>
      </c>
      <c r="F85" s="13">
        <v>496.77499999999998</v>
      </c>
      <c r="G85" s="14">
        <f t="shared" si="3"/>
        <v>4.4999999999999997E-3</v>
      </c>
      <c r="H85" s="15">
        <v>43217</v>
      </c>
      <c r="I85" s="107"/>
    </row>
    <row r="86" spans="1:9" ht="12.75" customHeight="1" x14ac:dyDescent="0.2">
      <c r="A86">
        <f>+MAX($A$7:A85)+1</f>
        <v>71</v>
      </c>
      <c r="B86" s="65" t="s">
        <v>706</v>
      </c>
      <c r="C86" t="s">
        <v>707</v>
      </c>
      <c r="D86" t="s">
        <v>283</v>
      </c>
      <c r="E86" s="28">
        <v>100</v>
      </c>
      <c r="F86" s="13">
        <v>496.7045</v>
      </c>
      <c r="G86" s="14">
        <f t="shared" si="3"/>
        <v>4.4999999999999997E-3</v>
      </c>
      <c r="H86" s="15">
        <v>43217</v>
      </c>
      <c r="I86" s="107"/>
    </row>
    <row r="87" spans="1:9" ht="12.75" customHeight="1" x14ac:dyDescent="0.2">
      <c r="A87">
        <f>+MAX($A$7:A86)+1</f>
        <v>72</v>
      </c>
      <c r="B87" s="65" t="s">
        <v>533</v>
      </c>
      <c r="C87" t="s">
        <v>708</v>
      </c>
      <c r="D87" t="s">
        <v>158</v>
      </c>
      <c r="E87" s="28">
        <v>100</v>
      </c>
      <c r="F87" s="13">
        <v>495.72500000000002</v>
      </c>
      <c r="G87" s="14">
        <f t="shared" si="3"/>
        <v>4.4999999999999997E-3</v>
      </c>
      <c r="H87" s="15">
        <v>43231</v>
      </c>
      <c r="I87" s="107"/>
    </row>
    <row r="88" spans="1:9" ht="12.75" customHeight="1" x14ac:dyDescent="0.2">
      <c r="A88">
        <f>+MAX($A$7:A87)+1</f>
        <v>73</v>
      </c>
      <c r="B88" s="65" t="s">
        <v>644</v>
      </c>
      <c r="C88" t="s">
        <v>645</v>
      </c>
      <c r="D88" t="s">
        <v>158</v>
      </c>
      <c r="E88" s="28">
        <v>100</v>
      </c>
      <c r="F88" s="13">
        <v>493.827</v>
      </c>
      <c r="G88" s="14">
        <f t="shared" si="3"/>
        <v>4.4999999999999997E-3</v>
      </c>
      <c r="H88" s="15">
        <v>43248</v>
      </c>
      <c r="I88" s="107"/>
    </row>
    <row r="89" spans="1:9" ht="12.75" customHeight="1" x14ac:dyDescent="0.2">
      <c r="B89" s="18" t="s">
        <v>84</v>
      </c>
      <c r="C89" s="18"/>
      <c r="D89" s="18"/>
      <c r="E89" s="29"/>
      <c r="F89" s="19">
        <f>SUM(F81:F88)</f>
        <v>5119.5274000000009</v>
      </c>
      <c r="G89" s="20">
        <f>SUM(G81:G88)</f>
        <v>4.6699999999999992E-2</v>
      </c>
      <c r="H89" s="21"/>
    </row>
    <row r="90" spans="1:9" ht="12.75" customHeight="1" x14ac:dyDescent="0.2">
      <c r="F90" s="13"/>
      <c r="G90" s="14"/>
      <c r="H90" s="15"/>
    </row>
    <row r="91" spans="1:9" ht="12.75" customHeight="1" x14ac:dyDescent="0.2">
      <c r="B91" s="16" t="s">
        <v>123</v>
      </c>
      <c r="C91" s="16"/>
      <c r="F91" s="13"/>
      <c r="G91" s="14"/>
      <c r="H91" s="15"/>
    </row>
    <row r="92" spans="1:9" ht="12.75" customHeight="1" x14ac:dyDescent="0.2">
      <c r="B92" s="31" t="s">
        <v>392</v>
      </c>
      <c r="C92" s="16"/>
      <c r="F92" s="13"/>
      <c r="G92" s="14"/>
      <c r="H92" s="15"/>
    </row>
    <row r="93" spans="1:9" ht="12.75" customHeight="1" x14ac:dyDescent="0.2">
      <c r="A93">
        <f>+MAX($A$7:A92)+1</f>
        <v>74</v>
      </c>
      <c r="B93" s="65" t="s">
        <v>732</v>
      </c>
      <c r="C93" t="s">
        <v>694</v>
      </c>
      <c r="D93" t="s">
        <v>107</v>
      </c>
      <c r="E93" s="28">
        <v>200</v>
      </c>
      <c r="F93" s="13">
        <v>1944.4459999999999</v>
      </c>
      <c r="G93" s="14">
        <f t="shared" ref="G93:G112" si="4">+ROUND(F93/VLOOKUP("Grand Total",$B$4:$F$337,5,0),4)</f>
        <v>1.78E-2</v>
      </c>
      <c r="H93" s="15">
        <v>46525</v>
      </c>
      <c r="I93" s="107"/>
    </row>
    <row r="94" spans="1:9" ht="12.75" customHeight="1" x14ac:dyDescent="0.2">
      <c r="A94">
        <f>+MAX($A$7:A93)+1</f>
        <v>75</v>
      </c>
      <c r="B94" s="65" t="s">
        <v>684</v>
      </c>
      <c r="C94" t="s">
        <v>536</v>
      </c>
      <c r="D94" t="s">
        <v>107</v>
      </c>
      <c r="E94" s="28">
        <v>150</v>
      </c>
      <c r="F94" s="13">
        <v>1482.3420000000001</v>
      </c>
      <c r="G94" s="14">
        <f t="shared" si="4"/>
        <v>1.35E-2</v>
      </c>
      <c r="H94" s="15">
        <v>44104</v>
      </c>
      <c r="I94" s="107"/>
    </row>
    <row r="95" spans="1:9" ht="12.75" customHeight="1" x14ac:dyDescent="0.2">
      <c r="A95">
        <f>+MAX($A$7:A94)+1</f>
        <v>76</v>
      </c>
      <c r="B95" s="65" t="s">
        <v>621</v>
      </c>
      <c r="C95" t="s">
        <v>515</v>
      </c>
      <c r="D95" t="s">
        <v>171</v>
      </c>
      <c r="E95" s="28">
        <v>150</v>
      </c>
      <c r="F95" s="13">
        <v>1477.9469999999999</v>
      </c>
      <c r="G95" s="14">
        <f t="shared" si="4"/>
        <v>1.35E-2</v>
      </c>
      <c r="H95" s="15">
        <v>44376</v>
      </c>
      <c r="I95" s="107"/>
    </row>
    <row r="96" spans="1:9" ht="12.75" customHeight="1" x14ac:dyDescent="0.2">
      <c r="A96">
        <f>+MAX($A$7:A95)+1</f>
        <v>77</v>
      </c>
      <c r="B96" s="65" t="s">
        <v>695</v>
      </c>
      <c r="C96" t="s">
        <v>537</v>
      </c>
      <c r="D96" t="s">
        <v>107</v>
      </c>
      <c r="E96" s="28">
        <v>150</v>
      </c>
      <c r="F96" s="13">
        <v>1458.075</v>
      </c>
      <c r="G96" s="14">
        <f t="shared" si="4"/>
        <v>1.3299999999999999E-2</v>
      </c>
      <c r="H96" s="15">
        <v>44804</v>
      </c>
      <c r="I96" s="107"/>
    </row>
    <row r="97" spans="1:9" ht="12.75" customHeight="1" x14ac:dyDescent="0.2">
      <c r="A97">
        <f>+MAX($A$7:A96)+1</f>
        <v>78</v>
      </c>
      <c r="B97" s="65" t="s">
        <v>491</v>
      </c>
      <c r="C97" t="s">
        <v>492</v>
      </c>
      <c r="D97" t="s">
        <v>107</v>
      </c>
      <c r="E97" s="28">
        <v>110</v>
      </c>
      <c r="F97" s="13">
        <v>1098.0210999999999</v>
      </c>
      <c r="G97" s="14">
        <f t="shared" si="4"/>
        <v>0.01</v>
      </c>
      <c r="H97" s="15">
        <v>44091</v>
      </c>
      <c r="I97" s="107"/>
    </row>
    <row r="98" spans="1:9" ht="12.75" customHeight="1" x14ac:dyDescent="0.2">
      <c r="A98">
        <f>+MAX($A$7:A97)+1</f>
        <v>79</v>
      </c>
      <c r="B98" s="65" t="s">
        <v>618</v>
      </c>
      <c r="C98" t="s">
        <v>566</v>
      </c>
      <c r="D98" t="s">
        <v>107</v>
      </c>
      <c r="E98" s="28">
        <v>100</v>
      </c>
      <c r="F98" s="13">
        <v>1026.675</v>
      </c>
      <c r="G98" s="14">
        <f t="shared" si="4"/>
        <v>9.4000000000000004E-3</v>
      </c>
      <c r="H98" s="15">
        <v>45042</v>
      </c>
      <c r="I98" s="107"/>
    </row>
    <row r="99" spans="1:9" ht="12.75" customHeight="1" x14ac:dyDescent="0.2">
      <c r="A99">
        <f>+MAX($A$7:A98)+1</f>
        <v>80</v>
      </c>
      <c r="B99" s="65" t="s">
        <v>619</v>
      </c>
      <c r="C99" t="s">
        <v>511</v>
      </c>
      <c r="D99" t="s">
        <v>349</v>
      </c>
      <c r="E99" s="28">
        <v>90000</v>
      </c>
      <c r="F99" s="13">
        <v>905.76089999999999</v>
      </c>
      <c r="G99" s="14">
        <f t="shared" si="4"/>
        <v>8.3000000000000001E-3</v>
      </c>
      <c r="H99" s="15">
        <v>43717</v>
      </c>
      <c r="I99" s="107"/>
    </row>
    <row r="100" spans="1:9" ht="12.75" customHeight="1" x14ac:dyDescent="0.2">
      <c r="A100">
        <f>+MAX($A$7:A99)+1</f>
        <v>81</v>
      </c>
      <c r="B100" s="65" t="s">
        <v>626</v>
      </c>
      <c r="C100" t="s">
        <v>603</v>
      </c>
      <c r="D100" t="s">
        <v>590</v>
      </c>
      <c r="E100" s="28">
        <v>70</v>
      </c>
      <c r="F100" s="13">
        <v>613.36590000000001</v>
      </c>
      <c r="G100" s="14">
        <f t="shared" si="4"/>
        <v>5.5999999999999999E-3</v>
      </c>
      <c r="H100" s="15">
        <v>43826</v>
      </c>
      <c r="I100" s="107"/>
    </row>
    <row r="101" spans="1:9" ht="12.75" customHeight="1" x14ac:dyDescent="0.2">
      <c r="A101">
        <f>+MAX($A$7:A100)+1</f>
        <v>82</v>
      </c>
      <c r="B101" s="65" t="s">
        <v>709</v>
      </c>
      <c r="C101" t="s">
        <v>538</v>
      </c>
      <c r="D101" t="s">
        <v>107</v>
      </c>
      <c r="E101" s="28">
        <v>50</v>
      </c>
      <c r="F101" s="13">
        <v>508.13350000000003</v>
      </c>
      <c r="G101" s="14">
        <f t="shared" si="4"/>
        <v>4.5999999999999999E-3</v>
      </c>
      <c r="H101" s="15">
        <v>44004</v>
      </c>
      <c r="I101" s="107"/>
    </row>
    <row r="102" spans="1:9" ht="12.75" customHeight="1" x14ac:dyDescent="0.2">
      <c r="A102">
        <f>+MAX($A$7:A101)+1</f>
        <v>83</v>
      </c>
      <c r="B102" s="65" t="s">
        <v>642</v>
      </c>
      <c r="C102" t="s">
        <v>449</v>
      </c>
      <c r="D102" t="s">
        <v>450</v>
      </c>
      <c r="E102" s="28">
        <v>50</v>
      </c>
      <c r="F102" s="13">
        <v>503.94150000000002</v>
      </c>
      <c r="G102" s="14">
        <f t="shared" si="4"/>
        <v>4.5999999999999999E-3</v>
      </c>
      <c r="H102" s="15">
        <v>44693</v>
      </c>
      <c r="I102" s="107"/>
    </row>
    <row r="103" spans="1:9" ht="12.75" customHeight="1" x14ac:dyDescent="0.2">
      <c r="A103">
        <f>+MAX($A$7:A102)+1</f>
        <v>84</v>
      </c>
      <c r="B103" s="65" t="s">
        <v>619</v>
      </c>
      <c r="C103" t="s">
        <v>422</v>
      </c>
      <c r="D103" t="s">
        <v>349</v>
      </c>
      <c r="E103" s="28">
        <v>50000</v>
      </c>
      <c r="F103" s="13">
        <v>503.00850000000003</v>
      </c>
      <c r="G103" s="14">
        <f t="shared" si="4"/>
        <v>4.5999999999999999E-3</v>
      </c>
      <c r="H103" s="15">
        <v>43693</v>
      </c>
      <c r="I103" s="107"/>
    </row>
    <row r="104" spans="1:9" ht="12.75" customHeight="1" x14ac:dyDescent="0.2">
      <c r="A104">
        <f>+MAX($A$7:A103)+1</f>
        <v>85</v>
      </c>
      <c r="B104" s="65" t="s">
        <v>628</v>
      </c>
      <c r="C104" t="s">
        <v>587</v>
      </c>
      <c r="D104" t="s">
        <v>107</v>
      </c>
      <c r="E104" s="28">
        <v>5</v>
      </c>
      <c r="F104" s="13">
        <v>499.47050000000002</v>
      </c>
      <c r="G104" s="14">
        <f t="shared" si="4"/>
        <v>4.5999999999999999E-3</v>
      </c>
      <c r="H104" s="15">
        <v>43367</v>
      </c>
      <c r="I104" s="107"/>
    </row>
    <row r="105" spans="1:9" ht="12.75" customHeight="1" x14ac:dyDescent="0.2">
      <c r="A105">
        <f>+MAX($A$7:A104)+1</f>
        <v>86</v>
      </c>
      <c r="B105" s="65" t="s">
        <v>627</v>
      </c>
      <c r="C105" t="s">
        <v>604</v>
      </c>
      <c r="D105" t="s">
        <v>285</v>
      </c>
      <c r="E105" s="28">
        <v>50</v>
      </c>
      <c r="F105" s="13">
        <v>499.3965</v>
      </c>
      <c r="G105" s="14">
        <f t="shared" si="4"/>
        <v>4.5999999999999999E-3</v>
      </c>
      <c r="H105" s="15">
        <v>43643</v>
      </c>
      <c r="I105" s="107"/>
    </row>
    <row r="106" spans="1:9" ht="12.75" customHeight="1" x14ac:dyDescent="0.2">
      <c r="A106">
        <f>+MAX($A$7:A105)+1</f>
        <v>87</v>
      </c>
      <c r="B106" s="65" t="s">
        <v>710</v>
      </c>
      <c r="C106" t="s">
        <v>436</v>
      </c>
      <c r="D106" t="s">
        <v>107</v>
      </c>
      <c r="E106" s="28">
        <v>5</v>
      </c>
      <c r="F106" s="13">
        <v>499.02699999999999</v>
      </c>
      <c r="G106" s="14">
        <f t="shared" si="4"/>
        <v>4.5999999999999999E-3</v>
      </c>
      <c r="H106" s="15">
        <v>43544</v>
      </c>
      <c r="I106" s="107"/>
    </row>
    <row r="107" spans="1:9" ht="12.75" customHeight="1" x14ac:dyDescent="0.2">
      <c r="A107">
        <f>+MAX($A$7:A106)+1</f>
        <v>88</v>
      </c>
      <c r="B107" s="65" t="s">
        <v>629</v>
      </c>
      <c r="C107" t="s">
        <v>435</v>
      </c>
      <c r="D107" t="s">
        <v>107</v>
      </c>
      <c r="E107" s="28">
        <v>50</v>
      </c>
      <c r="F107" s="13">
        <v>497.91</v>
      </c>
      <c r="G107" s="14">
        <f t="shared" si="4"/>
        <v>4.5999999999999999E-3</v>
      </c>
      <c r="H107" s="15">
        <v>44006</v>
      </c>
      <c r="I107" s="107"/>
    </row>
    <row r="108" spans="1:9" ht="12.75" customHeight="1" x14ac:dyDescent="0.2">
      <c r="A108">
        <f>+MAX($A$7:A107)+1</f>
        <v>89</v>
      </c>
      <c r="B108" s="65" t="s">
        <v>630</v>
      </c>
      <c r="C108" t="s">
        <v>493</v>
      </c>
      <c r="D108" t="s">
        <v>466</v>
      </c>
      <c r="E108" s="28">
        <v>50</v>
      </c>
      <c r="F108" s="13">
        <v>495.16899999999998</v>
      </c>
      <c r="G108" s="14">
        <f t="shared" si="4"/>
        <v>4.4999999999999997E-3</v>
      </c>
      <c r="H108" s="15">
        <v>44026</v>
      </c>
      <c r="I108" s="107"/>
    </row>
    <row r="109" spans="1:9" ht="12.75" customHeight="1" x14ac:dyDescent="0.2">
      <c r="A109">
        <f>+MAX($A$7:A108)+1</f>
        <v>90</v>
      </c>
      <c r="B109" s="65" t="s">
        <v>661</v>
      </c>
      <c r="C109" t="s">
        <v>646</v>
      </c>
      <c r="D109" t="s">
        <v>107</v>
      </c>
      <c r="E109" s="28">
        <v>50</v>
      </c>
      <c r="F109" s="13">
        <v>477.9975</v>
      </c>
      <c r="G109" s="14">
        <f t="shared" si="4"/>
        <v>4.4000000000000003E-3</v>
      </c>
      <c r="H109" s="15">
        <v>46557</v>
      </c>
      <c r="I109" s="107"/>
    </row>
    <row r="110" spans="1:9" ht="12.75" customHeight="1" x14ac:dyDescent="0.2">
      <c r="A110">
        <f>+MAX($A$7:A109)+1</f>
        <v>91</v>
      </c>
      <c r="B110" s="65" t="s">
        <v>624</v>
      </c>
      <c r="C110" t="s">
        <v>446</v>
      </c>
      <c r="D110" t="s">
        <v>591</v>
      </c>
      <c r="E110" s="28">
        <v>30</v>
      </c>
      <c r="F110" s="13">
        <v>300.4083</v>
      </c>
      <c r="G110" s="14">
        <f t="shared" si="4"/>
        <v>2.7000000000000001E-3</v>
      </c>
      <c r="H110" s="15">
        <v>43469</v>
      </c>
      <c r="I110" s="107"/>
    </row>
    <row r="111" spans="1:9" ht="12.75" customHeight="1" x14ac:dyDescent="0.2">
      <c r="A111">
        <f>+MAX($A$7:A110)+1</f>
        <v>92</v>
      </c>
      <c r="B111" s="65" t="s">
        <v>623</v>
      </c>
      <c r="C111" t="s">
        <v>406</v>
      </c>
      <c r="D111" t="s">
        <v>349</v>
      </c>
      <c r="E111" s="28">
        <v>13</v>
      </c>
      <c r="F111" s="13">
        <v>130.29952</v>
      </c>
      <c r="G111" s="14">
        <f t="shared" si="4"/>
        <v>1.1999999999999999E-3</v>
      </c>
      <c r="H111" s="15">
        <v>43322</v>
      </c>
      <c r="I111" s="107"/>
    </row>
    <row r="112" spans="1:9" ht="12.75" customHeight="1" x14ac:dyDescent="0.2">
      <c r="A112">
        <f>+MAX($A$7:A111)+1</f>
        <v>93</v>
      </c>
      <c r="B112" s="65" t="s">
        <v>631</v>
      </c>
      <c r="C112" t="s">
        <v>322</v>
      </c>
      <c r="D112" t="s">
        <v>286</v>
      </c>
      <c r="E112" s="28">
        <v>10</v>
      </c>
      <c r="F112" s="13">
        <v>101.30719999999999</v>
      </c>
      <c r="G112" s="14">
        <f t="shared" si="4"/>
        <v>8.9999999999999998E-4</v>
      </c>
      <c r="H112" s="15">
        <v>43621</v>
      </c>
      <c r="I112" s="107"/>
    </row>
    <row r="113" spans="1:11" ht="12.75" customHeight="1" x14ac:dyDescent="0.2">
      <c r="B113" s="18" t="s">
        <v>84</v>
      </c>
      <c r="C113" s="18"/>
      <c r="D113" s="18"/>
      <c r="E113" s="29"/>
      <c r="F113" s="19">
        <f>SUM(F93:F112)</f>
        <v>15022.701919999998</v>
      </c>
      <c r="G113" s="20">
        <f>SUM(G93:G112)</f>
        <v>0.13729999999999998</v>
      </c>
      <c r="H113" s="21"/>
    </row>
    <row r="114" spans="1:11" ht="12.75" customHeight="1" x14ac:dyDescent="0.2">
      <c r="F114" s="13"/>
      <c r="G114" s="14"/>
      <c r="H114" s="15"/>
    </row>
    <row r="115" spans="1:11" ht="12.75" customHeight="1" x14ac:dyDescent="0.2">
      <c r="B115" s="16" t="s">
        <v>729</v>
      </c>
      <c r="C115" s="16"/>
      <c r="F115" s="13"/>
      <c r="G115" s="14"/>
      <c r="H115" s="15"/>
    </row>
    <row r="116" spans="1:11" ht="12.75" customHeight="1" x14ac:dyDescent="0.2">
      <c r="A116">
        <f>+MAX($A$7:A115)+1</f>
        <v>94</v>
      </c>
      <c r="B116" s="65" t="s">
        <v>681</v>
      </c>
      <c r="C116" t="s">
        <v>514</v>
      </c>
      <c r="D116" t="s">
        <v>352</v>
      </c>
      <c r="E116" s="28">
        <v>50</v>
      </c>
      <c r="F116" s="13">
        <v>528.48350000000005</v>
      </c>
      <c r="G116" s="14">
        <f>+ROUND(F116/VLOOKUP("Grand Total",$B$4:$F$337,5,0),4)</f>
        <v>4.7999999999999996E-3</v>
      </c>
      <c r="H116" s="15">
        <v>43321</v>
      </c>
    </row>
    <row r="117" spans="1:11" ht="12.75" customHeight="1" x14ac:dyDescent="0.2">
      <c r="B117" s="18" t="s">
        <v>84</v>
      </c>
      <c r="C117" s="18"/>
      <c r="D117" s="18"/>
      <c r="E117" s="29"/>
      <c r="F117" s="19">
        <f>SUM(F116:F116)</f>
        <v>528.48350000000005</v>
      </c>
      <c r="G117" s="20">
        <f>SUM(G116:G116)</f>
        <v>4.7999999999999996E-3</v>
      </c>
      <c r="H117" s="21"/>
    </row>
    <row r="118" spans="1:11" s="46" customFormat="1" ht="12.75" customHeight="1" x14ac:dyDescent="0.2">
      <c r="B118" s="67"/>
      <c r="C118" s="67"/>
      <c r="D118" s="67"/>
      <c r="E118" s="68"/>
      <c r="F118" s="69"/>
      <c r="G118" s="70"/>
      <c r="H118" s="71"/>
      <c r="I118" s="33"/>
      <c r="K118" s="48"/>
    </row>
    <row r="119" spans="1:11" ht="12.75" customHeight="1" x14ac:dyDescent="0.2">
      <c r="B119" s="16" t="s">
        <v>166</v>
      </c>
      <c r="C119" s="16"/>
      <c r="F119" s="13"/>
      <c r="G119" s="14"/>
      <c r="H119" s="15"/>
    </row>
    <row r="120" spans="1:11" ht="12.75" customHeight="1" x14ac:dyDescent="0.2">
      <c r="A120">
        <f>+MAX($A$7:A119)+1</f>
        <v>95</v>
      </c>
      <c r="B120" s="65" t="s">
        <v>567</v>
      </c>
      <c r="C120" t="s">
        <v>568</v>
      </c>
      <c r="D120" t="s">
        <v>389</v>
      </c>
      <c r="E120" s="28">
        <v>2150000</v>
      </c>
      <c r="F120" s="13">
        <v>2171.5086000000001</v>
      </c>
      <c r="G120" s="14">
        <f t="shared" ref="G120:G126" si="5">+ROUND(F120/VLOOKUP("Grand Total",$B$4:$F$337,5,0),4)</f>
        <v>1.9800000000000002E-2</v>
      </c>
      <c r="H120" s="15">
        <v>45802</v>
      </c>
    </row>
    <row r="121" spans="1:11" ht="12.75" customHeight="1" x14ac:dyDescent="0.2">
      <c r="A121">
        <f>+MAX($A$7:A120)+1</f>
        <v>96</v>
      </c>
      <c r="B121" s="65" t="s">
        <v>564</v>
      </c>
      <c r="C121" t="s">
        <v>565</v>
      </c>
      <c r="D121" t="s">
        <v>389</v>
      </c>
      <c r="E121" s="28">
        <v>1600000</v>
      </c>
      <c r="F121" s="13">
        <v>1590.4064000000001</v>
      </c>
      <c r="G121" s="14">
        <f t="shared" si="5"/>
        <v>1.4500000000000001E-2</v>
      </c>
      <c r="H121" s="15">
        <v>47197</v>
      </c>
    </row>
    <row r="122" spans="1:11" ht="12.75" customHeight="1" x14ac:dyDescent="0.2">
      <c r="A122">
        <f>+MAX($A$7:A121)+1</f>
        <v>97</v>
      </c>
      <c r="B122" s="65" t="s">
        <v>462</v>
      </c>
      <c r="C122" t="s">
        <v>463</v>
      </c>
      <c r="D122" t="s">
        <v>389</v>
      </c>
      <c r="E122" s="28">
        <v>1500000</v>
      </c>
      <c r="F122" s="13">
        <v>1522.5165</v>
      </c>
      <c r="G122" s="14">
        <f t="shared" si="5"/>
        <v>1.3899999999999999E-2</v>
      </c>
      <c r="H122" s="15">
        <v>45275</v>
      </c>
    </row>
    <row r="123" spans="1:11" ht="12.75" customHeight="1" x14ac:dyDescent="0.2">
      <c r="A123">
        <f>+MAX($A$7:A122)+1</f>
        <v>98</v>
      </c>
      <c r="B123" s="65" t="s">
        <v>564</v>
      </c>
      <c r="C123" t="s">
        <v>605</v>
      </c>
      <c r="D123" t="s">
        <v>389</v>
      </c>
      <c r="E123" s="28">
        <v>1400000</v>
      </c>
      <c r="F123" s="13">
        <v>1395.8014000000001</v>
      </c>
      <c r="G123" s="14">
        <f t="shared" si="5"/>
        <v>1.2800000000000001E-2</v>
      </c>
      <c r="H123" s="15">
        <v>46033</v>
      </c>
    </row>
    <row r="124" spans="1:11" ht="12.75" customHeight="1" x14ac:dyDescent="0.2">
      <c r="A124">
        <f>+MAX($A$7:A123)+1</f>
        <v>99</v>
      </c>
      <c r="B124" s="65" t="s">
        <v>559</v>
      </c>
      <c r="C124" t="s">
        <v>560</v>
      </c>
      <c r="D124" t="s">
        <v>389</v>
      </c>
      <c r="E124" s="28">
        <v>1100000</v>
      </c>
      <c r="F124" s="13">
        <v>1045.3025</v>
      </c>
      <c r="G124" s="14">
        <f t="shared" si="5"/>
        <v>9.5999999999999992E-3</v>
      </c>
      <c r="H124" s="15">
        <v>46522</v>
      </c>
    </row>
    <row r="125" spans="1:11" ht="12.75" customHeight="1" x14ac:dyDescent="0.2">
      <c r="A125">
        <f>+MAX($A$7:A124)+1</f>
        <v>100</v>
      </c>
      <c r="B125" s="65" t="s">
        <v>688</v>
      </c>
      <c r="C125" t="s">
        <v>689</v>
      </c>
      <c r="D125" t="s">
        <v>389</v>
      </c>
      <c r="E125" s="28">
        <v>650000</v>
      </c>
      <c r="F125" s="13">
        <v>646.68240000000003</v>
      </c>
      <c r="G125" s="14">
        <f t="shared" si="5"/>
        <v>5.8999999999999999E-3</v>
      </c>
      <c r="H125" s="15">
        <v>45465</v>
      </c>
    </row>
    <row r="126" spans="1:11" ht="12.75" customHeight="1" x14ac:dyDescent="0.2">
      <c r="A126">
        <f>+MAX($A$7:A125)+1</f>
        <v>101</v>
      </c>
      <c r="B126" s="65" t="s">
        <v>611</v>
      </c>
      <c r="C126" t="s">
        <v>612</v>
      </c>
      <c r="D126" t="s">
        <v>389</v>
      </c>
      <c r="E126" s="28">
        <v>500000</v>
      </c>
      <c r="F126" s="13">
        <v>492.09750000000003</v>
      </c>
      <c r="G126" s="14">
        <f t="shared" si="5"/>
        <v>4.4999999999999997E-3</v>
      </c>
      <c r="H126" s="15">
        <v>46760</v>
      </c>
    </row>
    <row r="127" spans="1:11" ht="12.75" customHeight="1" x14ac:dyDescent="0.2">
      <c r="B127" s="18" t="s">
        <v>84</v>
      </c>
      <c r="C127" s="18"/>
      <c r="D127" s="18"/>
      <c r="E127" s="29"/>
      <c r="F127" s="19">
        <f>SUM(F120:F126)</f>
        <v>8864.3153000000002</v>
      </c>
      <c r="G127" s="20">
        <f>SUM(G120:G126)</f>
        <v>8.1000000000000016E-2</v>
      </c>
      <c r="H127" s="21"/>
    </row>
    <row r="128" spans="1:11" s="46" customFormat="1" ht="12.75" customHeight="1" x14ac:dyDescent="0.2">
      <c r="B128" s="67"/>
      <c r="C128" s="67"/>
      <c r="D128" s="67"/>
      <c r="E128" s="68"/>
      <c r="F128" s="69"/>
      <c r="G128" s="70"/>
      <c r="H128" s="71"/>
      <c r="I128" s="33"/>
      <c r="K128" s="48"/>
    </row>
    <row r="129" spans="1:11" ht="12.75" customHeight="1" x14ac:dyDescent="0.2">
      <c r="B129" s="16" t="s">
        <v>423</v>
      </c>
      <c r="C129" s="16"/>
      <c r="F129" s="13"/>
      <c r="G129" s="14"/>
      <c r="H129" s="15"/>
    </row>
    <row r="130" spans="1:11" ht="12.75" customHeight="1" x14ac:dyDescent="0.2">
      <c r="A130">
        <f>+MAX($A$7:A129)+1</f>
        <v>102</v>
      </c>
      <c r="B130" s="65" t="s">
        <v>711</v>
      </c>
      <c r="C130" t="s">
        <v>712</v>
      </c>
      <c r="D130" t="s">
        <v>389</v>
      </c>
      <c r="E130" s="28">
        <v>500000</v>
      </c>
      <c r="F130" s="13">
        <v>525.21849999999995</v>
      </c>
      <c r="G130" s="14">
        <f>+ROUND(F130/VLOOKUP("Grand Total",$B$4:$F$337,5,0),4)</f>
        <v>4.7999999999999996E-3</v>
      </c>
      <c r="H130" s="15">
        <v>44650</v>
      </c>
    </row>
    <row r="131" spans="1:11" ht="12.75" customHeight="1" x14ac:dyDescent="0.2">
      <c r="A131">
        <f>+MAX($A$7:A130)+1</f>
        <v>103</v>
      </c>
      <c r="B131" s="65" t="s">
        <v>713</v>
      </c>
      <c r="C131" t="s">
        <v>714</v>
      </c>
      <c r="D131" t="s">
        <v>389</v>
      </c>
      <c r="E131" s="28">
        <v>500000</v>
      </c>
      <c r="F131" s="13">
        <v>521.26149999999996</v>
      </c>
      <c r="G131" s="14">
        <f t="shared" ref="G131" si="6">+ROUND(F131/VLOOKUP("Grand Total",$B$4:$F$337,5,0),4)</f>
        <v>4.7999999999999996E-3</v>
      </c>
      <c r="H131" s="15">
        <v>44851</v>
      </c>
    </row>
    <row r="132" spans="1:11" ht="12.75" customHeight="1" x14ac:dyDescent="0.2">
      <c r="B132" s="18" t="s">
        <v>84</v>
      </c>
      <c r="C132" s="18"/>
      <c r="D132" s="18"/>
      <c r="E132" s="29"/>
      <c r="F132" s="19">
        <f>SUM(F130:F131)</f>
        <v>1046.48</v>
      </c>
      <c r="G132" s="20">
        <f>SUM(G130:G131)</f>
        <v>9.5999999999999992E-3</v>
      </c>
      <c r="H132" s="21"/>
    </row>
    <row r="133" spans="1:11" s="46" customFormat="1" ht="12.75" customHeight="1" x14ac:dyDescent="0.2">
      <c r="B133" s="67"/>
      <c r="C133" s="67"/>
      <c r="D133" s="67"/>
      <c r="E133" s="68"/>
      <c r="F133" s="69"/>
      <c r="G133" s="70"/>
      <c r="H133" s="71"/>
      <c r="I133" s="33"/>
      <c r="K133" s="48"/>
    </row>
    <row r="134" spans="1:11" ht="12.75" customHeight="1" x14ac:dyDescent="0.2">
      <c r="B134" s="16" t="s">
        <v>91</v>
      </c>
      <c r="C134" s="16"/>
      <c r="F134" s="13"/>
      <c r="G134" s="14"/>
      <c r="H134" s="15"/>
    </row>
    <row r="135" spans="1:11" ht="12.75" customHeight="1" x14ac:dyDescent="0.2">
      <c r="A135">
        <f>+MAX($A$7:A134)+1</f>
        <v>104</v>
      </c>
      <c r="B135" s="65" t="s">
        <v>588</v>
      </c>
      <c r="C135" t="s">
        <v>589</v>
      </c>
      <c r="D135" t="s">
        <v>311</v>
      </c>
      <c r="E135" s="28">
        <v>55322.918599999997</v>
      </c>
      <c r="F135" s="13">
        <v>1532.6549063</v>
      </c>
      <c r="G135" s="14">
        <f>+ROUND(F135/VLOOKUP("Grand Total",$B$4:$F$337,5,0),4)</f>
        <v>1.4E-2</v>
      </c>
      <c r="H135" s="15"/>
    </row>
    <row r="136" spans="1:11" ht="12.75" customHeight="1" x14ac:dyDescent="0.2">
      <c r="B136" s="18" t="s">
        <v>84</v>
      </c>
      <c r="C136" s="18"/>
      <c r="D136" s="18"/>
      <c r="E136" s="29"/>
      <c r="F136" s="19">
        <f>SUM(F135:F135)</f>
        <v>1532.6549063</v>
      </c>
      <c r="G136" s="20">
        <f>SUM(G135:G135)</f>
        <v>1.4E-2</v>
      </c>
      <c r="H136" s="21"/>
    </row>
    <row r="137" spans="1:11" s="46" customFormat="1" ht="12.75" customHeight="1" x14ac:dyDescent="0.2">
      <c r="B137" s="67"/>
      <c r="C137" s="67"/>
      <c r="D137" s="67"/>
      <c r="E137" s="68"/>
      <c r="F137" s="69"/>
      <c r="G137" s="70"/>
      <c r="H137" s="71"/>
      <c r="I137" s="33"/>
      <c r="K137" s="48"/>
    </row>
    <row r="138" spans="1:11" ht="12.75" customHeight="1" x14ac:dyDescent="0.2">
      <c r="A138" s="95" t="s">
        <v>356</v>
      </c>
      <c r="B138" s="16" t="s">
        <v>92</v>
      </c>
      <c r="C138" s="16"/>
      <c r="F138" s="13">
        <v>2859.6896638999997</v>
      </c>
      <c r="G138" s="14">
        <f>+ROUND(F138/VLOOKUP("Grand Total",$B$4:$F$337,5,0),4)</f>
        <v>2.6100000000000002E-2</v>
      </c>
      <c r="H138" s="15">
        <v>43193</v>
      </c>
    </row>
    <row r="139" spans="1:11" ht="12.75" customHeight="1" x14ac:dyDescent="0.2">
      <c r="B139" s="18" t="s">
        <v>84</v>
      </c>
      <c r="C139" s="18"/>
      <c r="D139" s="18"/>
      <c r="E139" s="29"/>
      <c r="F139" s="19">
        <f>SUM(F138)</f>
        <v>2859.6896638999997</v>
      </c>
      <c r="G139" s="20">
        <f>SUM(G138)</f>
        <v>2.6100000000000002E-2</v>
      </c>
      <c r="H139" s="21"/>
      <c r="I139" s="35"/>
    </row>
    <row r="140" spans="1:11" ht="12.75" customHeight="1" x14ac:dyDescent="0.2">
      <c r="F140" s="13"/>
      <c r="G140" s="14"/>
      <c r="H140" s="15"/>
    </row>
    <row r="141" spans="1:11" ht="12.75" customHeight="1" x14ac:dyDescent="0.2">
      <c r="B141" s="16" t="s">
        <v>93</v>
      </c>
      <c r="C141" s="16"/>
      <c r="F141" s="13"/>
      <c r="G141" s="14"/>
      <c r="H141" s="15"/>
    </row>
    <row r="142" spans="1:11" ht="12.75" customHeight="1" x14ac:dyDescent="0.2">
      <c r="B142" s="16" t="s">
        <v>94</v>
      </c>
      <c r="C142" s="16"/>
      <c r="F142" s="13">
        <v>-75.976676399935968</v>
      </c>
      <c r="G142" s="122">
        <f>+ROUND(F142/VLOOKUP("Grand Total",$B$4:$F$337,5,0),4)</f>
        <v>-6.9999999999999999E-4</v>
      </c>
      <c r="H142" s="15"/>
    </row>
    <row r="143" spans="1:11" ht="12.75" customHeight="1" x14ac:dyDescent="0.2">
      <c r="B143" s="18" t="s">
        <v>84</v>
      </c>
      <c r="C143" s="18"/>
      <c r="D143" s="18"/>
      <c r="E143" s="29"/>
      <c r="F143" s="19">
        <f>SUM(F142)</f>
        <v>-75.976676399935968</v>
      </c>
      <c r="G143" s="123">
        <f>SUM(G142)</f>
        <v>-6.9999999999999999E-4</v>
      </c>
      <c r="H143" s="21"/>
      <c r="I143" s="35"/>
    </row>
    <row r="144" spans="1:11" ht="12.75" customHeight="1" x14ac:dyDescent="0.2">
      <c r="B144" s="22" t="s">
        <v>95</v>
      </c>
      <c r="C144" s="22"/>
      <c r="D144" s="22"/>
      <c r="E144" s="30"/>
      <c r="F144" s="23">
        <f>+SUMIF($B$5:B143,"Total",$F$5:F143)</f>
        <v>109408.04317580005</v>
      </c>
      <c r="G144" s="24">
        <f>+SUMIF($B$5:B143,"Total",$G$5:G143)</f>
        <v>0.99999999999999989</v>
      </c>
      <c r="H144" s="25"/>
      <c r="I144" s="35"/>
    </row>
    <row r="145" spans="2:7" ht="12.75" customHeight="1" x14ac:dyDescent="0.2"/>
    <row r="146" spans="2:7" ht="12.75" customHeight="1" x14ac:dyDescent="0.2">
      <c r="B146" s="16" t="s">
        <v>592</v>
      </c>
      <c r="C146" s="16"/>
    </row>
    <row r="147" spans="2:7" ht="12.75" customHeight="1" x14ac:dyDescent="0.2">
      <c r="B147" s="16" t="s">
        <v>182</v>
      </c>
      <c r="C147" s="16"/>
    </row>
    <row r="148" spans="2:7" ht="12.75" customHeight="1" x14ac:dyDescent="0.2">
      <c r="B148" s="16" t="s">
        <v>183</v>
      </c>
      <c r="C148" s="16"/>
      <c r="F148" s="43"/>
      <c r="G148" s="43"/>
    </row>
    <row r="149" spans="2:7" ht="12.75" customHeight="1" x14ac:dyDescent="0.2">
      <c r="B149" s="53" t="s">
        <v>300</v>
      </c>
      <c r="C149" s="16"/>
    </row>
    <row r="150" spans="2:7" ht="12.75" customHeight="1" x14ac:dyDescent="0.2">
      <c r="B150" s="16"/>
    </row>
    <row r="151" spans="2:7" ht="12.75" customHeight="1" x14ac:dyDescent="0.2"/>
    <row r="152" spans="2:7" ht="12.75" customHeight="1" x14ac:dyDescent="0.2"/>
    <row r="153" spans="2:7" ht="12.75" customHeight="1" x14ac:dyDescent="0.2"/>
    <row r="154" spans="2:7" ht="12.75" customHeight="1" x14ac:dyDescent="0.2"/>
    <row r="155" spans="2:7" ht="12.75" customHeight="1" x14ac:dyDescent="0.2"/>
    <row r="156" spans="2:7" ht="12.75" customHeight="1" x14ac:dyDescent="0.2"/>
    <row r="157" spans="2:7" ht="12.75" customHeight="1" x14ac:dyDescent="0.2"/>
    <row r="158" spans="2:7" ht="12.75" customHeight="1" x14ac:dyDescent="0.2"/>
    <row r="159" spans="2:7" ht="12.75" customHeight="1" x14ac:dyDescent="0.2"/>
    <row r="160" spans="2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</sheetData>
  <sheetProtection password="EDB3" sheet="1" objects="1" scenarios="1"/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373</v>
      </c>
      <c r="B1" s="126" t="s">
        <v>170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90</v>
      </c>
      <c r="C7" s="16"/>
      <c r="F7" s="13"/>
      <c r="G7" s="14"/>
      <c r="H7" s="15"/>
    </row>
    <row r="8" spans="1:16" ht="12.75" customHeight="1" x14ac:dyDescent="0.2">
      <c r="B8" s="16" t="s">
        <v>728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+MAX($A$7:A8)+1</f>
        <v>1</v>
      </c>
      <c r="B9" s="65" t="s">
        <v>669</v>
      </c>
      <c r="C9" t="s">
        <v>670</v>
      </c>
      <c r="D9" t="s">
        <v>158</v>
      </c>
      <c r="E9" s="28">
        <v>9350</v>
      </c>
      <c r="F9" s="13">
        <v>9214.7803000000004</v>
      </c>
      <c r="G9" s="14">
        <f>+ROUND(F9/VLOOKUP("Grand Total",$B$4:$F$266,5,0),4)</f>
        <v>0.1147</v>
      </c>
      <c r="H9" s="15">
        <v>43271</v>
      </c>
      <c r="J9" s="14" t="s">
        <v>158</v>
      </c>
      <c r="K9" s="48">
        <f t="shared" ref="K9:K14" si="0">SUMIFS($G$5:$G$344,$D$5:$D$344,J9)</f>
        <v>0.6201000000000001</v>
      </c>
    </row>
    <row r="10" spans="1:16" ht="12.75" customHeight="1" x14ac:dyDescent="0.2">
      <c r="A10">
        <f>+MAX($A$7:A9)+1</f>
        <v>2</v>
      </c>
      <c r="B10" s="65" t="s">
        <v>218</v>
      </c>
      <c r="C10" t="s">
        <v>715</v>
      </c>
      <c r="D10" t="s">
        <v>158</v>
      </c>
      <c r="E10" s="28">
        <v>9100</v>
      </c>
      <c r="F10" s="13">
        <v>9000.4642000000003</v>
      </c>
      <c r="G10" s="14">
        <f>+ROUND(F10/VLOOKUP("Grand Total",$B$4:$F$266,5,0),4)</f>
        <v>0.112</v>
      </c>
      <c r="H10" s="15">
        <v>43245</v>
      </c>
      <c r="J10" s="14" t="s">
        <v>283</v>
      </c>
      <c r="K10" s="48">
        <f t="shared" si="0"/>
        <v>0.21430000000000002</v>
      </c>
    </row>
    <row r="11" spans="1:16" ht="12.75" customHeight="1" x14ac:dyDescent="0.2">
      <c r="A11">
        <f>+MAX($A$7:A10)+1</f>
        <v>3</v>
      </c>
      <c r="B11" s="65" t="s">
        <v>190</v>
      </c>
      <c r="C11" t="s">
        <v>610</v>
      </c>
      <c r="D11" t="s">
        <v>159</v>
      </c>
      <c r="E11" s="28">
        <v>4600</v>
      </c>
      <c r="F11" s="13">
        <v>4551.9254000000001</v>
      </c>
      <c r="G11" s="14">
        <f>+ROUND(F11/VLOOKUP("Grand Total",$B$4:$F$266,5,0),4)</f>
        <v>5.67E-2</v>
      </c>
      <c r="H11" s="15">
        <v>43251</v>
      </c>
      <c r="J11" s="14" t="s">
        <v>159</v>
      </c>
      <c r="K11" s="48">
        <f t="shared" si="0"/>
        <v>5.67E-2</v>
      </c>
    </row>
    <row r="12" spans="1:16" ht="12.75" customHeight="1" x14ac:dyDescent="0.2">
      <c r="B12" s="18" t="s">
        <v>84</v>
      </c>
      <c r="C12" s="18"/>
      <c r="D12" s="18"/>
      <c r="E12" s="29"/>
      <c r="F12" s="19">
        <f>SUM(F9:F11)</f>
        <v>22767.169900000001</v>
      </c>
      <c r="G12" s="20">
        <f>SUM(G9:G11)</f>
        <v>0.28339999999999999</v>
      </c>
      <c r="H12" s="21"/>
      <c r="I12" s="82"/>
      <c r="J12" s="14" t="s">
        <v>542</v>
      </c>
      <c r="K12" s="48">
        <f t="shared" si="0"/>
        <v>4.8000000000000001E-2</v>
      </c>
    </row>
    <row r="13" spans="1:16" ht="12.75" customHeight="1" x14ac:dyDescent="0.2">
      <c r="B13" s="16"/>
      <c r="C13" s="16"/>
      <c r="F13" s="13"/>
      <c r="G13" s="14"/>
      <c r="H13" s="15"/>
      <c r="J13" s="14" t="s">
        <v>535</v>
      </c>
      <c r="K13" s="48">
        <f t="shared" si="0"/>
        <v>3.8300000000000001E-2</v>
      </c>
    </row>
    <row r="14" spans="1:16" ht="12.75" customHeight="1" x14ac:dyDescent="0.2">
      <c r="B14" s="16" t="s">
        <v>299</v>
      </c>
      <c r="C14" s="16"/>
      <c r="F14" s="13"/>
      <c r="G14" s="14"/>
      <c r="H14" s="15"/>
      <c r="J14" s="14" t="s">
        <v>389</v>
      </c>
      <c r="K14" s="48">
        <f t="shared" si="0"/>
        <v>9.2999999999999992E-3</v>
      </c>
      <c r="M14" s="14"/>
      <c r="N14" s="36"/>
      <c r="P14" s="14"/>
    </row>
    <row r="15" spans="1:16" ht="12.75" customHeight="1" x14ac:dyDescent="0.2">
      <c r="A15">
        <f>+MAX($A$7:A14)+1</f>
        <v>4</v>
      </c>
      <c r="B15" t="s">
        <v>716</v>
      </c>
      <c r="C15" t="s">
        <v>717</v>
      </c>
      <c r="D15" t="s">
        <v>158</v>
      </c>
      <c r="E15" s="28">
        <v>1730</v>
      </c>
      <c r="F15" s="13">
        <v>8565.1262000000006</v>
      </c>
      <c r="G15" s="14">
        <f t="shared" ref="G15:G29" si="1">+ROUND(F15/VLOOKUP("Grand Total",$B$4:$F$266,5,0),4)</f>
        <v>0.1066</v>
      </c>
      <c r="H15" s="15">
        <v>43238</v>
      </c>
      <c r="J15" s="14" t="s">
        <v>63</v>
      </c>
      <c r="K15" s="48">
        <f>+SUMIFS($G$5:$G$997,$B$5:$B$997,"CBLO / Reverse Repo Investments")+SUMIFS($G$5:$G$997,$B$5:$B$997,"Net Receivable/Payable")</f>
        <v>1.3300000000000001E-2</v>
      </c>
      <c r="L15" s="54"/>
      <c r="M15" s="14"/>
      <c r="N15" s="36"/>
      <c r="P15" s="14"/>
    </row>
    <row r="16" spans="1:16" ht="12.75" customHeight="1" x14ac:dyDescent="0.2">
      <c r="A16">
        <f>+MAX($A$7:A15)+1</f>
        <v>5</v>
      </c>
      <c r="B16" s="65" t="s">
        <v>706</v>
      </c>
      <c r="C16" t="s">
        <v>718</v>
      </c>
      <c r="D16" t="s">
        <v>283</v>
      </c>
      <c r="E16" s="28">
        <v>1400</v>
      </c>
      <c r="F16" s="13">
        <v>6877.4790000000003</v>
      </c>
      <c r="G16" s="14">
        <f t="shared" si="1"/>
        <v>8.5599999999999996E-2</v>
      </c>
      <c r="H16" s="15">
        <v>43276</v>
      </c>
      <c r="K16" s="48"/>
      <c r="M16" s="14"/>
      <c r="N16" s="36"/>
      <c r="P16" s="14"/>
    </row>
    <row r="17" spans="1:11" ht="12.75" customHeight="1" x14ac:dyDescent="0.2">
      <c r="A17">
        <f>+MAX($A$7:A16)+1</f>
        <v>6</v>
      </c>
      <c r="B17" s="65" t="s">
        <v>336</v>
      </c>
      <c r="C17" t="s">
        <v>614</v>
      </c>
      <c r="D17" t="s">
        <v>158</v>
      </c>
      <c r="E17" s="28">
        <v>1000</v>
      </c>
      <c r="F17" s="13">
        <v>4968.3850000000002</v>
      </c>
      <c r="G17" s="14">
        <f t="shared" si="1"/>
        <v>6.1899999999999997E-2</v>
      </c>
      <c r="H17" s="15">
        <v>43222</v>
      </c>
      <c r="J17" s="14"/>
      <c r="K17" s="48"/>
    </row>
    <row r="18" spans="1:11" ht="12.75" customHeight="1" x14ac:dyDescent="0.2">
      <c r="A18">
        <f>+MAX($A$7:A17)+1</f>
        <v>7</v>
      </c>
      <c r="B18" t="s">
        <v>644</v>
      </c>
      <c r="C18" t="s">
        <v>719</v>
      </c>
      <c r="D18" t="s">
        <v>158</v>
      </c>
      <c r="E18" s="28">
        <v>1000</v>
      </c>
      <c r="F18" s="13">
        <v>4911.5</v>
      </c>
      <c r="G18" s="14">
        <f t="shared" si="1"/>
        <v>6.1100000000000002E-2</v>
      </c>
      <c r="H18" s="15">
        <v>43272</v>
      </c>
    </row>
    <row r="19" spans="1:11" ht="12.75" customHeight="1" x14ac:dyDescent="0.2">
      <c r="A19">
        <f>+MAX($A$7:A18)+1</f>
        <v>8</v>
      </c>
      <c r="B19" t="s">
        <v>487</v>
      </c>
      <c r="C19" t="s">
        <v>720</v>
      </c>
      <c r="D19" t="s">
        <v>283</v>
      </c>
      <c r="E19" s="28">
        <v>948</v>
      </c>
      <c r="F19" s="13">
        <v>4661.3254800000004</v>
      </c>
      <c r="G19" s="14">
        <f t="shared" si="1"/>
        <v>5.8000000000000003E-2</v>
      </c>
      <c r="H19" s="15">
        <v>43265</v>
      </c>
    </row>
    <row r="20" spans="1:11" ht="12.75" customHeight="1" x14ac:dyDescent="0.2">
      <c r="A20">
        <f>+MAX($A$7:A19)+1</f>
        <v>9</v>
      </c>
      <c r="B20" t="s">
        <v>721</v>
      </c>
      <c r="C20" t="s">
        <v>722</v>
      </c>
      <c r="D20" t="s">
        <v>158</v>
      </c>
      <c r="E20" s="28">
        <v>900</v>
      </c>
      <c r="F20" s="13">
        <v>4433.1570000000002</v>
      </c>
      <c r="G20" s="14">
        <f t="shared" si="1"/>
        <v>5.5199999999999999E-2</v>
      </c>
      <c r="H20" s="15">
        <v>43276</v>
      </c>
    </row>
    <row r="21" spans="1:11" ht="12.75" customHeight="1" x14ac:dyDescent="0.2">
      <c r="A21">
        <f>+MAX($A$7:A20)+1</f>
        <v>10</v>
      </c>
      <c r="B21" t="s">
        <v>613</v>
      </c>
      <c r="C21" t="s">
        <v>615</v>
      </c>
      <c r="D21" t="s">
        <v>158</v>
      </c>
      <c r="E21" s="28">
        <v>880</v>
      </c>
      <c r="F21" s="13">
        <v>4371.1668</v>
      </c>
      <c r="G21" s="14">
        <f t="shared" si="1"/>
        <v>5.4399999999999997E-2</v>
      </c>
      <c r="H21" s="15">
        <v>43222</v>
      </c>
    </row>
    <row r="22" spans="1:11" ht="12.75" customHeight="1" x14ac:dyDescent="0.2">
      <c r="A22">
        <f>+MAX($A$7:A21)+1</f>
        <v>11</v>
      </c>
      <c r="B22" t="s">
        <v>284</v>
      </c>
      <c r="C22" t="s">
        <v>640</v>
      </c>
      <c r="D22" t="s">
        <v>542</v>
      </c>
      <c r="E22" s="28">
        <v>780</v>
      </c>
      <c r="F22" s="13">
        <v>3858.3870000000002</v>
      </c>
      <c r="G22" s="14">
        <f t="shared" si="1"/>
        <v>4.8000000000000001E-2</v>
      </c>
      <c r="H22" s="15">
        <v>43241</v>
      </c>
      <c r="J22" s="14"/>
      <c r="K22" s="48"/>
    </row>
    <row r="23" spans="1:11" ht="12.75" customHeight="1" x14ac:dyDescent="0.2">
      <c r="A23">
        <f>+MAX($A$7:A22)+1</f>
        <v>12</v>
      </c>
      <c r="B23" t="s">
        <v>644</v>
      </c>
      <c r="C23" t="s">
        <v>645</v>
      </c>
      <c r="D23" t="s">
        <v>158</v>
      </c>
      <c r="E23" s="28">
        <v>780</v>
      </c>
      <c r="F23" s="13">
        <v>3851.8506000000002</v>
      </c>
      <c r="G23" s="14">
        <f t="shared" si="1"/>
        <v>4.8000000000000001E-2</v>
      </c>
      <c r="H23" s="15">
        <v>43248</v>
      </c>
      <c r="J23" s="14"/>
      <c r="K23" s="48"/>
    </row>
    <row r="24" spans="1:11" ht="12.75" customHeight="1" x14ac:dyDescent="0.2">
      <c r="A24">
        <f>+MAX($A$7:A23)+1</f>
        <v>13</v>
      </c>
      <c r="B24" t="s">
        <v>638</v>
      </c>
      <c r="C24" t="s">
        <v>639</v>
      </c>
      <c r="D24" t="s">
        <v>283</v>
      </c>
      <c r="E24" s="28">
        <v>606</v>
      </c>
      <c r="F24" s="13">
        <v>3007.0204800000001</v>
      </c>
      <c r="G24" s="14">
        <f t="shared" si="1"/>
        <v>3.7400000000000003E-2</v>
      </c>
      <c r="H24" s="15">
        <v>43228</v>
      </c>
      <c r="J24" s="14"/>
      <c r="K24" s="48"/>
    </row>
    <row r="25" spans="1:11" ht="12.75" customHeight="1" x14ac:dyDescent="0.2">
      <c r="A25">
        <f>+MAX($A$7:A24)+1</f>
        <v>14</v>
      </c>
      <c r="B25" t="s">
        <v>487</v>
      </c>
      <c r="C25" t="s">
        <v>723</v>
      </c>
      <c r="D25" t="s">
        <v>283</v>
      </c>
      <c r="E25" s="28">
        <v>440</v>
      </c>
      <c r="F25" s="13">
        <v>2174.59</v>
      </c>
      <c r="G25" s="14">
        <f t="shared" si="1"/>
        <v>2.7099999999999999E-2</v>
      </c>
      <c r="H25" s="15">
        <v>43242</v>
      </c>
      <c r="J25" s="14"/>
      <c r="K25" s="48"/>
    </row>
    <row r="26" spans="1:11" ht="12.75" customHeight="1" x14ac:dyDescent="0.2">
      <c r="A26">
        <f>+MAX($A$7:A25)+1</f>
        <v>15</v>
      </c>
      <c r="B26" t="s">
        <v>534</v>
      </c>
      <c r="C26" t="s">
        <v>641</v>
      </c>
      <c r="D26" t="s">
        <v>535</v>
      </c>
      <c r="E26" s="28">
        <v>326</v>
      </c>
      <c r="F26" s="13">
        <v>1604.82628</v>
      </c>
      <c r="G26" s="14">
        <f t="shared" si="1"/>
        <v>0.02</v>
      </c>
      <c r="H26" s="15">
        <v>43245</v>
      </c>
      <c r="J26" s="14"/>
    </row>
    <row r="27" spans="1:11" ht="12.75" customHeight="1" x14ac:dyDescent="0.2">
      <c r="A27">
        <f>+MAX($A$7:A26)+1</f>
        <v>16</v>
      </c>
      <c r="B27" t="s">
        <v>534</v>
      </c>
      <c r="C27" t="s">
        <v>673</v>
      </c>
      <c r="D27" t="s">
        <v>535</v>
      </c>
      <c r="E27" s="28">
        <v>300</v>
      </c>
      <c r="F27" s="13">
        <v>1467.0374999999999</v>
      </c>
      <c r="G27" s="14">
        <f t="shared" si="1"/>
        <v>1.83E-2</v>
      </c>
      <c r="H27" s="15">
        <v>43272</v>
      </c>
      <c r="J27" s="14"/>
    </row>
    <row r="28" spans="1:11" ht="12.75" customHeight="1" x14ac:dyDescent="0.2">
      <c r="A28">
        <f>+MAX($A$7:A27)+1</f>
        <v>17</v>
      </c>
      <c r="B28" t="s">
        <v>724</v>
      </c>
      <c r="C28" t="s">
        <v>725</v>
      </c>
      <c r="D28" t="s">
        <v>283</v>
      </c>
      <c r="E28" s="28">
        <v>100</v>
      </c>
      <c r="F28" s="13">
        <v>496.41250000000002</v>
      </c>
      <c r="G28" s="14">
        <f t="shared" si="1"/>
        <v>6.1999999999999998E-3</v>
      </c>
      <c r="H28" s="15">
        <v>43231</v>
      </c>
      <c r="J28" s="14"/>
    </row>
    <row r="29" spans="1:11" ht="12.75" customHeight="1" x14ac:dyDescent="0.2">
      <c r="A29">
        <f>+MAX($A$7:A28)+1</f>
        <v>18</v>
      </c>
      <c r="B29" t="s">
        <v>613</v>
      </c>
      <c r="C29" t="s">
        <v>726</v>
      </c>
      <c r="D29" t="s">
        <v>158</v>
      </c>
      <c r="E29" s="28">
        <v>100</v>
      </c>
      <c r="F29" s="13">
        <v>495.43150000000003</v>
      </c>
      <c r="G29" s="14">
        <f t="shared" si="1"/>
        <v>6.1999999999999998E-3</v>
      </c>
      <c r="H29" s="15">
        <v>43231</v>
      </c>
      <c r="J29" s="14"/>
    </row>
    <row r="30" spans="1:11" ht="12.75" customHeight="1" x14ac:dyDescent="0.2">
      <c r="B30" s="18" t="s">
        <v>84</v>
      </c>
      <c r="C30" s="18"/>
      <c r="D30" s="18"/>
      <c r="E30" s="29"/>
      <c r="F30" s="19">
        <f>SUM(F15:F29)</f>
        <v>55743.695339999991</v>
      </c>
      <c r="G30" s="20">
        <f>SUM(G15:G29)</f>
        <v>0.69400000000000006</v>
      </c>
      <c r="H30" s="21"/>
    </row>
    <row r="31" spans="1:11" ht="12.75" customHeight="1" x14ac:dyDescent="0.2">
      <c r="F31" s="13"/>
      <c r="G31" s="14"/>
      <c r="H31" s="15"/>
    </row>
    <row r="32" spans="1:11" ht="12.75" customHeight="1" x14ac:dyDescent="0.2">
      <c r="B32" s="16" t="s">
        <v>165</v>
      </c>
      <c r="C32" s="16"/>
      <c r="F32" s="13"/>
      <c r="G32" s="14"/>
      <c r="H32" s="15"/>
    </row>
    <row r="33" spans="1:9" ht="12.75" customHeight="1" x14ac:dyDescent="0.2">
      <c r="A33">
        <f>+MAX($A$7:A32)+1</f>
        <v>19</v>
      </c>
      <c r="B33" s="1" t="s">
        <v>545</v>
      </c>
      <c r="C33" t="s">
        <v>667</v>
      </c>
      <c r="D33" t="s">
        <v>389</v>
      </c>
      <c r="E33" s="28">
        <v>400000</v>
      </c>
      <c r="F33" s="13">
        <v>395.60640000000001</v>
      </c>
      <c r="G33" s="14">
        <f>+ROUND(F33/VLOOKUP("Grand Total",$B$4:$F$266,5,0),4)</f>
        <v>4.8999999999999998E-3</v>
      </c>
      <c r="H33" s="15">
        <v>43258</v>
      </c>
    </row>
    <row r="34" spans="1:9" ht="12.75" customHeight="1" x14ac:dyDescent="0.2">
      <c r="A34">
        <f>+MAX($A$7:A33)+1</f>
        <v>20</v>
      </c>
      <c r="B34" s="1" t="s">
        <v>545</v>
      </c>
      <c r="C34" t="s">
        <v>727</v>
      </c>
      <c r="D34" t="s">
        <v>389</v>
      </c>
      <c r="E34" s="28">
        <v>356000</v>
      </c>
      <c r="F34" s="13">
        <v>351.25274000000002</v>
      </c>
      <c r="G34" s="14">
        <f>+ROUND(F34/VLOOKUP("Grand Total",$B$4:$F$266,5,0),4)</f>
        <v>4.4000000000000003E-3</v>
      </c>
      <c r="H34" s="15">
        <v>43272</v>
      </c>
    </row>
    <row r="35" spans="1:9" ht="12.75" customHeight="1" x14ac:dyDescent="0.2">
      <c r="B35" s="18" t="s">
        <v>84</v>
      </c>
      <c r="C35" s="18"/>
      <c r="D35" s="18"/>
      <c r="E35" s="29"/>
      <c r="F35" s="19">
        <f>SUM(F33:F34)</f>
        <v>746.85914000000002</v>
      </c>
      <c r="G35" s="20">
        <f>SUM(G33:G34)</f>
        <v>9.2999999999999992E-3</v>
      </c>
      <c r="H35" s="21"/>
      <c r="I35" s="82"/>
    </row>
    <row r="36" spans="1:9" ht="12.75" customHeight="1" x14ac:dyDescent="0.2">
      <c r="F36" s="13"/>
      <c r="G36" s="14"/>
      <c r="H36" s="15"/>
    </row>
    <row r="37" spans="1:9" ht="12.75" customHeight="1" x14ac:dyDescent="0.2">
      <c r="A37" s="95" t="s">
        <v>356</v>
      </c>
      <c r="B37" s="16" t="s">
        <v>92</v>
      </c>
      <c r="C37" s="16"/>
      <c r="F37" s="13">
        <v>223.8364555</v>
      </c>
      <c r="G37" s="14">
        <f>+ROUND(F37/VLOOKUP("Grand Total",$B$4:$F$266,5,0),4)</f>
        <v>2.8E-3</v>
      </c>
      <c r="H37" s="15">
        <v>43193</v>
      </c>
    </row>
    <row r="38" spans="1:9" ht="12.75" customHeight="1" x14ac:dyDescent="0.2">
      <c r="B38" s="18" t="s">
        <v>84</v>
      </c>
      <c r="C38" s="18"/>
      <c r="D38" s="18"/>
      <c r="E38" s="29"/>
      <c r="F38" s="19">
        <f>SUM(F37)</f>
        <v>223.8364555</v>
      </c>
      <c r="G38" s="20">
        <f>SUM(G37)</f>
        <v>2.8E-3</v>
      </c>
      <c r="H38" s="21"/>
      <c r="I38" s="82"/>
    </row>
    <row r="39" spans="1:9" ht="12.75" customHeight="1" x14ac:dyDescent="0.2">
      <c r="F39" s="13"/>
      <c r="G39" s="14"/>
      <c r="H39" s="15"/>
    </row>
    <row r="40" spans="1:9" ht="12.75" customHeight="1" x14ac:dyDescent="0.2">
      <c r="B40" s="16" t="s">
        <v>93</v>
      </c>
      <c r="C40" s="16"/>
      <c r="F40" s="13"/>
      <c r="G40" s="14"/>
      <c r="H40" s="15"/>
    </row>
    <row r="41" spans="1:9" ht="12.75" customHeight="1" x14ac:dyDescent="0.2">
      <c r="B41" s="16" t="s">
        <v>94</v>
      </c>
      <c r="C41" s="16"/>
      <c r="F41" s="13">
        <v>844.3002827999735</v>
      </c>
      <c r="G41" s="14">
        <f>+ROUND(F41/VLOOKUP("Grand Total",$B$4:$F$266,5,0),4)</f>
        <v>1.0500000000000001E-2</v>
      </c>
      <c r="H41" s="15"/>
    </row>
    <row r="42" spans="1:9" ht="12.75" customHeight="1" x14ac:dyDescent="0.2">
      <c r="B42" s="18" t="s">
        <v>84</v>
      </c>
      <c r="C42" s="18"/>
      <c r="D42" s="18"/>
      <c r="E42" s="29"/>
      <c r="F42" s="19">
        <f>SUM(F41:F41)</f>
        <v>844.3002827999735</v>
      </c>
      <c r="G42" s="124">
        <f>SUM(G41:G41)</f>
        <v>1.0500000000000001E-2</v>
      </c>
      <c r="H42" s="21"/>
      <c r="I42" s="82"/>
    </row>
    <row r="43" spans="1:9" ht="12.75" customHeight="1" x14ac:dyDescent="0.2">
      <c r="B43" s="22" t="s">
        <v>95</v>
      </c>
      <c r="C43" s="22"/>
      <c r="D43" s="22"/>
      <c r="E43" s="30"/>
      <c r="F43" s="23">
        <f>+SUMIF($B$5:B42,"Total",$F$5:F42)</f>
        <v>80325.861118299959</v>
      </c>
      <c r="G43" s="24">
        <f>+SUMIF($B$5:B42,"Total",$G$5:G42)</f>
        <v>1</v>
      </c>
      <c r="H43" s="25"/>
      <c r="I43" s="82"/>
    </row>
    <row r="44" spans="1:9" ht="12.75" customHeight="1" x14ac:dyDescent="0.2"/>
    <row r="45" spans="1:9" ht="12.75" customHeight="1" x14ac:dyDescent="0.2">
      <c r="B45" s="16" t="s">
        <v>592</v>
      </c>
      <c r="C45" s="16"/>
    </row>
    <row r="46" spans="1:9" ht="12.75" customHeight="1" x14ac:dyDescent="0.2">
      <c r="B46" s="16" t="s">
        <v>182</v>
      </c>
      <c r="C46" s="16"/>
    </row>
    <row r="47" spans="1:9" ht="12.75" customHeight="1" x14ac:dyDescent="0.2">
      <c r="B47" s="16" t="s">
        <v>735</v>
      </c>
      <c r="C47" s="16"/>
    </row>
    <row r="48" spans="1:9" ht="12.75" customHeight="1" x14ac:dyDescent="0.2">
      <c r="B48" s="16"/>
      <c r="C48" s="16"/>
      <c r="F48" s="43"/>
      <c r="G48" s="43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</sheetData>
  <sheetProtection password="EDB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64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6" ht="18.75" x14ac:dyDescent="0.2">
      <c r="A1" s="109" t="s">
        <v>374</v>
      </c>
      <c r="B1" s="126" t="s">
        <v>451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110"/>
      <c r="D2" s="111"/>
      <c r="E2" s="112"/>
      <c r="F2" s="113"/>
      <c r="G2" s="114"/>
      <c r="H2" s="114"/>
    </row>
    <row r="3" spans="1:16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118"/>
    </row>
    <row r="5" spans="1:16" ht="12.75" customHeight="1" x14ac:dyDescent="0.2">
      <c r="F5" s="86"/>
      <c r="G5" s="90"/>
      <c r="H5" s="89"/>
    </row>
    <row r="6" spans="1:16" ht="12.75" customHeight="1" x14ac:dyDescent="0.2">
      <c r="F6" s="86"/>
      <c r="G6" s="90"/>
      <c r="H6" s="89"/>
    </row>
    <row r="7" spans="1:16" ht="12.75" customHeight="1" x14ac:dyDescent="0.2">
      <c r="B7" s="16" t="s">
        <v>90</v>
      </c>
      <c r="C7" s="16"/>
      <c r="F7" s="86"/>
      <c r="G7" s="90"/>
      <c r="H7" s="89"/>
      <c r="J7" s="17" t="s">
        <v>632</v>
      </c>
      <c r="K7" s="37" t="s">
        <v>12</v>
      </c>
    </row>
    <row r="8" spans="1:16" ht="12.75" customHeight="1" x14ac:dyDescent="0.2">
      <c r="B8" s="16" t="s">
        <v>728</v>
      </c>
      <c r="C8" s="16"/>
      <c r="F8" s="86"/>
      <c r="G8" s="90"/>
      <c r="H8" s="89"/>
      <c r="J8" s="14" t="s">
        <v>158</v>
      </c>
      <c r="K8" s="48">
        <f>SUMIFS($G$5:$G$357,$D$5:$D$357,J8)</f>
        <v>0.42670000000000002</v>
      </c>
      <c r="L8" s="84"/>
      <c r="M8" s="90"/>
    </row>
    <row r="9" spans="1:16" ht="12.75" customHeight="1" x14ac:dyDescent="0.2">
      <c r="A9" s="65">
        <f>+MAX($A$7:A8)+1</f>
        <v>1</v>
      </c>
      <c r="B9" s="65" t="s">
        <v>190</v>
      </c>
      <c r="C9" s="65" t="s">
        <v>610</v>
      </c>
      <c r="D9" s="65" t="s">
        <v>159</v>
      </c>
      <c r="E9" s="119">
        <v>400</v>
      </c>
      <c r="F9" s="91">
        <v>395.81959999999998</v>
      </c>
      <c r="G9" s="90">
        <f>+ROUND(F9/VLOOKUP("Grand Total",$B$4:$F$301,5,0),4)</f>
        <v>5.9700000000000003E-2</v>
      </c>
      <c r="H9" s="89">
        <v>43251</v>
      </c>
      <c r="J9" s="90" t="s">
        <v>283</v>
      </c>
      <c r="K9" s="48">
        <f>SUMIFS($G$5:$G$357,$D$5:$D$357,J9)</f>
        <v>0.25119999999999998</v>
      </c>
      <c r="L9" s="84"/>
      <c r="M9" s="90"/>
    </row>
    <row r="10" spans="1:16" ht="12.75" customHeight="1" x14ac:dyDescent="0.2">
      <c r="A10" s="65">
        <f>+MAX($A$7:A9)+1</f>
        <v>2</v>
      </c>
      <c r="B10" s="120" t="s">
        <v>218</v>
      </c>
      <c r="C10" s="65" t="s">
        <v>715</v>
      </c>
      <c r="D10" s="65" t="s">
        <v>158</v>
      </c>
      <c r="E10" s="119">
        <v>400</v>
      </c>
      <c r="F10" s="91">
        <v>395.62479999999999</v>
      </c>
      <c r="G10" s="90">
        <f>+ROUND(F10/VLOOKUP("Grand Total",$B$4:$F$301,5,0),4)</f>
        <v>5.9700000000000003E-2</v>
      </c>
      <c r="H10" s="89">
        <v>43245</v>
      </c>
      <c r="J10" s="14" t="s">
        <v>542</v>
      </c>
      <c r="K10" s="48">
        <f t="shared" ref="K10:K14" si="0">SUMIFS($G$5:$G$357,$D$5:$D$357,J10)</f>
        <v>0.1288</v>
      </c>
      <c r="L10" s="78"/>
      <c r="M10" s="90"/>
      <c r="N10" s="84"/>
      <c r="P10" s="90"/>
    </row>
    <row r="11" spans="1:16" ht="12.75" customHeight="1" x14ac:dyDescent="0.2">
      <c r="A11" s="65">
        <f>+MAX($A$7:A10)+1</f>
        <v>3</v>
      </c>
      <c r="B11" s="120" t="s">
        <v>696</v>
      </c>
      <c r="C11" s="65" t="s">
        <v>697</v>
      </c>
      <c r="D11" s="65" t="s">
        <v>317</v>
      </c>
      <c r="E11" s="119">
        <v>200</v>
      </c>
      <c r="F11" s="91">
        <v>197.18039999999999</v>
      </c>
      <c r="G11" s="90">
        <f>+ROUND(F11/VLOOKUP("Grand Total",$B$4:$F$301,5,0),4)</f>
        <v>2.98E-2</v>
      </c>
      <c r="H11" s="89">
        <v>43273</v>
      </c>
      <c r="J11" s="14" t="s">
        <v>535</v>
      </c>
      <c r="K11" s="48">
        <f t="shared" si="0"/>
        <v>8.9100000000000013E-2</v>
      </c>
      <c r="L11" s="78"/>
      <c r="M11" s="90"/>
      <c r="N11" s="84"/>
      <c r="P11" s="90"/>
    </row>
    <row r="12" spans="1:16" ht="12.75" customHeight="1" x14ac:dyDescent="0.2">
      <c r="B12" s="18" t="s">
        <v>84</v>
      </c>
      <c r="C12" s="18"/>
      <c r="D12" s="18"/>
      <c r="E12" s="29"/>
      <c r="F12" s="19">
        <f>SUM(F9:F11)</f>
        <v>988.62479999999994</v>
      </c>
      <c r="G12" s="20">
        <f>SUM(G9:G11)</f>
        <v>0.1492</v>
      </c>
      <c r="H12" s="21"/>
      <c r="I12" s="82"/>
      <c r="J12" s="90" t="s">
        <v>159</v>
      </c>
      <c r="K12" s="48">
        <f t="shared" si="0"/>
        <v>5.9700000000000003E-2</v>
      </c>
      <c r="L12" s="78">
        <f>SUM(K8:K12)</f>
        <v>0.9554999999999999</v>
      </c>
    </row>
    <row r="13" spans="1:16" ht="12.75" customHeight="1" x14ac:dyDescent="0.2">
      <c r="F13" s="86"/>
      <c r="G13" s="90"/>
      <c r="H13" s="89"/>
      <c r="J13" s="65" t="s">
        <v>317</v>
      </c>
      <c r="K13" s="48">
        <f t="shared" si="0"/>
        <v>2.98E-2</v>
      </c>
    </row>
    <row r="14" spans="1:16" ht="12.75" customHeight="1" x14ac:dyDescent="0.2">
      <c r="B14" s="16" t="s">
        <v>299</v>
      </c>
      <c r="C14" s="16"/>
      <c r="F14" s="86"/>
      <c r="G14" s="90"/>
      <c r="H14" s="89"/>
      <c r="J14" s="14" t="s">
        <v>389</v>
      </c>
      <c r="K14" s="48">
        <f t="shared" si="0"/>
        <v>4.4999999999999997E-3</v>
      </c>
      <c r="L14" s="84"/>
      <c r="M14" s="90"/>
    </row>
    <row r="15" spans="1:16" ht="12.75" customHeight="1" x14ac:dyDescent="0.2">
      <c r="A15" s="65">
        <f>+MAX($A$7:A14)+1</f>
        <v>4</v>
      </c>
      <c r="B15" s="65" t="s">
        <v>613</v>
      </c>
      <c r="C15" s="65" t="s">
        <v>615</v>
      </c>
      <c r="D15" s="65" t="s">
        <v>158</v>
      </c>
      <c r="E15" s="119">
        <v>120</v>
      </c>
      <c r="F15" s="91">
        <v>596.06820000000005</v>
      </c>
      <c r="G15" s="90">
        <f>+ROUND(F15/VLOOKUP("Grand Total",$B$4:$F$301,5,0),4)</f>
        <v>0.09</v>
      </c>
      <c r="H15" s="89">
        <v>43222</v>
      </c>
      <c r="J15" s="14" t="s">
        <v>63</v>
      </c>
      <c r="K15" s="48">
        <f>+SUMIFS($G$5:$G$997,$B$5:$B$997,"CBLO / Reverse Repo Investments")+SUMIFS($G$5:$G$997,$B$5:$B$997,"Net Receivable/Payable")</f>
        <v>1.0199999999999999E-2</v>
      </c>
      <c r="L15" s="84"/>
      <c r="M15" s="90"/>
    </row>
    <row r="16" spans="1:16" ht="12.75" customHeight="1" x14ac:dyDescent="0.2">
      <c r="A16" s="65">
        <f>+MAX($A$7:A15)+1</f>
        <v>5</v>
      </c>
      <c r="B16" s="120" t="s">
        <v>644</v>
      </c>
      <c r="C16" s="65" t="s">
        <v>645</v>
      </c>
      <c r="D16" s="65" t="s">
        <v>158</v>
      </c>
      <c r="E16" s="119">
        <v>120</v>
      </c>
      <c r="F16" s="91">
        <v>592.5924</v>
      </c>
      <c r="G16" s="90">
        <f>+ROUND(F16/VLOOKUP("Grand Total",$B$4:$F$301,5,0),4)</f>
        <v>8.9399999999999993E-2</v>
      </c>
      <c r="H16" s="89">
        <v>43248</v>
      </c>
      <c r="J16" s="14"/>
      <c r="K16" s="48"/>
      <c r="L16" s="78"/>
      <c r="M16" s="90"/>
      <c r="N16" s="84"/>
      <c r="P16" s="90"/>
    </row>
    <row r="17" spans="1:16" ht="12.75" customHeight="1" x14ac:dyDescent="0.2">
      <c r="A17" s="65">
        <f>+MAX($A$7:A16)+1</f>
        <v>6</v>
      </c>
      <c r="B17" s="120" t="s">
        <v>543</v>
      </c>
      <c r="C17" s="65" t="s">
        <v>544</v>
      </c>
      <c r="D17" s="65" t="s">
        <v>283</v>
      </c>
      <c r="E17" s="119">
        <v>120</v>
      </c>
      <c r="F17" s="91">
        <v>590.81280000000004</v>
      </c>
      <c r="G17" s="90">
        <f>+ROUND(F17/VLOOKUP("Grand Total",$B$4:$F$301,5,0),4)</f>
        <v>8.9200000000000002E-2</v>
      </c>
      <c r="H17" s="89">
        <v>43265</v>
      </c>
      <c r="J17" s="14"/>
      <c r="K17" s="48"/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284</v>
      </c>
      <c r="C18" s="65" t="s">
        <v>532</v>
      </c>
      <c r="D18" s="65" t="s">
        <v>542</v>
      </c>
      <c r="E18" s="119">
        <v>118</v>
      </c>
      <c r="F18" s="91">
        <v>569.41254000000004</v>
      </c>
      <c r="G18" s="90">
        <f>+ROUND(F18/VLOOKUP("Grand Total",$B$4:$F$301,5,0),4)</f>
        <v>8.5900000000000004E-2</v>
      </c>
      <c r="H18" s="89">
        <v>43350</v>
      </c>
      <c r="K18" s="48"/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721</v>
      </c>
      <c r="C19" s="65" t="s">
        <v>722</v>
      </c>
      <c r="D19" s="65" t="s">
        <v>158</v>
      </c>
      <c r="E19" s="119">
        <v>100</v>
      </c>
      <c r="F19" s="91">
        <v>492.57299999999998</v>
      </c>
      <c r="G19" s="90">
        <f t="shared" ref="G19:G28" si="1">+ROUND(F19/VLOOKUP("Grand Total",$B$4:$F$301,5,0),4)</f>
        <v>7.4300000000000005E-2</v>
      </c>
      <c r="H19" s="89">
        <v>43276</v>
      </c>
      <c r="K19" s="48"/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534</v>
      </c>
      <c r="C20" s="65" t="s">
        <v>641</v>
      </c>
      <c r="D20" s="65" t="s">
        <v>535</v>
      </c>
      <c r="E20" s="119">
        <v>100</v>
      </c>
      <c r="F20" s="91">
        <v>492.27800000000002</v>
      </c>
      <c r="G20" s="90">
        <f t="shared" si="1"/>
        <v>7.4300000000000005E-2</v>
      </c>
      <c r="H20" s="89">
        <v>43245</v>
      </c>
      <c r="K20" s="48"/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706</v>
      </c>
      <c r="C21" s="65" t="s">
        <v>718</v>
      </c>
      <c r="D21" s="65" t="s">
        <v>283</v>
      </c>
      <c r="E21" s="119">
        <v>100</v>
      </c>
      <c r="F21" s="91">
        <v>491.24849999999998</v>
      </c>
      <c r="G21" s="90">
        <f t="shared" si="1"/>
        <v>7.4099999999999999E-2</v>
      </c>
      <c r="H21" s="89">
        <v>43276</v>
      </c>
      <c r="K21" s="48"/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336</v>
      </c>
      <c r="C22" s="65" t="s">
        <v>512</v>
      </c>
      <c r="D22" s="65" t="s">
        <v>158</v>
      </c>
      <c r="E22" s="119">
        <v>82</v>
      </c>
      <c r="F22" s="91">
        <v>403.90699000000001</v>
      </c>
      <c r="G22" s="90">
        <f t="shared" si="1"/>
        <v>6.0999999999999999E-2</v>
      </c>
      <c r="H22" s="89">
        <v>43273</v>
      </c>
      <c r="K22" s="48"/>
      <c r="L22" s="78"/>
      <c r="M22" s="90"/>
      <c r="N22" s="84"/>
      <c r="P22" s="90"/>
    </row>
    <row r="23" spans="1:16" ht="12.75" customHeight="1" x14ac:dyDescent="0.2">
      <c r="A23" s="65">
        <f>+MAX($A$7:A22)+1</f>
        <v>12</v>
      </c>
      <c r="B23" s="120" t="s">
        <v>716</v>
      </c>
      <c r="C23" s="65" t="s">
        <v>717</v>
      </c>
      <c r="D23" s="65" t="s">
        <v>158</v>
      </c>
      <c r="E23" s="119">
        <v>70</v>
      </c>
      <c r="F23" s="91">
        <v>346.56580000000002</v>
      </c>
      <c r="G23" s="90">
        <f t="shared" si="1"/>
        <v>5.2299999999999999E-2</v>
      </c>
      <c r="H23" s="89">
        <v>43238</v>
      </c>
      <c r="K23" s="48"/>
      <c r="L23" s="78"/>
      <c r="M23" s="90"/>
      <c r="N23" s="84"/>
      <c r="P23" s="90"/>
    </row>
    <row r="24" spans="1:16" ht="12.75" customHeight="1" x14ac:dyDescent="0.2">
      <c r="A24" s="65">
        <f>+MAX($A$7:A23)+1</f>
        <v>13</v>
      </c>
      <c r="B24" s="120" t="s">
        <v>487</v>
      </c>
      <c r="C24" s="65" t="s">
        <v>723</v>
      </c>
      <c r="D24" s="65" t="s">
        <v>283</v>
      </c>
      <c r="E24" s="119">
        <v>60</v>
      </c>
      <c r="F24" s="91">
        <v>296.53500000000003</v>
      </c>
      <c r="G24" s="90">
        <f t="shared" si="1"/>
        <v>4.48E-2</v>
      </c>
      <c r="H24" s="89">
        <v>43242</v>
      </c>
      <c r="K24" s="48"/>
      <c r="L24" s="78"/>
      <c r="M24" s="90"/>
      <c r="N24" s="84"/>
      <c r="P24" s="90"/>
    </row>
    <row r="25" spans="1:16" ht="12.75" customHeight="1" x14ac:dyDescent="0.2">
      <c r="A25" s="65">
        <f>+MAX($A$7:A24)+1</f>
        <v>14</v>
      </c>
      <c r="B25" s="120" t="s">
        <v>284</v>
      </c>
      <c r="C25" s="65" t="s">
        <v>561</v>
      </c>
      <c r="D25" s="65" t="s">
        <v>542</v>
      </c>
      <c r="E25" s="119">
        <v>60</v>
      </c>
      <c r="F25" s="91">
        <v>284.2278</v>
      </c>
      <c r="G25" s="90">
        <f t="shared" si="1"/>
        <v>4.2900000000000001E-2</v>
      </c>
      <c r="H25" s="89">
        <v>43430</v>
      </c>
      <c r="K25" s="48"/>
      <c r="L25" s="78"/>
      <c r="M25" s="90"/>
      <c r="N25" s="84"/>
      <c r="P25" s="90"/>
    </row>
    <row r="26" spans="1:16" ht="12.75" customHeight="1" x14ac:dyDescent="0.2">
      <c r="A26" s="65">
        <f>+MAX($A$7:A25)+1</f>
        <v>15</v>
      </c>
      <c r="B26" s="120" t="s">
        <v>487</v>
      </c>
      <c r="C26" s="65" t="s">
        <v>720</v>
      </c>
      <c r="D26" s="65" t="s">
        <v>283</v>
      </c>
      <c r="E26" s="119">
        <v>52</v>
      </c>
      <c r="F26" s="91">
        <v>255.68451999999999</v>
      </c>
      <c r="G26" s="90">
        <f t="shared" si="1"/>
        <v>3.8600000000000002E-2</v>
      </c>
      <c r="H26" s="89">
        <v>43265</v>
      </c>
      <c r="K26" s="48"/>
      <c r="L26" s="78"/>
      <c r="M26" s="90"/>
      <c r="N26" s="84"/>
      <c r="P26" s="90"/>
    </row>
    <row r="27" spans="1:16" ht="12.75" customHeight="1" x14ac:dyDescent="0.2">
      <c r="A27" s="65">
        <f>+MAX($A$7:A26)+1</f>
        <v>16</v>
      </c>
      <c r="B27" s="120" t="s">
        <v>534</v>
      </c>
      <c r="C27" s="65" t="s">
        <v>673</v>
      </c>
      <c r="D27" s="65" t="s">
        <v>535</v>
      </c>
      <c r="E27" s="119">
        <v>20</v>
      </c>
      <c r="F27" s="91">
        <v>97.802499999999995</v>
      </c>
      <c r="G27" s="90">
        <f t="shared" si="1"/>
        <v>1.4800000000000001E-2</v>
      </c>
      <c r="H27" s="89">
        <v>43272</v>
      </c>
      <c r="K27" s="48"/>
      <c r="L27" s="78"/>
      <c r="M27" s="90"/>
      <c r="N27" s="84"/>
      <c r="P27" s="90"/>
    </row>
    <row r="28" spans="1:16" ht="12.75" customHeight="1" x14ac:dyDescent="0.2">
      <c r="A28" s="65">
        <f>+MAX($A$7:A27)+1</f>
        <v>17</v>
      </c>
      <c r="B28" s="120" t="s">
        <v>638</v>
      </c>
      <c r="C28" s="65" t="s">
        <v>639</v>
      </c>
      <c r="D28" s="65" t="s">
        <v>283</v>
      </c>
      <c r="E28" s="119">
        <v>6</v>
      </c>
      <c r="F28" s="91">
        <v>29.772480000000002</v>
      </c>
      <c r="G28" s="90">
        <f t="shared" si="1"/>
        <v>4.4999999999999997E-3</v>
      </c>
      <c r="H28" s="89">
        <v>43228</v>
      </c>
      <c r="K28" s="48"/>
      <c r="L28" s="78"/>
      <c r="M28" s="90"/>
      <c r="N28" s="84"/>
      <c r="P28" s="90"/>
    </row>
    <row r="29" spans="1:16" ht="12.75" customHeight="1" x14ac:dyDescent="0.2">
      <c r="B29" s="18" t="s">
        <v>84</v>
      </c>
      <c r="C29" s="18"/>
      <c r="D29" s="18"/>
      <c r="E29" s="29"/>
      <c r="F29" s="19">
        <f>SUM(F15:F28)</f>
        <v>5539.4805299999989</v>
      </c>
      <c r="G29" s="20">
        <f>SUM(G15:G28)</f>
        <v>0.83610000000000007</v>
      </c>
      <c r="H29" s="21"/>
      <c r="I29" s="82"/>
      <c r="J29" s="90"/>
      <c r="L29" s="78">
        <f>SUM(K14:K29)</f>
        <v>1.4699999999999998E-2</v>
      </c>
    </row>
    <row r="30" spans="1:16" ht="12.75" customHeight="1" x14ac:dyDescent="0.2">
      <c r="F30" s="86"/>
      <c r="G30" s="90"/>
      <c r="H30" s="89"/>
    </row>
    <row r="31" spans="1:16" ht="12.75" customHeight="1" x14ac:dyDescent="0.2">
      <c r="B31" s="16" t="s">
        <v>165</v>
      </c>
      <c r="C31" s="16"/>
      <c r="F31" s="86"/>
      <c r="G31" s="90"/>
      <c r="H31" s="89"/>
    </row>
    <row r="32" spans="1:16" ht="12.75" customHeight="1" x14ac:dyDescent="0.2">
      <c r="A32" s="65">
        <f>+MAX($A$7:A31)+1</f>
        <v>18</v>
      </c>
      <c r="B32" s="65" t="s">
        <v>545</v>
      </c>
      <c r="C32" s="65" t="s">
        <v>667</v>
      </c>
      <c r="D32" s="65" t="s">
        <v>389</v>
      </c>
      <c r="E32" s="85">
        <v>30000</v>
      </c>
      <c r="F32" s="86">
        <v>29.670480000000001</v>
      </c>
      <c r="G32" s="90">
        <f>+ROUND(F32/VLOOKUP("Grand Total",$B$4:$F$301,5,0),4)</f>
        <v>4.4999999999999997E-3</v>
      </c>
      <c r="H32" s="89">
        <v>43258</v>
      </c>
    </row>
    <row r="33" spans="1:9" ht="12.75" customHeight="1" x14ac:dyDescent="0.2">
      <c r="B33" s="18" t="s">
        <v>84</v>
      </c>
      <c r="C33" s="18"/>
      <c r="D33" s="18"/>
      <c r="E33" s="29"/>
      <c r="F33" s="19">
        <f>SUM(F32:F32)</f>
        <v>29.670480000000001</v>
      </c>
      <c r="G33" s="20">
        <f>SUM(G32:G32)</f>
        <v>4.4999999999999997E-3</v>
      </c>
      <c r="H33" s="21"/>
      <c r="I33" s="82"/>
    </row>
    <row r="34" spans="1:9" ht="12.75" customHeight="1" x14ac:dyDescent="0.2">
      <c r="F34" s="86"/>
      <c r="G34" s="90"/>
      <c r="H34" s="89"/>
    </row>
    <row r="35" spans="1:9" ht="12.75" customHeight="1" x14ac:dyDescent="0.2">
      <c r="A35" s="95" t="s">
        <v>356</v>
      </c>
      <c r="B35" s="16" t="s">
        <v>92</v>
      </c>
      <c r="C35" s="16"/>
      <c r="F35" s="86">
        <v>79.983249099999995</v>
      </c>
      <c r="G35" s="90">
        <f>+ROUND(F35/VLOOKUP("Grand Total",$B$4:$F$301,5,0),4)</f>
        <v>1.21E-2</v>
      </c>
      <c r="H35" s="89">
        <v>43193</v>
      </c>
    </row>
    <row r="36" spans="1:9" ht="12.75" customHeight="1" x14ac:dyDescent="0.2">
      <c r="B36" s="18" t="s">
        <v>84</v>
      </c>
      <c r="C36" s="18"/>
      <c r="D36" s="18"/>
      <c r="E36" s="29"/>
      <c r="F36" s="19">
        <f>SUM(F35)</f>
        <v>79.983249099999995</v>
      </c>
      <c r="G36" s="20">
        <f>SUM(G35)</f>
        <v>1.21E-2</v>
      </c>
      <c r="H36" s="21"/>
      <c r="I36" s="82"/>
    </row>
    <row r="37" spans="1:9" ht="12.75" customHeight="1" x14ac:dyDescent="0.2">
      <c r="F37" s="86"/>
      <c r="G37" s="90"/>
      <c r="H37" s="89"/>
    </row>
    <row r="38" spans="1:9" ht="12.75" customHeight="1" x14ac:dyDescent="0.2">
      <c r="B38" s="16" t="s">
        <v>93</v>
      </c>
      <c r="C38" s="16"/>
      <c r="F38" s="86"/>
      <c r="G38" s="90"/>
      <c r="H38" s="89"/>
    </row>
    <row r="39" spans="1:9" ht="12.75" customHeight="1" x14ac:dyDescent="0.2">
      <c r="B39" s="16" t="s">
        <v>94</v>
      </c>
      <c r="C39" s="16"/>
      <c r="F39" s="86">
        <v>-11.883764899999733</v>
      </c>
      <c r="G39" s="122">
        <f>+ROUND(F39/VLOOKUP("Grand Total",$B$4:$F$301,5,0),4)-0.01%</f>
        <v>-1.9E-3</v>
      </c>
      <c r="H39" s="89"/>
    </row>
    <row r="40" spans="1:9" ht="12.75" customHeight="1" x14ac:dyDescent="0.2">
      <c r="B40" s="18" t="s">
        <v>84</v>
      </c>
      <c r="C40" s="18"/>
      <c r="D40" s="18"/>
      <c r="E40" s="29"/>
      <c r="F40" s="19">
        <f>SUM(F39)</f>
        <v>-11.883764899999733</v>
      </c>
      <c r="G40" s="123">
        <f>SUM(G39)</f>
        <v>-1.9E-3</v>
      </c>
      <c r="H40" s="21"/>
      <c r="I40" s="82"/>
    </row>
    <row r="41" spans="1:9" ht="12.75" customHeight="1" x14ac:dyDescent="0.2">
      <c r="B41" s="22" t="s">
        <v>95</v>
      </c>
      <c r="C41" s="22"/>
      <c r="D41" s="22"/>
      <c r="E41" s="30"/>
      <c r="F41" s="23">
        <f>+SUMIF($B$5:B40,"Total",$F$5:F40)</f>
        <v>6625.8752941999983</v>
      </c>
      <c r="G41" s="24">
        <f>+SUMIF($B$5:B40,"Total",$G$5:G40)</f>
        <v>1</v>
      </c>
      <c r="H41" s="25"/>
      <c r="I41" s="82"/>
    </row>
    <row r="42" spans="1:9" ht="12.75" customHeight="1" x14ac:dyDescent="0.2"/>
    <row r="43" spans="1:9" ht="12.75" customHeight="1" x14ac:dyDescent="0.2">
      <c r="B43" s="16" t="s">
        <v>592</v>
      </c>
      <c r="C43" s="16"/>
    </row>
    <row r="44" spans="1:9" ht="12.75" customHeight="1" x14ac:dyDescent="0.2">
      <c r="B44" s="16" t="s">
        <v>182</v>
      </c>
      <c r="C44" s="16"/>
    </row>
    <row r="45" spans="1:9" ht="12.75" customHeight="1" x14ac:dyDescent="0.2">
      <c r="B45" s="16"/>
      <c r="C45" s="16"/>
    </row>
    <row r="46" spans="1:9" ht="12.75" customHeight="1" x14ac:dyDescent="0.2">
      <c r="B46" s="16"/>
      <c r="C46" s="16"/>
    </row>
    <row r="47" spans="1:9" ht="12.75" customHeight="1" x14ac:dyDescent="0.2">
      <c r="B47" s="16"/>
      <c r="C47" s="16"/>
    </row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EDB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375</v>
      </c>
      <c r="B1" s="126" t="s">
        <v>467</v>
      </c>
      <c r="C1" s="127"/>
      <c r="D1" s="127"/>
      <c r="E1" s="127"/>
      <c r="F1" s="127"/>
      <c r="G1" s="127"/>
      <c r="H1" s="128"/>
    </row>
    <row r="2" spans="1:12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91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437</v>
      </c>
      <c r="C8" t="s">
        <v>292</v>
      </c>
      <c r="D8" t="s">
        <v>311</v>
      </c>
      <c r="E8" s="28">
        <v>144114.67319999999</v>
      </c>
      <c r="F8" s="13">
        <v>45.6601401</v>
      </c>
      <c r="G8" s="14">
        <f>+ROUND(F8/VLOOKUP("Grand Total",$B$4:$F$298,5,0),4)</f>
        <v>0.4017</v>
      </c>
      <c r="H8" s="15" t="s">
        <v>357</v>
      </c>
      <c r="J8" s="17" t="s">
        <v>632</v>
      </c>
      <c r="K8" s="37" t="s">
        <v>12</v>
      </c>
    </row>
    <row r="9" spans="1:12" ht="12.75" customHeight="1" x14ac:dyDescent="0.2">
      <c r="A9">
        <f>+MAX($A$7:A8)+1</f>
        <v>2</v>
      </c>
      <c r="B9" t="s">
        <v>438</v>
      </c>
      <c r="C9" t="s">
        <v>293</v>
      </c>
      <c r="D9" t="s">
        <v>311</v>
      </c>
      <c r="E9" s="28">
        <v>55925.794699999999</v>
      </c>
      <c r="F9" s="13">
        <v>33.773587400000004</v>
      </c>
      <c r="G9" s="14">
        <f>+ROUND(F9/VLOOKUP("Grand Total",$B$4:$F$298,5,0),4)</f>
        <v>0.29709999999999998</v>
      </c>
      <c r="H9" s="15" t="s">
        <v>357</v>
      </c>
      <c r="J9" s="14" t="s">
        <v>311</v>
      </c>
      <c r="K9" s="48">
        <f>SUMIFS($G$5:$G$321,$D$5:$D$321,J9)</f>
        <v>0.98170000000000002</v>
      </c>
    </row>
    <row r="10" spans="1:12" ht="12.75" customHeight="1" x14ac:dyDescent="0.2">
      <c r="A10">
        <f>+MAX($A$7:A9)+1</f>
        <v>3</v>
      </c>
      <c r="B10" t="s">
        <v>323</v>
      </c>
      <c r="C10" t="s">
        <v>294</v>
      </c>
      <c r="D10" t="s">
        <v>311</v>
      </c>
      <c r="E10" s="28">
        <v>689.96479999999997</v>
      </c>
      <c r="F10" s="13">
        <v>19.719652799999999</v>
      </c>
      <c r="G10" s="14">
        <f>+ROUND(F10/VLOOKUP("Grand Total",$B$4:$F$298,5,0),4)</f>
        <v>0.17349999999999999</v>
      </c>
      <c r="H10" s="15" t="s">
        <v>357</v>
      </c>
      <c r="J10" s="14" t="s">
        <v>63</v>
      </c>
      <c r="K10" s="48">
        <f>+SUMIFS($G$5:$G$997,$B$5:$B$997,"CBLO / Reverse Repo Investments")+SUMIFS($G$5:$G$997,$B$5:$B$997,"Net Receivable/Payable")</f>
        <v>1.83E-2</v>
      </c>
    </row>
    <row r="11" spans="1:12" ht="12.75" customHeight="1" x14ac:dyDescent="0.2">
      <c r="A11">
        <f>+MAX($A$7:A10)+1</f>
        <v>4</v>
      </c>
      <c r="B11" t="s">
        <v>296</v>
      </c>
      <c r="C11" t="s">
        <v>295</v>
      </c>
      <c r="D11" t="s">
        <v>311</v>
      </c>
      <c r="E11" s="28">
        <v>11427.009400000001</v>
      </c>
      <c r="F11" s="13">
        <v>12.430300800000001</v>
      </c>
      <c r="G11" s="14">
        <f>+ROUND(F11/VLOOKUP("Grand Total",$B$4:$F$298,5,0),4)</f>
        <v>0.1094</v>
      </c>
      <c r="H11" s="15" t="s">
        <v>357</v>
      </c>
    </row>
    <row r="12" spans="1:12" ht="12.75" customHeight="1" x14ac:dyDescent="0.2">
      <c r="B12" s="18" t="s">
        <v>84</v>
      </c>
      <c r="C12" s="18"/>
      <c r="D12" s="18"/>
      <c r="E12" s="29"/>
      <c r="F12" s="19">
        <f>SUM(F8:F11)</f>
        <v>111.58368110000001</v>
      </c>
      <c r="G12" s="20">
        <f>SUM(G8:G11)</f>
        <v>0.98170000000000002</v>
      </c>
      <c r="H12" s="21"/>
      <c r="I12" s="35"/>
      <c r="L12" s="54">
        <f>+SUM($K$9:K9)</f>
        <v>0.98170000000000002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92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84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356</v>
      </c>
      <c r="B17" s="16" t="s">
        <v>92</v>
      </c>
      <c r="C17" s="16"/>
      <c r="F17" s="13">
        <v>2.2913543999999999</v>
      </c>
      <c r="G17" s="14">
        <f>+ROUND(F17/VLOOKUP("Grand Total",$B$4:$F$292,5,0),4)</f>
        <v>2.0199999999999999E-2</v>
      </c>
      <c r="H17" s="15">
        <v>43193</v>
      </c>
    </row>
    <row r="18" spans="1:9" ht="12.75" customHeight="1" x14ac:dyDescent="0.2">
      <c r="B18" s="18" t="s">
        <v>84</v>
      </c>
      <c r="C18" s="18"/>
      <c r="D18" s="18"/>
      <c r="E18" s="29"/>
      <c r="F18" s="19">
        <f>SUM(F17)</f>
        <v>2.2913543999999999</v>
      </c>
      <c r="G18" s="20">
        <f>SUM(G17)</f>
        <v>2.0199999999999999E-2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93</v>
      </c>
      <c r="C20" s="16"/>
      <c r="F20" s="13"/>
      <c r="G20" s="14"/>
      <c r="H20" s="15"/>
    </row>
    <row r="21" spans="1:9" ht="12.75" customHeight="1" x14ac:dyDescent="0.2">
      <c r="B21" s="16" t="s">
        <v>94</v>
      </c>
      <c r="C21" s="16"/>
      <c r="F21" s="43">
        <v>-0.21058150000001774</v>
      </c>
      <c r="G21" s="122">
        <f>+ROUND(F21/VLOOKUP("Grand Total",$B$4:$F$298,5,0),4)</f>
        <v>-1.9E-3</v>
      </c>
      <c r="H21" s="15"/>
    </row>
    <row r="22" spans="1:9" ht="12.75" customHeight="1" x14ac:dyDescent="0.2">
      <c r="B22" s="18" t="s">
        <v>84</v>
      </c>
      <c r="C22" s="18"/>
      <c r="D22" s="18"/>
      <c r="E22" s="29"/>
      <c r="F22" s="50">
        <f>SUM(F21)</f>
        <v>-0.21058150000001774</v>
      </c>
      <c r="G22" s="123">
        <f>SUM(G21)</f>
        <v>-1.9E-3</v>
      </c>
      <c r="H22" s="21"/>
      <c r="I22" s="35"/>
    </row>
    <row r="23" spans="1:9" ht="12.75" customHeight="1" x14ac:dyDescent="0.2">
      <c r="B23" s="22" t="s">
        <v>95</v>
      </c>
      <c r="C23" s="22"/>
      <c r="D23" s="22"/>
      <c r="E23" s="30"/>
      <c r="F23" s="23">
        <f>+SUMIF($B$5:B22,"Total",$F$5:F22)</f>
        <v>113.66445399999999</v>
      </c>
      <c r="G23" s="24">
        <f>+SUMIF($B$5:B22,"Total",$G$5:G22)</f>
        <v>1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0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358</v>
      </c>
      <c r="B1" s="126" t="s">
        <v>96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t="s">
        <v>187</v>
      </c>
      <c r="C9" t="s">
        <v>13</v>
      </c>
      <c r="D9" s="65" t="s">
        <v>10</v>
      </c>
      <c r="E9" s="28">
        <v>9187</v>
      </c>
      <c r="F9" s="13">
        <v>173.27600699999999</v>
      </c>
      <c r="G9" s="14">
        <f t="shared" ref="G9:G55" si="0">+ROUND(F9/VLOOKUP("Grand Total",$B$4:$F$280,5,0),4)</f>
        <v>9.8500000000000004E-2</v>
      </c>
      <c r="H9" s="15"/>
      <c r="J9" s="14" t="s">
        <v>10</v>
      </c>
      <c r="K9" s="48">
        <f t="shared" ref="K9:K28" si="1">SUMIFS($G$5:$G$317,$D$5:$D$317,J9)</f>
        <v>0.26200000000000001</v>
      </c>
    </row>
    <row r="10" spans="1:16" ht="12.75" customHeight="1" x14ac:dyDescent="0.2">
      <c r="A10">
        <f>+MAX($A$8:A9)+1</f>
        <v>2</v>
      </c>
      <c r="B10" t="s">
        <v>189</v>
      </c>
      <c r="C10" t="s">
        <v>30</v>
      </c>
      <c r="D10" t="s">
        <v>29</v>
      </c>
      <c r="E10" s="28">
        <v>15492</v>
      </c>
      <c r="F10" s="13">
        <v>136.747884</v>
      </c>
      <c r="G10" s="14">
        <f t="shared" si="0"/>
        <v>7.7799999999999994E-2</v>
      </c>
      <c r="H10" s="15"/>
      <c r="J10" s="14" t="s">
        <v>14</v>
      </c>
      <c r="K10" s="48">
        <f t="shared" si="1"/>
        <v>0.12610000000000002</v>
      </c>
    </row>
    <row r="11" spans="1:16" ht="12.75" customHeight="1" x14ac:dyDescent="0.2">
      <c r="A11">
        <f>+MAX($A$8:A10)+1</f>
        <v>3</v>
      </c>
      <c r="B11" t="s">
        <v>193</v>
      </c>
      <c r="C11" t="s">
        <v>26</v>
      </c>
      <c r="D11" t="s">
        <v>23</v>
      </c>
      <c r="E11" s="28">
        <v>7176</v>
      </c>
      <c r="F11" s="13">
        <v>131.005056</v>
      </c>
      <c r="G11" s="14">
        <f t="shared" si="0"/>
        <v>7.4499999999999997E-2</v>
      </c>
      <c r="H11" s="15"/>
      <c r="J11" s="14" t="s">
        <v>29</v>
      </c>
      <c r="K11" s="48">
        <f t="shared" si="1"/>
        <v>0.1021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188</v>
      </c>
      <c r="C12" t="s">
        <v>15</v>
      </c>
      <c r="D12" t="s">
        <v>14</v>
      </c>
      <c r="E12" s="28">
        <v>8980</v>
      </c>
      <c r="F12" s="13">
        <v>101.63564</v>
      </c>
      <c r="G12" s="14">
        <f t="shared" si="0"/>
        <v>5.7799999999999997E-2</v>
      </c>
      <c r="H12" s="15"/>
      <c r="J12" s="14" t="s">
        <v>23</v>
      </c>
      <c r="K12" s="48">
        <f t="shared" si="1"/>
        <v>9.5399999999999999E-2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196</v>
      </c>
      <c r="C13" t="s">
        <v>45</v>
      </c>
      <c r="D13" t="s">
        <v>25</v>
      </c>
      <c r="E13" s="28">
        <v>38338</v>
      </c>
      <c r="F13" s="13">
        <v>97.953590000000005</v>
      </c>
      <c r="G13" s="14">
        <f t="shared" si="0"/>
        <v>5.57E-2</v>
      </c>
      <c r="H13" s="15"/>
      <c r="J13" s="14" t="s">
        <v>20</v>
      </c>
      <c r="K13" s="48">
        <f t="shared" si="1"/>
        <v>9.4E-2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190</v>
      </c>
      <c r="C14" t="s">
        <v>11</v>
      </c>
      <c r="D14" t="s">
        <v>10</v>
      </c>
      <c r="E14" s="28">
        <v>28856</v>
      </c>
      <c r="F14" s="13">
        <v>80.320675999999992</v>
      </c>
      <c r="G14" s="14">
        <f t="shared" si="0"/>
        <v>4.5699999999999998E-2</v>
      </c>
      <c r="H14" s="15"/>
      <c r="J14" s="14" t="s">
        <v>25</v>
      </c>
      <c r="K14" s="48">
        <f t="shared" si="1"/>
        <v>9.2899999999999996E-2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220</v>
      </c>
      <c r="C15" t="s">
        <v>70</v>
      </c>
      <c r="D15" t="s">
        <v>27</v>
      </c>
      <c r="E15" s="28">
        <v>5540</v>
      </c>
      <c r="F15" s="13">
        <v>72.623859999999993</v>
      </c>
      <c r="G15" s="14">
        <f t="shared" si="0"/>
        <v>4.1300000000000003E-2</v>
      </c>
      <c r="H15" s="15"/>
      <c r="J15" s="14" t="s">
        <v>27</v>
      </c>
      <c r="K15" s="48">
        <f t="shared" si="1"/>
        <v>4.1300000000000003E-2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211</v>
      </c>
      <c r="C16" t="s">
        <v>19</v>
      </c>
      <c r="D16" t="s">
        <v>14</v>
      </c>
      <c r="E16" s="28">
        <v>2236</v>
      </c>
      <c r="F16" s="13">
        <v>63.706994000000002</v>
      </c>
      <c r="G16" s="14">
        <f t="shared" si="0"/>
        <v>3.6200000000000003E-2</v>
      </c>
      <c r="H16" s="15"/>
      <c r="J16" s="14" t="s">
        <v>22</v>
      </c>
      <c r="K16" s="48">
        <f t="shared" si="1"/>
        <v>3.2000000000000001E-2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207</v>
      </c>
      <c r="C17" t="s">
        <v>97</v>
      </c>
      <c r="D17" t="s">
        <v>10</v>
      </c>
      <c r="E17" s="28">
        <v>5990</v>
      </c>
      <c r="F17" s="13">
        <v>62.763219999999997</v>
      </c>
      <c r="G17" s="14">
        <f t="shared" si="0"/>
        <v>3.5700000000000003E-2</v>
      </c>
      <c r="H17" s="15"/>
      <c r="J17" s="14" t="s">
        <v>35</v>
      </c>
      <c r="K17" s="48">
        <f t="shared" si="1"/>
        <v>2.4E-2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204</v>
      </c>
      <c r="C18" t="s">
        <v>48</v>
      </c>
      <c r="D18" t="s">
        <v>20</v>
      </c>
      <c r="E18" s="28">
        <v>597</v>
      </c>
      <c r="F18" s="13">
        <v>52.900767000000002</v>
      </c>
      <c r="G18" s="14">
        <f t="shared" si="0"/>
        <v>3.0099999999999998E-2</v>
      </c>
      <c r="H18" s="15"/>
      <c r="J18" s="14" t="s">
        <v>44</v>
      </c>
      <c r="K18" s="48">
        <f t="shared" si="1"/>
        <v>2.12E-2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234</v>
      </c>
      <c r="C19" t="s">
        <v>100</v>
      </c>
      <c r="D19" t="s">
        <v>25</v>
      </c>
      <c r="E19" s="28">
        <v>3210</v>
      </c>
      <c r="F19" s="13">
        <v>42.800535000000004</v>
      </c>
      <c r="G19" s="14">
        <f t="shared" si="0"/>
        <v>2.4299999999999999E-2</v>
      </c>
      <c r="H19" s="15"/>
      <c r="J19" s="14" t="s">
        <v>33</v>
      </c>
      <c r="K19" s="48">
        <f t="shared" si="1"/>
        <v>1.34E-2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16</v>
      </c>
      <c r="C20" t="s">
        <v>17</v>
      </c>
      <c r="D20" t="s">
        <v>10</v>
      </c>
      <c r="E20" s="28">
        <v>16679</v>
      </c>
      <c r="F20" s="13">
        <v>41.680821000000002</v>
      </c>
      <c r="G20" s="14">
        <f t="shared" si="0"/>
        <v>2.3699999999999999E-2</v>
      </c>
      <c r="H20" s="15"/>
      <c r="J20" s="14" t="s">
        <v>98</v>
      </c>
      <c r="K20" s="48">
        <f t="shared" si="1"/>
        <v>1.2800000000000001E-2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236</v>
      </c>
      <c r="C21" t="s">
        <v>102</v>
      </c>
      <c r="D21" t="s">
        <v>10</v>
      </c>
      <c r="E21" s="28">
        <v>2289</v>
      </c>
      <c r="F21" s="13">
        <v>41.127607500000003</v>
      </c>
      <c r="G21" s="14">
        <f t="shared" si="0"/>
        <v>2.3400000000000001E-2</v>
      </c>
      <c r="H21" s="15"/>
      <c r="J21" s="14" t="s">
        <v>105</v>
      </c>
      <c r="K21" s="48">
        <f t="shared" si="1"/>
        <v>1.1299999999999999E-2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212</v>
      </c>
      <c r="C22" t="s">
        <v>28</v>
      </c>
      <c r="D22" t="s">
        <v>10</v>
      </c>
      <c r="E22" s="28">
        <v>7144</v>
      </c>
      <c r="F22" s="13">
        <v>36.470120000000001</v>
      </c>
      <c r="G22" s="14">
        <f t="shared" si="0"/>
        <v>2.07E-2</v>
      </c>
      <c r="H22" s="15"/>
      <c r="J22" s="14" t="s">
        <v>18</v>
      </c>
      <c r="K22" s="48">
        <f t="shared" si="1"/>
        <v>1.0500000000000001E-2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235</v>
      </c>
      <c r="C23" t="s">
        <v>99</v>
      </c>
      <c r="D23" t="s">
        <v>20</v>
      </c>
      <c r="E23" s="28">
        <v>4190</v>
      </c>
      <c r="F23" s="13">
        <v>30.959910000000001</v>
      </c>
      <c r="G23" s="14">
        <f t="shared" si="0"/>
        <v>1.7600000000000001E-2</v>
      </c>
      <c r="H23" s="15"/>
      <c r="J23" s="14" t="s">
        <v>50</v>
      </c>
      <c r="K23" s="48">
        <f t="shared" si="1"/>
        <v>9.4000000000000004E-3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191</v>
      </c>
      <c r="C24" t="s">
        <v>21</v>
      </c>
      <c r="D24" t="s">
        <v>20</v>
      </c>
      <c r="E24" s="28">
        <v>8304</v>
      </c>
      <c r="F24" s="13">
        <v>27.141624</v>
      </c>
      <c r="G24" s="14">
        <f t="shared" si="0"/>
        <v>1.54E-2</v>
      </c>
      <c r="H24" s="15"/>
      <c r="J24" s="14" t="s">
        <v>101</v>
      </c>
      <c r="K24" s="48">
        <f t="shared" si="1"/>
        <v>8.0000000000000002E-3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246</v>
      </c>
      <c r="C25" t="s">
        <v>517</v>
      </c>
      <c r="D25" t="s">
        <v>10</v>
      </c>
      <c r="E25" s="28">
        <v>8259</v>
      </c>
      <c r="F25" s="13">
        <v>25.177561499999999</v>
      </c>
      <c r="G25" s="14">
        <f t="shared" si="0"/>
        <v>1.43E-2</v>
      </c>
      <c r="H25" s="15"/>
      <c r="J25" s="14" t="s">
        <v>46</v>
      </c>
      <c r="K25" s="48">
        <f t="shared" si="1"/>
        <v>7.1999999999999998E-3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415</v>
      </c>
      <c r="C26" t="s">
        <v>67</v>
      </c>
      <c r="D26" t="s">
        <v>22</v>
      </c>
      <c r="E26" s="28">
        <v>4959</v>
      </c>
      <c r="F26" s="13">
        <v>24.552008999999998</v>
      </c>
      <c r="G26" s="14">
        <f t="shared" si="0"/>
        <v>1.4E-2</v>
      </c>
      <c r="H26" s="15"/>
      <c r="J26" s="14" t="s">
        <v>36</v>
      </c>
      <c r="K26" s="48">
        <f t="shared" si="1"/>
        <v>6.8999999999999999E-3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192</v>
      </c>
      <c r="C27" t="s">
        <v>24</v>
      </c>
      <c r="D27" t="s">
        <v>14</v>
      </c>
      <c r="E27" s="28">
        <v>2502</v>
      </c>
      <c r="F27" s="13">
        <v>24.234372</v>
      </c>
      <c r="G27" s="14">
        <f t="shared" si="0"/>
        <v>1.38E-2</v>
      </c>
      <c r="H27" s="15"/>
      <c r="J27" t="s">
        <v>130</v>
      </c>
      <c r="K27" s="48">
        <f t="shared" si="1"/>
        <v>6.7999999999999996E-3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209</v>
      </c>
      <c r="C28" t="s">
        <v>64</v>
      </c>
      <c r="D28" t="s">
        <v>33</v>
      </c>
      <c r="E28" s="28">
        <v>5928</v>
      </c>
      <c r="F28" s="13">
        <v>23.634936</v>
      </c>
      <c r="G28" s="14">
        <f t="shared" si="0"/>
        <v>1.34E-2</v>
      </c>
      <c r="H28" s="15"/>
      <c r="J28" s="14" t="s">
        <v>333</v>
      </c>
      <c r="K28" s="48">
        <f t="shared" si="1"/>
        <v>6.7000000000000002E-3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245</v>
      </c>
      <c r="C29" t="s">
        <v>114</v>
      </c>
      <c r="D29" t="s">
        <v>35</v>
      </c>
      <c r="E29" s="28">
        <v>13709</v>
      </c>
      <c r="F29" s="13">
        <v>23.264173</v>
      </c>
      <c r="G29" s="14">
        <f t="shared" si="0"/>
        <v>1.32E-2</v>
      </c>
      <c r="H29" s="15"/>
      <c r="J29" s="14" t="s">
        <v>63</v>
      </c>
      <c r="K29" s="48">
        <f>+SUMIFS($G$5:$G$997,$B$5:$B$997,"CBLO / Reverse Repo Investments")+SUMIFS($G$5:$G$997,$B$5:$B$997,"Net Receivable/Payable")</f>
        <v>1.6E-2</v>
      </c>
      <c r="N29" s="14"/>
      <c r="P29" s="14"/>
    </row>
    <row r="30" spans="1:16" ht="12.75" customHeight="1" x14ac:dyDescent="0.2">
      <c r="A30">
        <f>+MAX($A$8:A29)+1</f>
        <v>22</v>
      </c>
      <c r="B30" t="s">
        <v>425</v>
      </c>
      <c r="C30" t="s">
        <v>426</v>
      </c>
      <c r="D30" t="s">
        <v>44</v>
      </c>
      <c r="E30" s="28">
        <v>8352</v>
      </c>
      <c r="F30" s="13">
        <v>23.206032</v>
      </c>
      <c r="G30" s="14">
        <f t="shared" si="0"/>
        <v>1.32E-2</v>
      </c>
      <c r="H30" s="15"/>
      <c r="J30" s="14"/>
      <c r="K30" s="48"/>
      <c r="N30" s="14"/>
      <c r="P30" s="14"/>
    </row>
    <row r="31" spans="1:16" ht="12.75" customHeight="1" x14ac:dyDescent="0.2">
      <c r="A31">
        <f>+MAX($A$8:A30)+1</f>
        <v>23</v>
      </c>
      <c r="B31" t="s">
        <v>240</v>
      </c>
      <c r="C31" t="s">
        <v>109</v>
      </c>
      <c r="D31" t="s">
        <v>25</v>
      </c>
      <c r="E31" s="28">
        <v>2026</v>
      </c>
      <c r="F31" s="13">
        <v>22.699303999999998</v>
      </c>
      <c r="G31" s="14">
        <f t="shared" si="0"/>
        <v>1.29E-2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238</v>
      </c>
      <c r="C32" t="s">
        <v>106</v>
      </c>
      <c r="D32" t="s">
        <v>98</v>
      </c>
      <c r="E32" s="28">
        <v>12687</v>
      </c>
      <c r="F32" s="13">
        <v>22.557486000000001</v>
      </c>
      <c r="G32" s="14">
        <f t="shared" si="0"/>
        <v>1.2800000000000001E-2</v>
      </c>
      <c r="H32" s="15"/>
      <c r="J32" s="14"/>
      <c r="L32" s="54">
        <f>+SUM($K$9:K32)</f>
        <v>1</v>
      </c>
    </row>
    <row r="33" spans="1:13" ht="12.75" customHeight="1" x14ac:dyDescent="0.2">
      <c r="A33">
        <f>+MAX($A$8:A32)+1</f>
        <v>25</v>
      </c>
      <c r="B33" t="s">
        <v>243</v>
      </c>
      <c r="C33" t="s">
        <v>111</v>
      </c>
      <c r="D33" t="s">
        <v>20</v>
      </c>
      <c r="E33" s="28">
        <v>583</v>
      </c>
      <c r="F33" s="13">
        <v>20.654523999999999</v>
      </c>
      <c r="G33" s="14">
        <f t="shared" si="0"/>
        <v>1.17E-2</v>
      </c>
      <c r="H33" s="15"/>
    </row>
    <row r="34" spans="1:13" ht="12.75" customHeight="1" x14ac:dyDescent="0.2">
      <c r="A34">
        <f>+MAX($A$8:A33)+1</f>
        <v>26</v>
      </c>
      <c r="B34" t="s">
        <v>251</v>
      </c>
      <c r="C34" t="s">
        <v>120</v>
      </c>
      <c r="D34" t="s">
        <v>105</v>
      </c>
      <c r="E34" s="28">
        <v>3493</v>
      </c>
      <c r="F34" s="13">
        <v>19.946776499999999</v>
      </c>
      <c r="G34" s="14">
        <f t="shared" si="0"/>
        <v>1.1299999999999999E-2</v>
      </c>
      <c r="H34" s="15"/>
      <c r="M34" s="14"/>
    </row>
    <row r="35" spans="1:13" ht="12.75" customHeight="1" x14ac:dyDescent="0.2">
      <c r="A35">
        <f>+MAX($A$8:A34)+1</f>
        <v>27</v>
      </c>
      <c r="B35" t="s">
        <v>242</v>
      </c>
      <c r="C35" t="s">
        <v>113</v>
      </c>
      <c r="D35" t="s">
        <v>35</v>
      </c>
      <c r="E35" s="28">
        <v>9874</v>
      </c>
      <c r="F35" s="13">
        <v>19.081505</v>
      </c>
      <c r="G35" s="14">
        <f t="shared" si="0"/>
        <v>1.0800000000000001E-2</v>
      </c>
      <c r="H35" s="15"/>
    </row>
    <row r="36" spans="1:13" ht="12.75" customHeight="1" x14ac:dyDescent="0.2">
      <c r="A36">
        <f>+MAX($A$8:A35)+1</f>
        <v>28</v>
      </c>
      <c r="B36" t="s">
        <v>265</v>
      </c>
      <c r="C36" t="s">
        <v>350</v>
      </c>
      <c r="D36" t="s">
        <v>23</v>
      </c>
      <c r="E36" s="28">
        <v>1062</v>
      </c>
      <c r="F36" s="13">
        <v>18.771381000000002</v>
      </c>
      <c r="G36" s="14">
        <f t="shared" si="0"/>
        <v>1.0699999999999999E-2</v>
      </c>
      <c r="H36" s="15"/>
    </row>
    <row r="37" spans="1:13" ht="12.75" customHeight="1" x14ac:dyDescent="0.2">
      <c r="A37">
        <f>+MAX($A$8:A36)+1</f>
        <v>29</v>
      </c>
      <c r="B37" t="s">
        <v>199</v>
      </c>
      <c r="C37" t="s">
        <v>52</v>
      </c>
      <c r="D37" t="s">
        <v>18</v>
      </c>
      <c r="E37" s="28">
        <v>469</v>
      </c>
      <c r="F37" s="13">
        <v>18.525500000000001</v>
      </c>
      <c r="G37" s="14">
        <f t="shared" si="0"/>
        <v>1.0500000000000001E-2</v>
      </c>
      <c r="H37" s="15"/>
    </row>
    <row r="38" spans="1:13" ht="12.75" customHeight="1" x14ac:dyDescent="0.2">
      <c r="A38">
        <f>+MAX($A$8:A37)+1</f>
        <v>30</v>
      </c>
      <c r="B38" t="s">
        <v>336</v>
      </c>
      <c r="C38" t="s">
        <v>337</v>
      </c>
      <c r="D38" t="s">
        <v>23</v>
      </c>
      <c r="E38" s="28">
        <v>1455</v>
      </c>
      <c r="F38" s="13">
        <v>18.001987499999998</v>
      </c>
      <c r="G38" s="14">
        <f t="shared" si="0"/>
        <v>1.0200000000000001E-2</v>
      </c>
      <c r="H38" s="15"/>
    </row>
    <row r="39" spans="1:13" ht="12.75" customHeight="1" x14ac:dyDescent="0.2">
      <c r="A39">
        <f>+MAX($A$8:A38)+1</f>
        <v>31</v>
      </c>
      <c r="B39" t="s">
        <v>244</v>
      </c>
      <c r="C39" t="s">
        <v>112</v>
      </c>
      <c r="D39" t="s">
        <v>14</v>
      </c>
      <c r="E39" s="28">
        <v>2810</v>
      </c>
      <c r="F39" s="13">
        <v>17.947469999999999</v>
      </c>
      <c r="G39" s="14">
        <f t="shared" si="0"/>
        <v>1.0200000000000001E-2</v>
      </c>
      <c r="H39" s="15"/>
    </row>
    <row r="40" spans="1:13" ht="12.75" customHeight="1" x14ac:dyDescent="0.2">
      <c r="A40">
        <f>+MAX($A$8:A39)+1</f>
        <v>32</v>
      </c>
      <c r="B40" t="s">
        <v>263</v>
      </c>
      <c r="C40" t="s">
        <v>140</v>
      </c>
      <c r="D40" t="s">
        <v>20</v>
      </c>
      <c r="E40" s="28">
        <v>60</v>
      </c>
      <c r="F40" s="13">
        <v>17.023589999999999</v>
      </c>
      <c r="G40" s="14">
        <f t="shared" si="0"/>
        <v>9.7000000000000003E-3</v>
      </c>
      <c r="H40" s="15"/>
    </row>
    <row r="41" spans="1:13" ht="12.75" customHeight="1" x14ac:dyDescent="0.2">
      <c r="A41">
        <f>+MAX($A$8:A40)+1</f>
        <v>33</v>
      </c>
      <c r="B41" t="s">
        <v>194</v>
      </c>
      <c r="C41" t="s">
        <v>38</v>
      </c>
      <c r="D41" t="s">
        <v>20</v>
      </c>
      <c r="E41" s="28">
        <v>611</v>
      </c>
      <c r="F41" s="13">
        <v>16.770116999999999</v>
      </c>
      <c r="G41" s="14">
        <f t="shared" si="0"/>
        <v>9.4999999999999998E-3</v>
      </c>
      <c r="H41" s="15"/>
    </row>
    <row r="42" spans="1:13" ht="12.75" customHeight="1" x14ac:dyDescent="0.2">
      <c r="A42">
        <f>+MAX($A$8:A41)+1</f>
        <v>34</v>
      </c>
      <c r="B42" t="s">
        <v>223</v>
      </c>
      <c r="C42" t="s">
        <v>78</v>
      </c>
      <c r="D42" t="s">
        <v>50</v>
      </c>
      <c r="E42" s="28">
        <v>5858</v>
      </c>
      <c r="F42" s="13">
        <v>16.595713999999997</v>
      </c>
      <c r="G42" s="14">
        <f t="shared" si="0"/>
        <v>9.4000000000000004E-3</v>
      </c>
      <c r="H42" s="15"/>
    </row>
    <row r="43" spans="1:13" ht="12.75" customHeight="1" x14ac:dyDescent="0.2">
      <c r="A43">
        <f>+MAX($A$8:A42)+1</f>
        <v>35</v>
      </c>
      <c r="B43" t="s">
        <v>280</v>
      </c>
      <c r="C43" t="s">
        <v>172</v>
      </c>
      <c r="D43" t="s">
        <v>29</v>
      </c>
      <c r="E43" s="28">
        <v>9164</v>
      </c>
      <c r="F43" s="13">
        <v>16.183623999999998</v>
      </c>
      <c r="G43" s="14">
        <f t="shared" si="0"/>
        <v>9.1999999999999998E-3</v>
      </c>
      <c r="H43" s="15"/>
    </row>
    <row r="44" spans="1:13" ht="12.75" customHeight="1" x14ac:dyDescent="0.2">
      <c r="A44">
        <f>+MAX($A$8:A43)+1</f>
        <v>36</v>
      </c>
      <c r="B44" t="s">
        <v>247</v>
      </c>
      <c r="C44" t="s">
        <v>116</v>
      </c>
      <c r="D44" t="s">
        <v>29</v>
      </c>
      <c r="E44" s="28">
        <v>3509</v>
      </c>
      <c r="F44" s="13">
        <v>14.9992205</v>
      </c>
      <c r="G44" s="14">
        <f t="shared" si="0"/>
        <v>8.5000000000000006E-3</v>
      </c>
      <c r="H44" s="15"/>
    </row>
    <row r="45" spans="1:13" ht="12.75" customHeight="1" x14ac:dyDescent="0.2">
      <c r="A45">
        <f>+MAX($A$8:A44)+1</f>
        <v>37</v>
      </c>
      <c r="B45" t="s">
        <v>241</v>
      </c>
      <c r="C45" t="s">
        <v>110</v>
      </c>
      <c r="D45" t="s">
        <v>14</v>
      </c>
      <c r="E45" s="28">
        <v>5081</v>
      </c>
      <c r="F45" s="13">
        <v>14.285231499999998</v>
      </c>
      <c r="G45" s="14">
        <f t="shared" si="0"/>
        <v>8.0999999999999996E-3</v>
      </c>
      <c r="H45" s="15"/>
    </row>
    <row r="46" spans="1:13" ht="12.75" customHeight="1" x14ac:dyDescent="0.2">
      <c r="A46">
        <f>+MAX($A$8:A45)+1</f>
        <v>38</v>
      </c>
      <c r="B46" t="s">
        <v>248</v>
      </c>
      <c r="C46" t="s">
        <v>117</v>
      </c>
      <c r="D46" t="s">
        <v>101</v>
      </c>
      <c r="E46" s="28">
        <v>2460</v>
      </c>
      <c r="F46" s="13">
        <v>14.157299999999999</v>
      </c>
      <c r="G46" s="14">
        <f t="shared" si="0"/>
        <v>8.0000000000000002E-3</v>
      </c>
      <c r="H46" s="15"/>
    </row>
    <row r="47" spans="1:13" ht="12.75" customHeight="1" x14ac:dyDescent="0.2">
      <c r="A47">
        <f>+MAX($A$8:A46)+1</f>
        <v>39</v>
      </c>
      <c r="B47" t="s">
        <v>254</v>
      </c>
      <c r="C47" t="s">
        <v>122</v>
      </c>
      <c r="D47" t="s">
        <v>44</v>
      </c>
      <c r="E47" s="28">
        <v>6557</v>
      </c>
      <c r="F47" s="13">
        <v>14.068043500000002</v>
      </c>
      <c r="G47" s="14">
        <f t="shared" si="0"/>
        <v>8.0000000000000002E-3</v>
      </c>
      <c r="H47" s="15"/>
    </row>
    <row r="48" spans="1:13" ht="12.75" customHeight="1" x14ac:dyDescent="0.2">
      <c r="A48">
        <f>+MAX($A$8:A47)+1</f>
        <v>40</v>
      </c>
      <c r="B48" t="s">
        <v>250</v>
      </c>
      <c r="C48" t="s">
        <v>118</v>
      </c>
      <c r="D48" t="s">
        <v>46</v>
      </c>
      <c r="E48" s="28">
        <v>3850</v>
      </c>
      <c r="F48" s="13">
        <v>12.649175</v>
      </c>
      <c r="G48" s="14">
        <f t="shared" si="0"/>
        <v>7.1999999999999998E-3</v>
      </c>
      <c r="H48" s="15"/>
    </row>
    <row r="49" spans="1:9" ht="12.75" customHeight="1" x14ac:dyDescent="0.2">
      <c r="A49">
        <f>+MAX($A$8:A48)+1</f>
        <v>41</v>
      </c>
      <c r="B49" t="s">
        <v>203</v>
      </c>
      <c r="C49" t="s">
        <v>68</v>
      </c>
      <c r="D49" t="s">
        <v>22</v>
      </c>
      <c r="E49" s="28">
        <v>2279</v>
      </c>
      <c r="F49" s="13">
        <v>12.4308055</v>
      </c>
      <c r="G49" s="14">
        <f t="shared" si="0"/>
        <v>7.1000000000000004E-3</v>
      </c>
      <c r="H49" s="15"/>
    </row>
    <row r="50" spans="1:9" ht="12.75" customHeight="1" x14ac:dyDescent="0.2">
      <c r="A50">
        <f>+MAX($A$8:A49)+1</f>
        <v>42</v>
      </c>
      <c r="B50" t="s">
        <v>249</v>
      </c>
      <c r="C50" t="s">
        <v>115</v>
      </c>
      <c r="D50" t="s">
        <v>36</v>
      </c>
      <c r="E50" s="28">
        <v>3443</v>
      </c>
      <c r="F50" s="13">
        <v>12.191663</v>
      </c>
      <c r="G50" s="14">
        <f t="shared" si="0"/>
        <v>6.8999999999999999E-3</v>
      </c>
      <c r="H50" s="15"/>
    </row>
    <row r="51" spans="1:9" ht="12.75" customHeight="1" x14ac:dyDescent="0.2">
      <c r="A51">
        <f>+MAX($A$8:A50)+1</f>
        <v>43</v>
      </c>
      <c r="B51" t="s">
        <v>275</v>
      </c>
      <c r="C51" t="s">
        <v>154</v>
      </c>
      <c r="D51" t="s">
        <v>130</v>
      </c>
      <c r="E51" s="28">
        <v>1645</v>
      </c>
      <c r="F51" s="13">
        <v>12.012612499999999</v>
      </c>
      <c r="G51" s="14">
        <f t="shared" si="0"/>
        <v>6.7999999999999996E-3</v>
      </c>
      <c r="H51" s="15"/>
    </row>
    <row r="52" spans="1:9" ht="12.75" customHeight="1" x14ac:dyDescent="0.2">
      <c r="A52">
        <f>+MAX($A$8:A51)+1</f>
        <v>44</v>
      </c>
      <c r="B52" t="s">
        <v>315</v>
      </c>
      <c r="C52" t="s">
        <v>316</v>
      </c>
      <c r="D52" t="s">
        <v>333</v>
      </c>
      <c r="E52" s="28">
        <v>3491</v>
      </c>
      <c r="F52" s="13">
        <v>11.734996499999999</v>
      </c>
      <c r="G52" s="14">
        <f t="shared" si="0"/>
        <v>6.7000000000000002E-3</v>
      </c>
      <c r="H52" s="15"/>
    </row>
    <row r="53" spans="1:9" ht="12.75" customHeight="1" x14ac:dyDescent="0.2">
      <c r="A53">
        <f>+MAX($A$8:A52)+1</f>
        <v>45</v>
      </c>
      <c r="B53" t="s">
        <v>224</v>
      </c>
      <c r="C53" t="s">
        <v>79</v>
      </c>
      <c r="D53" t="s">
        <v>29</v>
      </c>
      <c r="E53" s="28">
        <v>3355</v>
      </c>
      <c r="F53" s="13">
        <v>11.569717499999999</v>
      </c>
      <c r="G53" s="14">
        <f t="shared" si="0"/>
        <v>6.6E-3</v>
      </c>
      <c r="H53" s="15"/>
    </row>
    <row r="54" spans="1:9" ht="12.75" customHeight="1" x14ac:dyDescent="0.2">
      <c r="A54">
        <f>+MAX($A$8:A53)+1</f>
        <v>46</v>
      </c>
      <c r="B54" t="s">
        <v>239</v>
      </c>
      <c r="C54" t="s">
        <v>108</v>
      </c>
      <c r="D54" t="s">
        <v>22</v>
      </c>
      <c r="E54" s="28">
        <v>544</v>
      </c>
      <c r="F54" s="13">
        <v>11.318192</v>
      </c>
      <c r="G54" s="14">
        <f t="shared" si="0"/>
        <v>6.4000000000000003E-3</v>
      </c>
      <c r="H54" s="15"/>
    </row>
    <row r="55" spans="1:9" ht="12.75" customHeight="1" x14ac:dyDescent="0.2">
      <c r="A55">
        <f>+MAX($A$8:A54)+1</f>
        <v>47</v>
      </c>
      <c r="B55" t="s">
        <v>237</v>
      </c>
      <c r="C55" t="s">
        <v>103</v>
      </c>
      <c r="D55" t="s">
        <v>22</v>
      </c>
      <c r="E55" s="28">
        <v>1076</v>
      </c>
      <c r="F55" s="13">
        <v>7.9177460000000002</v>
      </c>
      <c r="G55" s="14">
        <f t="shared" si="0"/>
        <v>4.4999999999999997E-3</v>
      </c>
      <c r="H55" s="15"/>
    </row>
    <row r="56" spans="1:9" ht="12.75" customHeight="1" x14ac:dyDescent="0.2">
      <c r="B56" s="18" t="s">
        <v>84</v>
      </c>
      <c r="C56" s="18"/>
      <c r="D56" s="18"/>
      <c r="E56" s="29"/>
      <c r="F56" s="19">
        <f>SUM(F9:F55)</f>
        <v>1731.2770775000001</v>
      </c>
      <c r="G56" s="20">
        <f>SUM(G9:G55)</f>
        <v>0.9840000000000001</v>
      </c>
      <c r="H56" s="21"/>
      <c r="I56" s="35"/>
    </row>
    <row r="57" spans="1:9" ht="12.75" customHeight="1" x14ac:dyDescent="0.2">
      <c r="F57" s="13"/>
      <c r="G57" s="14"/>
      <c r="H57" s="15"/>
    </row>
    <row r="58" spans="1:9" ht="12.75" customHeight="1" x14ac:dyDescent="0.2">
      <c r="A58" s="95" t="s">
        <v>356</v>
      </c>
      <c r="B58" s="16" t="s">
        <v>92</v>
      </c>
      <c r="C58" s="16"/>
      <c r="F58" s="13">
        <v>7.5714405000000005</v>
      </c>
      <c r="G58" s="14">
        <f>+ROUND(F58/VLOOKUP("Grand Total",$B$4:$F$280,5,0),4)</f>
        <v>4.3E-3</v>
      </c>
      <c r="H58" s="15">
        <v>43193</v>
      </c>
    </row>
    <row r="59" spans="1:9" ht="12.75" customHeight="1" x14ac:dyDescent="0.2">
      <c r="B59" s="18" t="s">
        <v>84</v>
      </c>
      <c r="C59" s="18"/>
      <c r="D59" s="18"/>
      <c r="E59" s="29"/>
      <c r="F59" s="19">
        <f>SUM(F58)</f>
        <v>7.5714405000000005</v>
      </c>
      <c r="G59" s="20">
        <f>SUM(G58)</f>
        <v>4.3E-3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B61" s="16" t="s">
        <v>93</v>
      </c>
      <c r="C61" s="16"/>
      <c r="F61" s="13"/>
      <c r="G61" s="14"/>
      <c r="H61" s="15"/>
    </row>
    <row r="62" spans="1:9" ht="12.75" customHeight="1" x14ac:dyDescent="0.2">
      <c r="B62" s="16" t="s">
        <v>94</v>
      </c>
      <c r="C62" s="16"/>
      <c r="F62" s="13">
        <v>19.825667599999861</v>
      </c>
      <c r="G62" s="14">
        <f>+ROUND(F62/VLOOKUP("Grand Total",$B$4:$F$280,5,0),4)+0.04%</f>
        <v>1.1699999999999999E-2</v>
      </c>
      <c r="H62" s="15"/>
    </row>
    <row r="63" spans="1:9" ht="12.75" customHeight="1" x14ac:dyDescent="0.2">
      <c r="B63" s="18" t="s">
        <v>84</v>
      </c>
      <c r="C63" s="18"/>
      <c r="D63" s="18"/>
      <c r="E63" s="29"/>
      <c r="F63" s="19">
        <f>SUM(F62)</f>
        <v>19.825667599999861</v>
      </c>
      <c r="G63" s="124">
        <f>SUM(G62)</f>
        <v>1.1699999999999999E-2</v>
      </c>
      <c r="H63" s="21"/>
      <c r="I63" s="35"/>
    </row>
    <row r="64" spans="1:9" ht="12.75" customHeight="1" x14ac:dyDescent="0.2">
      <c r="B64" s="22" t="s">
        <v>95</v>
      </c>
      <c r="C64" s="22"/>
      <c r="D64" s="22"/>
      <c r="E64" s="30"/>
      <c r="F64" s="23">
        <f>+SUMIF($B$5:B63,"Total",$F$5:F63)</f>
        <v>1758.6741856000001</v>
      </c>
      <c r="G64" s="24">
        <f>+SUMIF($B$5:B63,"Total",$G$5:G63)</f>
        <v>1</v>
      </c>
      <c r="H64" s="25"/>
      <c r="I64" s="35"/>
    </row>
    <row r="65" spans="2:3" ht="12.75" customHeight="1" x14ac:dyDescent="0.2"/>
    <row r="66" spans="2:3" ht="12.75" customHeight="1" x14ac:dyDescent="0.2">
      <c r="B66" s="16"/>
      <c r="C66" s="16"/>
    </row>
    <row r="67" spans="2:3" ht="12.75" customHeight="1" x14ac:dyDescent="0.2">
      <c r="B67" s="16"/>
      <c r="C67" s="16"/>
    </row>
    <row r="68" spans="2:3" ht="12.75" customHeight="1" x14ac:dyDescent="0.2">
      <c r="B68" s="16"/>
      <c r="C68" s="16"/>
    </row>
    <row r="69" spans="2:3" ht="12.75" customHeight="1" x14ac:dyDescent="0.2">
      <c r="B69" s="16"/>
      <c r="C69" s="16"/>
    </row>
    <row r="70" spans="2:3" ht="12.75" customHeight="1" x14ac:dyDescent="0.2">
      <c r="B70" s="16"/>
      <c r="C70" s="16"/>
    </row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</sheetData>
  <sheetProtection password="EDB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376</v>
      </c>
      <c r="B1" s="126" t="s">
        <v>468</v>
      </c>
      <c r="C1" s="127"/>
      <c r="D1" s="127"/>
      <c r="E1" s="127"/>
      <c r="F1" s="127"/>
      <c r="G1" s="127"/>
      <c r="H1" s="128"/>
    </row>
    <row r="2" spans="1:12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91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437</v>
      </c>
      <c r="C8" t="s">
        <v>292</v>
      </c>
      <c r="D8" t="s">
        <v>311</v>
      </c>
      <c r="E8" s="28">
        <v>463786.12209999998</v>
      </c>
      <c r="F8" s="13">
        <v>146.94228460000002</v>
      </c>
      <c r="G8" s="14">
        <f>+ROUND(F8/VLOOKUP("Grand Total",$B$4:$F$294,5,0),4)</f>
        <v>0.59199999999999997</v>
      </c>
      <c r="H8" s="15" t="s">
        <v>357</v>
      </c>
      <c r="J8" s="17" t="s">
        <v>632</v>
      </c>
      <c r="K8" s="37" t="s">
        <v>12</v>
      </c>
    </row>
    <row r="9" spans="1:12" ht="12.75" customHeight="1" x14ac:dyDescent="0.2">
      <c r="A9">
        <f>+MAX($A$7:A8)+1</f>
        <v>2</v>
      </c>
      <c r="B9" t="s">
        <v>323</v>
      </c>
      <c r="C9" t="s">
        <v>294</v>
      </c>
      <c r="D9" t="s">
        <v>311</v>
      </c>
      <c r="E9" s="28">
        <v>2157.7449999999999</v>
      </c>
      <c r="F9" s="13">
        <v>61.669786999999999</v>
      </c>
      <c r="G9" s="14">
        <f>+ROUND(F9/VLOOKUP("Grand Total",$B$4:$F$294,5,0),4)</f>
        <v>0.24840000000000001</v>
      </c>
      <c r="H9" s="15" t="s">
        <v>357</v>
      </c>
      <c r="J9" s="14" t="s">
        <v>311</v>
      </c>
      <c r="K9" s="48">
        <f>SUMIFS($G$5:$G$321,$D$5:$D$321,J9)</f>
        <v>0.99219999999999997</v>
      </c>
    </row>
    <row r="10" spans="1:12" ht="12.75" customHeight="1" x14ac:dyDescent="0.2">
      <c r="A10">
        <f>+MAX($A$7:A9)+1</f>
        <v>3</v>
      </c>
      <c r="B10" t="s">
        <v>438</v>
      </c>
      <c r="C10" t="s">
        <v>293</v>
      </c>
      <c r="D10" t="s">
        <v>311</v>
      </c>
      <c r="E10" s="28">
        <v>62414.288500000002</v>
      </c>
      <c r="F10" s="13">
        <v>37.691988799999997</v>
      </c>
      <c r="G10" s="14">
        <f>+ROUND(F10/VLOOKUP("Grand Total",$B$4:$F$294,5,0),4)</f>
        <v>0.15179999999999999</v>
      </c>
      <c r="H10" s="15" t="s">
        <v>357</v>
      </c>
      <c r="J10" s="14" t="s">
        <v>63</v>
      </c>
      <c r="K10" s="48">
        <f>+SUMIFS($G$5:$G$997,$B$5:$B$997,"CBLO / Reverse Repo Investments")+SUMIFS($G$5:$G$997,$B$5:$B$997,"Net Receivable/Payable")</f>
        <v>7.8000000000000005E-3</v>
      </c>
    </row>
    <row r="11" spans="1:12" ht="12.75" customHeight="1" x14ac:dyDescent="0.2">
      <c r="B11" s="18" t="s">
        <v>84</v>
      </c>
      <c r="C11" s="18"/>
      <c r="D11" s="18"/>
      <c r="E11" s="29"/>
      <c r="F11" s="19">
        <f>SUM(F8:F10)</f>
        <v>246.30406040000003</v>
      </c>
      <c r="G11" s="20">
        <f>SUM(G8:G10)</f>
        <v>0.99219999999999997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1</v>
      </c>
    </row>
    <row r="13" spans="1:12" ht="12.75" customHeight="1" x14ac:dyDescent="0.2">
      <c r="B13" s="16" t="s">
        <v>92</v>
      </c>
      <c r="C13" s="16"/>
      <c r="F13" s="13">
        <v>1.9924812000000001</v>
      </c>
      <c r="G13" s="14">
        <f>+ROUND(F13/VLOOKUP("Grand Total",$B$4:$F$294,5,0),4)</f>
        <v>8.0000000000000002E-3</v>
      </c>
      <c r="H13" s="15">
        <v>43193</v>
      </c>
    </row>
    <row r="14" spans="1:12" ht="12.75" customHeight="1" x14ac:dyDescent="0.2">
      <c r="B14" s="18" t="s">
        <v>84</v>
      </c>
      <c r="C14" s="18"/>
      <c r="D14" s="18"/>
      <c r="E14" s="29"/>
      <c r="F14" s="19">
        <f>SUM(F13)</f>
        <v>1.9924812000000001</v>
      </c>
      <c r="G14" s="20">
        <f>SUM(G13)</f>
        <v>8.0000000000000002E-3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93</v>
      </c>
      <c r="C16" s="16"/>
      <c r="F16" s="13"/>
      <c r="G16" s="14"/>
      <c r="H16" s="15"/>
    </row>
    <row r="17" spans="2:12" ht="12.75" customHeight="1" x14ac:dyDescent="0.2">
      <c r="B17" s="16" t="s">
        <v>94</v>
      </c>
      <c r="C17" s="16"/>
      <c r="F17" s="43">
        <v>-6.8529200000000401E-2</v>
      </c>
      <c r="G17" s="122">
        <f>+ROUND(F17/VLOOKUP("Grand Total",$B$4:$F$294,5,0),4)+0.01%</f>
        <v>-1.9999999999999998E-4</v>
      </c>
      <c r="H17" s="15"/>
      <c r="J17" s="14"/>
      <c r="L17" s="54"/>
    </row>
    <row r="18" spans="2:12" ht="12.75" customHeight="1" x14ac:dyDescent="0.2">
      <c r="B18" s="18" t="s">
        <v>84</v>
      </c>
      <c r="C18" s="18"/>
      <c r="D18" s="18"/>
      <c r="E18" s="29"/>
      <c r="F18" s="50">
        <f>SUM(F17:F17)</f>
        <v>-6.8529200000000401E-2</v>
      </c>
      <c r="G18" s="123">
        <f>SUM(G17:G17)</f>
        <v>-1.9999999999999998E-4</v>
      </c>
      <c r="H18" s="21"/>
    </row>
    <row r="19" spans="2:12" ht="12.75" customHeight="1" x14ac:dyDescent="0.2">
      <c r="B19" s="22" t="s">
        <v>95</v>
      </c>
      <c r="C19" s="22"/>
      <c r="D19" s="22"/>
      <c r="E19" s="30"/>
      <c r="F19" s="23">
        <f>+SUMIF($B$5:B18,"Total",$F$5:F18)</f>
        <v>248.22801240000001</v>
      </c>
      <c r="G19" s="24">
        <f>+SUMIF($B$5:B18,"Total",$G$5:G18)</f>
        <v>1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377</v>
      </c>
      <c r="B1" s="126" t="s">
        <v>469</v>
      </c>
      <c r="C1" s="127"/>
      <c r="D1" s="127"/>
      <c r="E1" s="127"/>
      <c r="F1" s="127"/>
      <c r="G1" s="127"/>
      <c r="H1" s="128"/>
    </row>
    <row r="2" spans="1:12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91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438</v>
      </c>
      <c r="C8" t="s">
        <v>293</v>
      </c>
      <c r="D8" t="s">
        <v>311</v>
      </c>
      <c r="E8" s="28">
        <v>140426.65549999999</v>
      </c>
      <c r="F8" s="13">
        <v>84.803657299999998</v>
      </c>
      <c r="G8" s="14">
        <f>+ROUND(F8/VLOOKUP("Grand Total",$B$4:$F$295,5,0),4)</f>
        <v>0.54020000000000001</v>
      </c>
      <c r="H8" s="15" t="s">
        <v>357</v>
      </c>
      <c r="J8" s="17" t="s">
        <v>632</v>
      </c>
      <c r="K8" s="37" t="s">
        <v>12</v>
      </c>
    </row>
    <row r="9" spans="1:12" ht="12.75" customHeight="1" x14ac:dyDescent="0.2">
      <c r="A9">
        <f>+MAX($A$7:A8)+1</f>
        <v>2</v>
      </c>
      <c r="B9" t="s">
        <v>296</v>
      </c>
      <c r="C9" t="s">
        <v>295</v>
      </c>
      <c r="D9" t="s">
        <v>311</v>
      </c>
      <c r="E9" s="28">
        <v>31396.867999999999</v>
      </c>
      <c r="F9" s="13">
        <v>34.153512999999997</v>
      </c>
      <c r="G9" s="14">
        <f>+ROUND(F9/VLOOKUP("Grand Total",$B$4:$F$295,5,0),4)</f>
        <v>0.21759999999999999</v>
      </c>
      <c r="H9" s="15" t="s">
        <v>357</v>
      </c>
      <c r="J9" s="14" t="s">
        <v>311</v>
      </c>
      <c r="K9" s="48">
        <f>SUMIFS($G$5:$G$321,$D$5:$D$321,J9)</f>
        <v>0.99540000000000006</v>
      </c>
    </row>
    <row r="10" spans="1:12" ht="12.75" customHeight="1" x14ac:dyDescent="0.2">
      <c r="A10">
        <f>+MAX($A$7:A9)+1</f>
        <v>3</v>
      </c>
      <c r="B10" t="s">
        <v>437</v>
      </c>
      <c r="C10" t="s">
        <v>292</v>
      </c>
      <c r="D10" t="s">
        <v>311</v>
      </c>
      <c r="E10" s="28">
        <v>79897.353199999998</v>
      </c>
      <c r="F10" s="13">
        <v>25.314038199999999</v>
      </c>
      <c r="G10" s="14">
        <f>+ROUND(F10/VLOOKUP("Grand Total",$B$4:$F$295,5,0),4)</f>
        <v>0.16120000000000001</v>
      </c>
      <c r="H10" s="15" t="s">
        <v>357</v>
      </c>
      <c r="J10" s="14" t="s">
        <v>63</v>
      </c>
      <c r="K10" s="48">
        <f>+SUMIFS($G$5:$G$997,$B$5:$B$997,"CBLO / Reverse Repo Investments")+SUMIFS($G$5:$G$997,$B$5:$B$997,"Net Receivable/Payable")</f>
        <v>4.5999999999999999E-3</v>
      </c>
    </row>
    <row r="11" spans="1:12" ht="12.75" customHeight="1" x14ac:dyDescent="0.2">
      <c r="A11">
        <f>+MAX($A$7:A10)+1</f>
        <v>4</v>
      </c>
      <c r="B11" t="s">
        <v>323</v>
      </c>
      <c r="C11" t="s">
        <v>294</v>
      </c>
      <c r="D11" t="s">
        <v>311</v>
      </c>
      <c r="E11" s="28">
        <v>419.59899999999999</v>
      </c>
      <c r="F11" s="13">
        <v>11.992418500000001</v>
      </c>
      <c r="G11" s="14">
        <f>+ROUND(F11/VLOOKUP("Grand Total",$B$4:$F$295,5,0),4)</f>
        <v>7.6399999999999996E-2</v>
      </c>
      <c r="H11" s="15" t="s">
        <v>357</v>
      </c>
      <c r="J11" s="14"/>
    </row>
    <row r="12" spans="1:12" ht="12.75" customHeight="1" x14ac:dyDescent="0.2">
      <c r="B12" s="18" t="s">
        <v>84</v>
      </c>
      <c r="C12" s="18"/>
      <c r="D12" s="18"/>
      <c r="E12" s="29"/>
      <c r="F12" s="19">
        <f>SUM(F8:F11)</f>
        <v>156.26362700000001</v>
      </c>
      <c r="G12" s="20">
        <f>SUM(G8:G11)</f>
        <v>0.99540000000000006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4.5999999999999999E-3</v>
      </c>
    </row>
    <row r="14" spans="1:12" ht="12.75" customHeight="1" x14ac:dyDescent="0.2">
      <c r="A14" s="95" t="s">
        <v>356</v>
      </c>
      <c r="B14" s="16" t="s">
        <v>92</v>
      </c>
      <c r="C14" s="16"/>
      <c r="F14" s="13">
        <v>0.89661950000000001</v>
      </c>
      <c r="G14" s="14">
        <f>+ROUND(F14/VLOOKUP("Grand Total",$B$4:$F$288,5,0),4)</f>
        <v>5.7000000000000002E-3</v>
      </c>
      <c r="H14" s="15">
        <v>43193</v>
      </c>
    </row>
    <row r="15" spans="1:12" ht="12.75" customHeight="1" x14ac:dyDescent="0.2">
      <c r="B15" s="18" t="s">
        <v>84</v>
      </c>
      <c r="C15" s="18"/>
      <c r="D15" s="18"/>
      <c r="E15" s="29"/>
      <c r="F15" s="19">
        <f>SUM(F14:F14)</f>
        <v>0.89661950000000001</v>
      </c>
      <c r="G15" s="20">
        <f>SUM(G14:G14)</f>
        <v>5.7000000000000002E-3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93</v>
      </c>
      <c r="C17" s="16"/>
      <c r="F17" s="13"/>
      <c r="G17" s="14"/>
      <c r="H17" s="15"/>
    </row>
    <row r="18" spans="2:9" ht="12.75" customHeight="1" x14ac:dyDescent="0.2">
      <c r="B18" s="16" t="s">
        <v>94</v>
      </c>
      <c r="C18" s="16"/>
      <c r="F18" s="13">
        <v>-0.17038660000002892</v>
      </c>
      <c r="G18" s="122">
        <f>+ROUND(F18/VLOOKUP("Grand Total",$B$4:$F$295,5,0),4)</f>
        <v>-1.1000000000000001E-3</v>
      </c>
      <c r="H18" s="15"/>
    </row>
    <row r="19" spans="2:9" ht="12.75" customHeight="1" x14ac:dyDescent="0.2">
      <c r="B19" s="18" t="s">
        <v>84</v>
      </c>
      <c r="C19" s="18"/>
      <c r="D19" s="18"/>
      <c r="E19" s="29"/>
      <c r="F19" s="19">
        <f>SUM(F18:F18)</f>
        <v>-0.17038660000002892</v>
      </c>
      <c r="G19" s="123">
        <f>SUM(G18:G18)</f>
        <v>-1.1000000000000001E-3</v>
      </c>
      <c r="H19" s="21"/>
      <c r="I19" s="35"/>
    </row>
    <row r="20" spans="2:9" ht="12.75" customHeight="1" x14ac:dyDescent="0.2">
      <c r="B20" s="22" t="s">
        <v>95</v>
      </c>
      <c r="C20" s="22"/>
      <c r="D20" s="22"/>
      <c r="E20" s="30"/>
      <c r="F20" s="23">
        <f>+SUMIF($B$5:B19,"Total",$F$5:F19)</f>
        <v>156.9898599</v>
      </c>
      <c r="G20" s="24">
        <f>+SUMIF($B$5:B19,"Total",$G$5:G19)</f>
        <v>1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2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5703125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378</v>
      </c>
      <c r="B1" s="126" t="s">
        <v>318</v>
      </c>
      <c r="C1" s="127"/>
      <c r="D1" s="127"/>
      <c r="E1" s="127"/>
      <c r="F1" s="127"/>
      <c r="G1" s="127"/>
      <c r="H1" s="66"/>
      <c r="I1" s="66"/>
    </row>
    <row r="2" spans="1:13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125" t="s">
        <v>741</v>
      </c>
      <c r="I4" s="32" t="s">
        <v>7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9</v>
      </c>
      <c r="C7" s="16"/>
      <c r="F7" s="13"/>
      <c r="G7" s="14"/>
      <c r="H7" s="14"/>
      <c r="I7" s="15"/>
      <c r="K7" s="17" t="s">
        <v>632</v>
      </c>
      <c r="L7" s="37" t="s">
        <v>12</v>
      </c>
    </row>
    <row r="8" spans="1:13" ht="12.75" customHeight="1" x14ac:dyDescent="0.2">
      <c r="B8" s="16" t="s">
        <v>647</v>
      </c>
      <c r="C8" s="16"/>
      <c r="F8" s="13"/>
      <c r="G8" s="14"/>
      <c r="H8" s="14"/>
      <c r="I8" s="15"/>
      <c r="K8" s="106" t="s">
        <v>22</v>
      </c>
      <c r="L8" s="48">
        <f t="shared" ref="L8:L21" si="0">SUMIFS($G$5:$G$327,$D$5:$D$327,K8)</f>
        <v>0.14479999999999998</v>
      </c>
    </row>
    <row r="9" spans="1:13" s="77" customFormat="1" ht="12.75" customHeight="1" x14ac:dyDescent="0.2">
      <c r="A9" s="77">
        <f>+MAX($A$7:A8)+1</f>
        <v>1</v>
      </c>
      <c r="B9" s="77" t="s">
        <v>237</v>
      </c>
      <c r="C9" s="77" t="s">
        <v>103</v>
      </c>
      <c r="D9" s="77" t="s">
        <v>22</v>
      </c>
      <c r="E9" s="74">
        <v>10800</v>
      </c>
      <c r="F9" s="75">
        <v>79.471800000000002</v>
      </c>
      <c r="G9" s="76">
        <f>+ROUND(F9/VLOOKUP("Grand Total",$B$4:$F$227,5,0),4)</f>
        <v>9.6199999999999994E-2</v>
      </c>
      <c r="H9" s="76"/>
      <c r="I9" s="104"/>
      <c r="J9" s="105"/>
      <c r="K9" s="106" t="s">
        <v>311</v>
      </c>
      <c r="L9" s="48">
        <f t="shared" si="0"/>
        <v>0.13239999999999999</v>
      </c>
      <c r="M9" s="75"/>
    </row>
    <row r="10" spans="1:13" s="77" customFormat="1" ht="12.75" customHeight="1" x14ac:dyDescent="0.2">
      <c r="B10" s="77" t="s">
        <v>237</v>
      </c>
      <c r="C10" s="121" t="s">
        <v>616</v>
      </c>
      <c r="D10" s="77" t="s">
        <v>314</v>
      </c>
      <c r="E10" s="74">
        <v>-10800</v>
      </c>
      <c r="F10" s="75">
        <v>-79.92</v>
      </c>
      <c r="G10" s="76"/>
      <c r="H10" s="76">
        <f>+ROUND(F10/VLOOKUP("Grand Total",$B$4:$F$227,5,0),4)</f>
        <v>-9.6799999999999997E-2</v>
      </c>
      <c r="I10" s="104">
        <v>43216</v>
      </c>
      <c r="J10" s="105"/>
      <c r="K10" s="106" t="s">
        <v>23</v>
      </c>
      <c r="L10" s="48">
        <f t="shared" si="0"/>
        <v>0.1318</v>
      </c>
      <c r="M10" s="75"/>
    </row>
    <row r="11" spans="1:13" s="77" customFormat="1" ht="12.75" customHeight="1" x14ac:dyDescent="0.2">
      <c r="A11" s="77">
        <f>+MAX($A$7:A9)+1</f>
        <v>2</v>
      </c>
      <c r="B11" s="77" t="s">
        <v>209</v>
      </c>
      <c r="C11" s="77" t="s">
        <v>64</v>
      </c>
      <c r="D11" s="77" t="s">
        <v>33</v>
      </c>
      <c r="E11" s="74">
        <v>17000</v>
      </c>
      <c r="F11" s="75">
        <v>67.778999999999996</v>
      </c>
      <c r="G11" s="76">
        <f>+ROUND(F11/VLOOKUP("Grand Total",$B$4:$F$227,5,0),4)</f>
        <v>8.2100000000000006E-2</v>
      </c>
      <c r="H11" s="76"/>
      <c r="I11" s="104"/>
      <c r="J11" s="105"/>
      <c r="K11" s="106" t="s">
        <v>535</v>
      </c>
      <c r="L11" s="48">
        <f t="shared" si="0"/>
        <v>8.3400000000000002E-2</v>
      </c>
      <c r="M11" s="75"/>
    </row>
    <row r="12" spans="1:13" s="77" customFormat="1" ht="12.75" customHeight="1" x14ac:dyDescent="0.2">
      <c r="B12" s="77" t="s">
        <v>209</v>
      </c>
      <c r="C12" s="121" t="s">
        <v>616</v>
      </c>
      <c r="D12" s="77" t="s">
        <v>314</v>
      </c>
      <c r="E12" s="74">
        <v>-17000</v>
      </c>
      <c r="F12" s="75">
        <v>-68.008499999999998</v>
      </c>
      <c r="G12" s="76"/>
      <c r="H12" s="76">
        <f>+ROUND(F12/VLOOKUP("Grand Total",$B$4:$F$227,5,0),4)</f>
        <v>-8.2299999999999998E-2</v>
      </c>
      <c r="I12" s="104">
        <v>43216</v>
      </c>
      <c r="J12" s="105"/>
      <c r="K12" s="106" t="s">
        <v>33</v>
      </c>
      <c r="L12" s="48">
        <f t="shared" si="0"/>
        <v>8.2100000000000006E-2</v>
      </c>
      <c r="M12" s="75"/>
    </row>
    <row r="13" spans="1:13" s="77" customFormat="1" ht="12.75" customHeight="1" x14ac:dyDescent="0.2">
      <c r="A13" s="77">
        <f>+MAX($A$7:A11)+1</f>
        <v>3</v>
      </c>
      <c r="B13" s="77" t="s">
        <v>324</v>
      </c>
      <c r="C13" s="77" t="s">
        <v>325</v>
      </c>
      <c r="D13" s="77" t="s">
        <v>23</v>
      </c>
      <c r="E13" s="74">
        <v>118800</v>
      </c>
      <c r="F13" s="75">
        <v>57.914999999999999</v>
      </c>
      <c r="G13" s="76">
        <f>+ROUND(F13/VLOOKUP("Grand Total",$B$4:$F$227,5,0),4)</f>
        <v>7.0099999999999996E-2</v>
      </c>
      <c r="H13" s="76"/>
      <c r="I13" s="104"/>
      <c r="J13" s="105"/>
      <c r="K13" s="106" t="s">
        <v>18</v>
      </c>
      <c r="L13" s="48">
        <f t="shared" si="0"/>
        <v>6.0100000000000001E-2</v>
      </c>
      <c r="M13" s="75"/>
    </row>
    <row r="14" spans="1:13" s="77" customFormat="1" ht="12.75" customHeight="1" x14ac:dyDescent="0.2">
      <c r="B14" s="77" t="s">
        <v>324</v>
      </c>
      <c r="C14" s="121" t="s">
        <v>616</v>
      </c>
      <c r="D14" s="77" t="s">
        <v>314</v>
      </c>
      <c r="E14" s="74">
        <v>-118800</v>
      </c>
      <c r="F14" s="75">
        <v>-58.093200000000003</v>
      </c>
      <c r="G14" s="76"/>
      <c r="H14" s="76">
        <f>+ROUND(F14/VLOOKUP("Grand Total",$B$4:$F$227,5,0),4)</f>
        <v>-7.0300000000000001E-2</v>
      </c>
      <c r="I14" s="104">
        <v>43216</v>
      </c>
      <c r="J14" s="105"/>
      <c r="K14" s="106" t="s">
        <v>10</v>
      </c>
      <c r="L14" s="48">
        <f t="shared" si="0"/>
        <v>5.1700000000000003E-2</v>
      </c>
      <c r="M14" s="75"/>
    </row>
    <row r="15" spans="1:13" s="77" customFormat="1" ht="12.75" customHeight="1" x14ac:dyDescent="0.2">
      <c r="A15" s="77">
        <f>+MAX($A$7:A13)+1</f>
        <v>4</v>
      </c>
      <c r="B15" s="77" t="s">
        <v>303</v>
      </c>
      <c r="C15" s="77" t="s">
        <v>66</v>
      </c>
      <c r="D15" s="77" t="s">
        <v>18</v>
      </c>
      <c r="E15" s="74">
        <v>35000</v>
      </c>
      <c r="F15" s="75">
        <v>49.612499999999997</v>
      </c>
      <c r="G15" s="76">
        <f>+ROUND(F15/VLOOKUP("Grand Total",$B$4:$F$227,5,0),4)</f>
        <v>6.0100000000000001E-2</v>
      </c>
      <c r="H15" s="76"/>
      <c r="I15" s="104"/>
      <c r="J15" s="105"/>
      <c r="K15" s="106" t="s">
        <v>105</v>
      </c>
      <c r="L15" s="48">
        <f t="shared" si="0"/>
        <v>5.0999999999999997E-2</v>
      </c>
      <c r="M15" s="75"/>
    </row>
    <row r="16" spans="1:13" s="77" customFormat="1" ht="12.75" customHeight="1" x14ac:dyDescent="0.2">
      <c r="B16" s="77" t="s">
        <v>303</v>
      </c>
      <c r="C16" s="121" t="s">
        <v>616</v>
      </c>
      <c r="D16" s="77" t="s">
        <v>314</v>
      </c>
      <c r="E16" s="74">
        <v>-35000</v>
      </c>
      <c r="F16" s="75">
        <v>-49.857500000000002</v>
      </c>
      <c r="G16" s="76"/>
      <c r="H16" s="76">
        <f>+ROUND(F16/VLOOKUP("Grand Total",$B$4:$F$227,5,0),4)</f>
        <v>-6.0400000000000002E-2</v>
      </c>
      <c r="I16" s="104">
        <v>43216</v>
      </c>
      <c r="J16" s="105"/>
      <c r="K16" s="106" t="s">
        <v>283</v>
      </c>
      <c r="L16" s="48">
        <f t="shared" si="0"/>
        <v>4.8099999999999997E-2</v>
      </c>
      <c r="M16" s="75"/>
    </row>
    <row r="17" spans="1:13" s="77" customFormat="1" ht="12.75" customHeight="1" x14ac:dyDescent="0.2">
      <c r="A17" s="77">
        <f>+MAX($A$7:A15)+1</f>
        <v>5</v>
      </c>
      <c r="B17" s="77" t="s">
        <v>246</v>
      </c>
      <c r="C17" s="77" t="s">
        <v>517</v>
      </c>
      <c r="D17" s="77" t="s">
        <v>10</v>
      </c>
      <c r="E17" s="74">
        <v>14000</v>
      </c>
      <c r="F17" s="75">
        <v>42.679000000000002</v>
      </c>
      <c r="G17" s="76">
        <f>+ROUND(F17/VLOOKUP("Grand Total",$B$4:$F$227,5,0),4)</f>
        <v>5.1700000000000003E-2</v>
      </c>
      <c r="H17" s="76"/>
      <c r="I17" s="104"/>
      <c r="J17" s="105"/>
      <c r="K17" s="106" t="s">
        <v>31</v>
      </c>
      <c r="L17" s="48">
        <f t="shared" si="0"/>
        <v>4.7300000000000002E-2</v>
      </c>
      <c r="M17" s="75"/>
    </row>
    <row r="18" spans="1:13" s="77" customFormat="1" ht="12.75" customHeight="1" x14ac:dyDescent="0.2">
      <c r="B18" s="77" t="s">
        <v>246</v>
      </c>
      <c r="C18" s="121" t="s">
        <v>616</v>
      </c>
      <c r="D18" s="77" t="s">
        <v>314</v>
      </c>
      <c r="E18" s="74">
        <v>-14000</v>
      </c>
      <c r="F18" s="75">
        <v>-42.951999999999998</v>
      </c>
      <c r="G18" s="76"/>
      <c r="H18" s="76">
        <f>+ROUND(F18/VLOOKUP("Grand Total",$B$4:$F$227,5,0),4)</f>
        <v>-5.1999999999999998E-2</v>
      </c>
      <c r="I18" s="104">
        <v>43216</v>
      </c>
      <c r="J18" s="105"/>
      <c r="K18" s="106" t="s">
        <v>35</v>
      </c>
      <c r="L18" s="48">
        <f t="shared" si="0"/>
        <v>3.8600000000000002E-2</v>
      </c>
      <c r="M18" s="75"/>
    </row>
    <row r="19" spans="1:13" s="77" customFormat="1" ht="12.75" customHeight="1" x14ac:dyDescent="0.2">
      <c r="A19" s="77">
        <f>+MAX($A$7:A17)+1</f>
        <v>6</v>
      </c>
      <c r="B19" s="77" t="s">
        <v>552</v>
      </c>
      <c r="C19" s="77" t="s">
        <v>553</v>
      </c>
      <c r="D19" s="77" t="s">
        <v>105</v>
      </c>
      <c r="E19" s="74">
        <v>60000</v>
      </c>
      <c r="F19" s="75">
        <v>42.12</v>
      </c>
      <c r="G19" s="76">
        <f>+ROUND(F19/VLOOKUP("Grand Total",$B$4:$F$227,5,0),4)</f>
        <v>5.0999999999999997E-2</v>
      </c>
      <c r="H19" s="76"/>
      <c r="I19" s="104"/>
      <c r="J19" s="105"/>
      <c r="K19" s="106" t="s">
        <v>36</v>
      </c>
      <c r="L19" s="48">
        <f t="shared" si="0"/>
        <v>3.5400000000000001E-2</v>
      </c>
      <c r="M19" s="75"/>
    </row>
    <row r="20" spans="1:13" s="77" customFormat="1" ht="12.75" customHeight="1" x14ac:dyDescent="0.2">
      <c r="B20" s="77" t="s">
        <v>552</v>
      </c>
      <c r="C20" s="121" t="s">
        <v>616</v>
      </c>
      <c r="D20" s="77" t="s">
        <v>314</v>
      </c>
      <c r="E20" s="74">
        <v>-60000</v>
      </c>
      <c r="F20" s="75">
        <v>-42.39</v>
      </c>
      <c r="G20" s="76"/>
      <c r="H20" s="76">
        <f>+ROUND(F20/VLOOKUP("Grand Total",$B$4:$F$227,5,0),4)</f>
        <v>-5.1299999999999998E-2</v>
      </c>
      <c r="I20" s="104">
        <v>43216</v>
      </c>
      <c r="J20" s="105"/>
      <c r="K20" s="106" t="s">
        <v>542</v>
      </c>
      <c r="L20" s="48">
        <f t="shared" si="0"/>
        <v>1.17E-2</v>
      </c>
      <c r="M20" s="75"/>
    </row>
    <row r="21" spans="1:13" s="77" customFormat="1" ht="12.75" customHeight="1" x14ac:dyDescent="0.2">
      <c r="A21" s="77">
        <f>+MAX($A$7:A19)+1</f>
        <v>7</v>
      </c>
      <c r="B21" s="77" t="s">
        <v>210</v>
      </c>
      <c r="C21" s="77" t="s">
        <v>60</v>
      </c>
      <c r="D21" s="77" t="s">
        <v>22</v>
      </c>
      <c r="E21" s="74">
        <v>7200</v>
      </c>
      <c r="F21" s="75">
        <v>40.165199999999999</v>
      </c>
      <c r="G21" s="76">
        <f>+ROUND(F21/VLOOKUP("Grand Total",$B$4:$F$227,5,0),4)</f>
        <v>4.8599999999999997E-2</v>
      </c>
      <c r="H21" s="76"/>
      <c r="I21" s="104"/>
      <c r="J21" s="105"/>
      <c r="K21" s="106" t="s">
        <v>29</v>
      </c>
      <c r="L21" s="48">
        <f t="shared" si="0"/>
        <v>1.0699999999999999E-2</v>
      </c>
      <c r="M21" s="75"/>
    </row>
    <row r="22" spans="1:13" s="77" customFormat="1" ht="12.75" customHeight="1" x14ac:dyDescent="0.2">
      <c r="B22" s="77" t="s">
        <v>210</v>
      </c>
      <c r="C22" s="121" t="s">
        <v>616</v>
      </c>
      <c r="D22" s="77" t="s">
        <v>314</v>
      </c>
      <c r="E22" s="74">
        <v>-7200</v>
      </c>
      <c r="F22" s="75">
        <v>-40.3812</v>
      </c>
      <c r="G22" s="76"/>
      <c r="H22" s="76">
        <f>+ROUND(F22/VLOOKUP("Grand Total",$B$4:$F$227,5,0),4)</f>
        <v>-4.8899999999999999E-2</v>
      </c>
      <c r="I22" s="104">
        <v>43216</v>
      </c>
      <c r="J22" s="105"/>
      <c r="K22" s="14" t="s">
        <v>63</v>
      </c>
      <c r="L22" s="48">
        <f>+SUMIFS($G$5:$G$997,$B$5:$B$997,"CBLO / Reverse Repo Investments")+SUMIFS($G$5:$G$997,$B$5:$B$997,"Net Receivable/Payable")</f>
        <v>7.0899999999999991E-2</v>
      </c>
      <c r="M22" s="75"/>
    </row>
    <row r="23" spans="1:13" s="77" customFormat="1" ht="12.75" customHeight="1" x14ac:dyDescent="0.2">
      <c r="A23" s="77">
        <f>+MAX($A$7:A21)+1</f>
        <v>8</v>
      </c>
      <c r="B23" s="77" t="s">
        <v>213</v>
      </c>
      <c r="C23" s="77" t="s">
        <v>72</v>
      </c>
      <c r="D23" s="77" t="s">
        <v>31</v>
      </c>
      <c r="E23" s="74">
        <v>17500</v>
      </c>
      <c r="F23" s="75">
        <v>39.024999999999999</v>
      </c>
      <c r="G23" s="76">
        <f>+ROUND(F23/VLOOKUP("Grand Total",$B$4:$F$227,5,0),4)</f>
        <v>4.7300000000000002E-2</v>
      </c>
      <c r="H23" s="76"/>
      <c r="I23" s="104"/>
      <c r="J23" s="105"/>
      <c r="K23" s="106"/>
      <c r="L23" s="103"/>
      <c r="M23" s="75"/>
    </row>
    <row r="24" spans="1:13" s="77" customFormat="1" ht="12.75" customHeight="1" x14ac:dyDescent="0.2">
      <c r="B24" s="77" t="s">
        <v>213</v>
      </c>
      <c r="C24" s="121" t="s">
        <v>616</v>
      </c>
      <c r="D24" s="77" t="s">
        <v>314</v>
      </c>
      <c r="E24" s="74">
        <v>-17500</v>
      </c>
      <c r="F24" s="75">
        <v>-39.22625</v>
      </c>
      <c r="G24" s="76"/>
      <c r="H24" s="76">
        <f>+ROUND(F24/VLOOKUP("Grand Total",$B$4:$F$227,5,0),4)</f>
        <v>-4.7500000000000001E-2</v>
      </c>
      <c r="I24" s="104">
        <v>43216</v>
      </c>
      <c r="J24" s="105"/>
      <c r="K24" s="106"/>
      <c r="L24" s="103"/>
      <c r="M24" s="75"/>
    </row>
    <row r="25" spans="1:13" s="77" customFormat="1" ht="12.75" customHeight="1" x14ac:dyDescent="0.2">
      <c r="A25" s="77">
        <f>+MAX($A$7:A23)+1</f>
        <v>9</v>
      </c>
      <c r="B25" s="77" t="s">
        <v>197</v>
      </c>
      <c r="C25" s="77" t="s">
        <v>43</v>
      </c>
      <c r="D25" s="77" t="s">
        <v>23</v>
      </c>
      <c r="E25" s="74">
        <v>7500</v>
      </c>
      <c r="F25" s="75">
        <v>38.261249999999997</v>
      </c>
      <c r="G25" s="76">
        <f>+ROUND(F25/VLOOKUP("Grand Total",$B$4:$F$227,5,0),4)</f>
        <v>4.6300000000000001E-2</v>
      </c>
      <c r="H25" s="76"/>
      <c r="I25" s="104"/>
      <c r="J25" s="105"/>
      <c r="K25" s="106"/>
      <c r="L25" s="103"/>
      <c r="M25" s="75"/>
    </row>
    <row r="26" spans="1:13" s="77" customFormat="1" ht="12.75" customHeight="1" x14ac:dyDescent="0.2">
      <c r="B26" s="77" t="s">
        <v>197</v>
      </c>
      <c r="C26" s="121" t="s">
        <v>616</v>
      </c>
      <c r="D26" s="77" t="s">
        <v>314</v>
      </c>
      <c r="E26" s="74">
        <v>-7500</v>
      </c>
      <c r="F26" s="75">
        <v>-38.493749999999999</v>
      </c>
      <c r="G26" s="76"/>
      <c r="H26" s="76">
        <f>+ROUND(F26/VLOOKUP("Grand Total",$B$4:$F$227,5,0),4)</f>
        <v>-4.6600000000000003E-2</v>
      </c>
      <c r="I26" s="104">
        <v>43216</v>
      </c>
      <c r="J26" s="105"/>
      <c r="K26" s="106"/>
      <c r="L26" s="103"/>
      <c r="M26" s="75"/>
    </row>
    <row r="27" spans="1:13" s="77" customFormat="1" ht="12.75" customHeight="1" x14ac:dyDescent="0.2">
      <c r="A27" s="77">
        <f>+MAX($A$7:A25)+1</f>
        <v>10</v>
      </c>
      <c r="B27" s="77" t="s">
        <v>606</v>
      </c>
      <c r="C27" s="77" t="s">
        <v>607</v>
      </c>
      <c r="D27" s="77" t="s">
        <v>35</v>
      </c>
      <c r="E27" s="74">
        <v>3300</v>
      </c>
      <c r="F27" s="75">
        <v>31.884599999999999</v>
      </c>
      <c r="G27" s="76">
        <f>+ROUND(F27/VLOOKUP("Grand Total",$B$4:$F$227,5,0),4)</f>
        <v>3.8600000000000002E-2</v>
      </c>
      <c r="H27" s="76"/>
      <c r="I27" s="104"/>
      <c r="J27" s="105"/>
      <c r="K27" s="106"/>
      <c r="L27" s="103"/>
      <c r="M27" s="75"/>
    </row>
    <row r="28" spans="1:13" s="77" customFormat="1" ht="12.75" customHeight="1" x14ac:dyDescent="0.2">
      <c r="B28" s="77" t="s">
        <v>606</v>
      </c>
      <c r="C28" s="121" t="s">
        <v>616</v>
      </c>
      <c r="D28" s="77" t="s">
        <v>314</v>
      </c>
      <c r="E28" s="74">
        <v>-3300</v>
      </c>
      <c r="F28" s="75">
        <v>-31.998449999999998</v>
      </c>
      <c r="G28" s="76"/>
      <c r="H28" s="76">
        <f>+ROUND(F28/VLOOKUP("Grand Total",$B$4:$F$227,5,0),4)</f>
        <v>-3.8699999999999998E-2</v>
      </c>
      <c r="I28" s="104">
        <v>43216</v>
      </c>
      <c r="J28" s="105"/>
      <c r="K28" s="106"/>
      <c r="L28" s="103"/>
      <c r="M28" s="75"/>
    </row>
    <row r="29" spans="1:13" s="77" customFormat="1" ht="12.75" customHeight="1" x14ac:dyDescent="0.2">
      <c r="A29" s="77">
        <f>+MAX($A$7:A27)+1</f>
        <v>11</v>
      </c>
      <c r="B29" s="77" t="s">
        <v>216</v>
      </c>
      <c r="C29" s="77" t="s">
        <v>217</v>
      </c>
      <c r="D29" s="77" t="s">
        <v>36</v>
      </c>
      <c r="E29" s="74">
        <v>4800</v>
      </c>
      <c r="F29" s="75">
        <v>29.22</v>
      </c>
      <c r="G29" s="76">
        <f>+ROUND(F29/VLOOKUP("Grand Total",$B$4:$F$227,5,0),4)</f>
        <v>3.5400000000000001E-2</v>
      </c>
      <c r="H29" s="76"/>
      <c r="I29" s="104"/>
      <c r="J29" s="105"/>
      <c r="K29" s="106"/>
      <c r="L29" s="103"/>
      <c r="M29" s="75"/>
    </row>
    <row r="30" spans="1:13" s="77" customFormat="1" ht="12.75" customHeight="1" x14ac:dyDescent="0.2">
      <c r="B30" s="77" t="s">
        <v>216</v>
      </c>
      <c r="C30" s="121" t="s">
        <v>616</v>
      </c>
      <c r="D30" s="77" t="s">
        <v>314</v>
      </c>
      <c r="E30" s="74">
        <v>-4800</v>
      </c>
      <c r="F30" s="75">
        <v>-29.397600000000001</v>
      </c>
      <c r="G30" s="76"/>
      <c r="H30" s="76">
        <f>+ROUND(F30/VLOOKUP("Grand Total",$B$4:$F$227,5,0),4)</f>
        <v>-3.56E-2</v>
      </c>
      <c r="I30" s="104">
        <v>43216</v>
      </c>
      <c r="J30" s="105"/>
      <c r="K30" s="106"/>
      <c r="L30" s="103"/>
      <c r="M30" s="75"/>
    </row>
    <row r="31" spans="1:13" s="77" customFormat="1" ht="12.75" customHeight="1" x14ac:dyDescent="0.2">
      <c r="A31" s="77">
        <f>+MAX($A$7:A29)+1</f>
        <v>12</v>
      </c>
      <c r="B31" s="77" t="s">
        <v>585</v>
      </c>
      <c r="C31" s="77" t="s">
        <v>586</v>
      </c>
      <c r="D31" s="77" t="s">
        <v>23</v>
      </c>
      <c r="E31" s="74">
        <v>3000</v>
      </c>
      <c r="F31" s="75">
        <v>12.699</v>
      </c>
      <c r="G31" s="76">
        <f>+ROUND(F31/VLOOKUP("Grand Total",$B$4:$F$227,5,0),4)</f>
        <v>1.54E-2</v>
      </c>
      <c r="H31" s="76"/>
      <c r="I31" s="104"/>
      <c r="J31" s="105"/>
      <c r="K31" s="106"/>
      <c r="L31" s="103"/>
      <c r="M31" s="75"/>
    </row>
    <row r="32" spans="1:13" s="77" customFormat="1" ht="12.75" customHeight="1" x14ac:dyDescent="0.2">
      <c r="B32" s="77" t="s">
        <v>585</v>
      </c>
      <c r="C32" s="121" t="s">
        <v>616</v>
      </c>
      <c r="D32" s="77" t="s">
        <v>314</v>
      </c>
      <c r="E32" s="74">
        <v>-3000</v>
      </c>
      <c r="F32" s="75">
        <v>-12.775499999999999</v>
      </c>
      <c r="G32" s="76"/>
      <c r="H32" s="76">
        <f>+ROUND(F32/VLOOKUP("Grand Total",$B$4:$F$227,5,0),4)</f>
        <v>-1.55E-2</v>
      </c>
      <c r="I32" s="104">
        <v>43216</v>
      </c>
      <c r="J32" s="105"/>
      <c r="K32" s="106"/>
      <c r="L32" s="103"/>
      <c r="M32" s="75"/>
    </row>
    <row r="33" spans="1:13" s="77" customFormat="1" ht="12.75" customHeight="1" x14ac:dyDescent="0.2">
      <c r="A33" s="77">
        <f>+MAX($A$7:A31)+1</f>
        <v>13</v>
      </c>
      <c r="B33" s="77" t="s">
        <v>189</v>
      </c>
      <c r="C33" s="77" t="s">
        <v>30</v>
      </c>
      <c r="D33" s="77" t="s">
        <v>29</v>
      </c>
      <c r="E33" s="74">
        <v>1000</v>
      </c>
      <c r="F33" s="75">
        <v>8.827</v>
      </c>
      <c r="G33" s="76">
        <f>+ROUND(F33/VLOOKUP("Grand Total",$B$4:$F$227,5,0),4)</f>
        <v>1.0699999999999999E-2</v>
      </c>
      <c r="H33" s="76"/>
      <c r="I33" s="104"/>
      <c r="J33" s="105"/>
      <c r="K33" s="106"/>
      <c r="L33" s="103"/>
      <c r="M33" s="75"/>
    </row>
    <row r="34" spans="1:13" s="77" customFormat="1" ht="12.75" customHeight="1" x14ac:dyDescent="0.2">
      <c r="B34" s="77" t="s">
        <v>189</v>
      </c>
      <c r="C34" s="121" t="s">
        <v>616</v>
      </c>
      <c r="D34" s="77" t="s">
        <v>314</v>
      </c>
      <c r="E34" s="74">
        <v>-1000</v>
      </c>
      <c r="F34" s="75">
        <v>-8.8714999999999993</v>
      </c>
      <c r="G34" s="76"/>
      <c r="H34" s="76">
        <f>+ROUND(F34/VLOOKUP("Grand Total",$B$4:$F$227,5,0),4)</f>
        <v>-1.0699999999999999E-2</v>
      </c>
      <c r="I34" s="104">
        <v>43216</v>
      </c>
      <c r="J34" s="105"/>
      <c r="K34" s="106"/>
      <c r="L34" s="103"/>
      <c r="M34" s="75"/>
    </row>
    <row r="35" spans="1:13" ht="12.75" customHeight="1" x14ac:dyDescent="0.2">
      <c r="B35" s="18" t="s">
        <v>84</v>
      </c>
      <c r="C35" s="18"/>
      <c r="D35" s="18"/>
      <c r="E35" s="19"/>
      <c r="F35" s="19">
        <f>+F9+F11+F13+F15+F17+F19+F21+F23+F25+F27+F29+F31+F33</f>
        <v>539.65935000000002</v>
      </c>
      <c r="G35" s="20">
        <f>+G9+G11+G13+G15+G17+G19+G21+G23+G25+G27+G29+G31+G33</f>
        <v>0.65349999999999997</v>
      </c>
      <c r="H35" s="20">
        <f>SUM(H9:H34)</f>
        <v>-0.65659999999999985</v>
      </c>
      <c r="I35" s="21"/>
      <c r="J35" s="55"/>
      <c r="K35" s="46"/>
      <c r="L35" s="48"/>
    </row>
    <row r="36" spans="1:13" s="46" customFormat="1" ht="12.75" customHeight="1" x14ac:dyDescent="0.2">
      <c r="B36" s="67"/>
      <c r="C36" s="67"/>
      <c r="D36" s="67"/>
      <c r="E36" s="68"/>
      <c r="F36" s="69"/>
      <c r="G36" s="70"/>
      <c r="H36" s="70"/>
      <c r="I36" s="33"/>
      <c r="K36" s="14"/>
      <c r="L36" s="48"/>
    </row>
    <row r="37" spans="1:13" ht="12.75" customHeight="1" x14ac:dyDescent="0.2">
      <c r="B37" s="16" t="s">
        <v>90</v>
      </c>
      <c r="C37" s="16"/>
      <c r="F37" s="13"/>
      <c r="G37" s="14"/>
      <c r="H37" s="14"/>
      <c r="I37" s="33"/>
      <c r="J37"/>
      <c r="K37" s="36"/>
      <c r="L37"/>
    </row>
    <row r="38" spans="1:13" ht="12.75" customHeight="1" x14ac:dyDescent="0.2">
      <c r="B38" s="16" t="s">
        <v>299</v>
      </c>
      <c r="C38" s="16"/>
      <c r="F38" s="13"/>
      <c r="G38" s="14"/>
      <c r="H38" s="14"/>
      <c r="I38" s="33"/>
      <c r="J38"/>
      <c r="K38" s="36"/>
      <c r="L38"/>
    </row>
    <row r="39" spans="1:13" ht="12.75" customHeight="1" x14ac:dyDescent="0.2">
      <c r="A39">
        <f>+MAX($A$7:A38)+1</f>
        <v>14</v>
      </c>
      <c r="B39" s="65" t="s">
        <v>534</v>
      </c>
      <c r="C39" t="s">
        <v>641</v>
      </c>
      <c r="D39" t="s">
        <v>535</v>
      </c>
      <c r="E39" s="28">
        <v>14</v>
      </c>
      <c r="F39" s="13">
        <v>68.91892</v>
      </c>
      <c r="G39" s="14">
        <f>+ROUND(F39/VLOOKUP("Grand Total",$B$4:$F$253,5,0),4)</f>
        <v>8.3400000000000002E-2</v>
      </c>
      <c r="H39" s="14"/>
      <c r="I39" s="15">
        <v>43245</v>
      </c>
      <c r="J39"/>
      <c r="K39" s="36"/>
      <c r="L39"/>
    </row>
    <row r="40" spans="1:13" ht="12.75" customHeight="1" x14ac:dyDescent="0.2">
      <c r="A40">
        <f>+MAX($A$7:A39)+1</f>
        <v>15</v>
      </c>
      <c r="B40" s="65" t="s">
        <v>638</v>
      </c>
      <c r="C40" t="s">
        <v>639</v>
      </c>
      <c r="D40" t="s">
        <v>283</v>
      </c>
      <c r="E40" s="28">
        <v>8</v>
      </c>
      <c r="F40" s="13">
        <v>39.696640000000002</v>
      </c>
      <c r="G40" s="14">
        <f>+ROUND(F40/VLOOKUP("Grand Total",$B$4:$F$253,5,0),4)</f>
        <v>4.8099999999999997E-2</v>
      </c>
      <c r="H40" s="14"/>
      <c r="I40" s="15">
        <v>43228</v>
      </c>
      <c r="J40"/>
      <c r="K40" s="36"/>
      <c r="L40"/>
    </row>
    <row r="41" spans="1:13" ht="12.75" customHeight="1" x14ac:dyDescent="0.2">
      <c r="A41">
        <f>+MAX($A$7:A40)+1</f>
        <v>16</v>
      </c>
      <c r="B41" s="65" t="s">
        <v>284</v>
      </c>
      <c r="C41" t="s">
        <v>532</v>
      </c>
      <c r="D41" t="s">
        <v>542</v>
      </c>
      <c r="E41" s="28">
        <v>2</v>
      </c>
      <c r="F41" s="13">
        <v>9.6510599999999993</v>
      </c>
      <c r="G41" s="14">
        <f>+ROUND(F41/VLOOKUP("Grand Total",$B$4:$F$253,5,0),4)</f>
        <v>1.17E-2</v>
      </c>
      <c r="H41" s="14"/>
      <c r="I41" s="15">
        <v>43350</v>
      </c>
      <c r="J41"/>
      <c r="K41" s="36"/>
      <c r="L41"/>
    </row>
    <row r="42" spans="1:13" ht="12.75" customHeight="1" x14ac:dyDescent="0.2">
      <c r="B42" s="18" t="s">
        <v>84</v>
      </c>
      <c r="C42" s="18"/>
      <c r="D42" s="18"/>
      <c r="E42" s="29"/>
      <c r="F42" s="19">
        <f>SUM(F39:F41)</f>
        <v>118.26662</v>
      </c>
      <c r="G42" s="20">
        <f>SUM(G39:G41)</f>
        <v>0.14319999999999999</v>
      </c>
      <c r="H42" s="20"/>
      <c r="I42" s="21"/>
      <c r="J42"/>
      <c r="K42" s="36"/>
      <c r="L42"/>
    </row>
    <row r="43" spans="1:13" s="46" customFormat="1" ht="12.75" customHeight="1" x14ac:dyDescent="0.2">
      <c r="B43" s="67"/>
      <c r="C43" s="67"/>
      <c r="D43" s="67"/>
      <c r="E43" s="68"/>
      <c r="F43" s="69"/>
      <c r="G43" s="70"/>
      <c r="H43" s="70"/>
      <c r="I43" s="33"/>
      <c r="K43" s="48"/>
    </row>
    <row r="44" spans="1:13" ht="12.75" customHeight="1" x14ac:dyDescent="0.2">
      <c r="B44" s="16" t="s">
        <v>91</v>
      </c>
      <c r="C44" s="16"/>
      <c r="F44" s="13"/>
      <c r="G44" s="14"/>
      <c r="H44" s="14"/>
      <c r="I44" s="33"/>
      <c r="J44"/>
      <c r="K44" s="36"/>
      <c r="L44"/>
    </row>
    <row r="45" spans="1:13" ht="12.75" customHeight="1" x14ac:dyDescent="0.2">
      <c r="A45">
        <f>+MAX($A$7:A44)+1</f>
        <v>17</v>
      </c>
      <c r="B45" t="s">
        <v>430</v>
      </c>
      <c r="C45" t="s">
        <v>341</v>
      </c>
      <c r="D45" t="s">
        <v>311</v>
      </c>
      <c r="E45" s="28">
        <v>6489.9966000000004</v>
      </c>
      <c r="F45" s="13">
        <v>109.38185109999999</v>
      </c>
      <c r="G45" s="14">
        <f>+ROUND(F45/VLOOKUP("Grand Total",$B$4:$F$262,5,0),4)</f>
        <v>0.13239999999999999</v>
      </c>
      <c r="H45" s="14"/>
      <c r="I45" s="33" t="s">
        <v>357</v>
      </c>
      <c r="J45"/>
      <c r="K45" s="36"/>
      <c r="L45"/>
    </row>
    <row r="46" spans="1:13" ht="12.75" customHeight="1" x14ac:dyDescent="0.2">
      <c r="B46" s="18" t="s">
        <v>84</v>
      </c>
      <c r="C46" s="18"/>
      <c r="D46" s="18"/>
      <c r="E46" s="29"/>
      <c r="F46" s="19">
        <f>SUM(F45)</f>
        <v>109.38185109999999</v>
      </c>
      <c r="G46" s="20">
        <f>SUM(G45)</f>
        <v>0.13239999999999999</v>
      </c>
      <c r="H46" s="20"/>
      <c r="I46" s="21"/>
      <c r="J46"/>
      <c r="K46" s="36"/>
      <c r="L46"/>
    </row>
    <row r="47" spans="1:13" s="46" customFormat="1" ht="12.75" customHeight="1" x14ac:dyDescent="0.2">
      <c r="B47" s="67"/>
      <c r="C47" s="67"/>
      <c r="D47" s="67"/>
      <c r="E47" s="68"/>
      <c r="F47" s="69"/>
      <c r="G47" s="70"/>
      <c r="H47" s="70"/>
      <c r="I47" s="33"/>
      <c r="K47" s="48"/>
    </row>
    <row r="48" spans="1:13" ht="12.75" customHeight="1" x14ac:dyDescent="0.2">
      <c r="A48" s="95" t="s">
        <v>356</v>
      </c>
      <c r="B48" s="16" t="s">
        <v>92</v>
      </c>
      <c r="C48" s="16"/>
      <c r="F48" s="13">
        <v>29.189890200000001</v>
      </c>
      <c r="G48" s="14">
        <f>+ROUND(F48/VLOOKUP("Grand Total",$B$4:$F$227,5,0),4)</f>
        <v>3.5299999999999998E-2</v>
      </c>
      <c r="H48" s="14"/>
      <c r="I48" s="15">
        <v>43193</v>
      </c>
      <c r="J48" s="56"/>
      <c r="K48" s="46"/>
      <c r="L48" s="74"/>
    </row>
    <row r="49" spans="2:12" ht="12.75" customHeight="1" x14ac:dyDescent="0.2">
      <c r="B49" s="18" t="s">
        <v>84</v>
      </c>
      <c r="C49" s="18"/>
      <c r="D49" s="18"/>
      <c r="E49" s="29"/>
      <c r="F49" s="19">
        <f>SUM(F48)</f>
        <v>29.189890200000001</v>
      </c>
      <c r="G49" s="20">
        <f>SUM(G48)</f>
        <v>3.5299999999999998E-2</v>
      </c>
      <c r="H49" s="20"/>
      <c r="I49" s="21"/>
      <c r="J49" s="55"/>
      <c r="K49" s="46"/>
      <c r="L49" s="74"/>
    </row>
    <row r="50" spans="2:12" ht="12.75" customHeight="1" x14ac:dyDescent="0.2">
      <c r="F50" s="13"/>
      <c r="G50" s="14"/>
      <c r="H50" s="14"/>
      <c r="I50" s="15"/>
      <c r="J50" s="56"/>
      <c r="K50" s="46"/>
      <c r="L50" s="74"/>
    </row>
    <row r="51" spans="2:12" ht="12.75" customHeight="1" x14ac:dyDescent="0.2">
      <c r="B51" s="16" t="s">
        <v>93</v>
      </c>
      <c r="C51" s="16"/>
      <c r="F51" s="13"/>
      <c r="G51" s="14"/>
      <c r="H51" s="14"/>
      <c r="I51" s="15"/>
      <c r="J51" s="56"/>
      <c r="K51" s="46"/>
      <c r="L51" s="74"/>
    </row>
    <row r="52" spans="2:12" ht="12.75" customHeight="1" x14ac:dyDescent="0.2">
      <c r="B52" s="16" t="s">
        <v>94</v>
      </c>
      <c r="C52" s="16"/>
      <c r="F52" s="44">
        <f>+F54-SUMIF($B$5:B51,"Total",$F$5:F51)</f>
        <v>29.422669900000528</v>
      </c>
      <c r="G52" s="45">
        <f>+ROUND(F52/VLOOKUP("Grand Total",$B$4:$F$227,5,0),4)</f>
        <v>3.56E-2</v>
      </c>
      <c r="H52" s="45"/>
      <c r="I52" s="15"/>
      <c r="J52" s="56"/>
      <c r="K52" s="46"/>
      <c r="L52" s="74"/>
    </row>
    <row r="53" spans="2:12" ht="12.75" customHeight="1" x14ac:dyDescent="0.2">
      <c r="B53" s="18" t="s">
        <v>84</v>
      </c>
      <c r="C53" s="18"/>
      <c r="D53" s="18"/>
      <c r="E53" s="29"/>
      <c r="F53" s="19">
        <f>SUM(F52:F52)</f>
        <v>29.422669900000528</v>
      </c>
      <c r="G53" s="20">
        <f>SUM(G52:G52)</f>
        <v>3.56E-2</v>
      </c>
      <c r="H53" s="20"/>
      <c r="I53" s="21"/>
      <c r="J53" s="55"/>
      <c r="K53" s="46"/>
      <c r="L53" s="74"/>
    </row>
    <row r="54" spans="2:12" ht="12.75" customHeight="1" x14ac:dyDescent="0.2">
      <c r="B54" s="22" t="s">
        <v>95</v>
      </c>
      <c r="C54" s="22"/>
      <c r="D54" s="22"/>
      <c r="E54" s="30"/>
      <c r="F54" s="23">
        <v>825.92038120000052</v>
      </c>
      <c r="G54" s="24">
        <f>+SUMIF($B$5:B53,"Total",$G$5:G53)</f>
        <v>0.99999999999999989</v>
      </c>
      <c r="H54" s="24"/>
      <c r="I54" s="25"/>
      <c r="J54" s="39"/>
      <c r="K54" s="46"/>
      <c r="L54" s="74"/>
    </row>
    <row r="55" spans="2:12" ht="12.75" customHeight="1" x14ac:dyDescent="0.2">
      <c r="F55" s="40"/>
      <c r="K55" s="46"/>
      <c r="L55" s="74"/>
    </row>
    <row r="56" spans="2:12" ht="12.75" customHeight="1" x14ac:dyDescent="0.2">
      <c r="B56" s="16" t="s">
        <v>592</v>
      </c>
      <c r="C56" s="16"/>
      <c r="K56" s="46"/>
      <c r="L56" s="74"/>
    </row>
    <row r="57" spans="2:12" ht="12.75" customHeight="1" x14ac:dyDescent="0.2">
      <c r="B57" s="16" t="s">
        <v>182</v>
      </c>
      <c r="C57" s="16"/>
      <c r="G57" s="14"/>
      <c r="H57" s="14"/>
    </row>
    <row r="58" spans="2:12" ht="12.75" customHeight="1" x14ac:dyDescent="0.2">
      <c r="B58" s="16"/>
      <c r="C58" s="16"/>
    </row>
    <row r="59" spans="2:12" ht="12.75" customHeight="1" x14ac:dyDescent="0.2">
      <c r="B59" s="16"/>
      <c r="C59" s="16"/>
      <c r="K59" s="46"/>
      <c r="L59" s="48"/>
    </row>
    <row r="60" spans="2:12" x14ac:dyDescent="0.2">
      <c r="E60"/>
      <c r="F60" s="100"/>
      <c r="J60"/>
      <c r="K60" s="46"/>
      <c r="L60" s="48"/>
    </row>
    <row r="61" spans="2:12" x14ac:dyDescent="0.2">
      <c r="E61"/>
      <c r="J61"/>
    </row>
    <row r="62" spans="2:12" x14ac:dyDescent="0.2">
      <c r="E62"/>
      <c r="J62"/>
    </row>
    <row r="63" spans="2:12" x14ac:dyDescent="0.2">
      <c r="E63"/>
      <c r="J63"/>
    </row>
    <row r="64" spans="2:12" x14ac:dyDescent="0.2">
      <c r="E64"/>
      <c r="J64"/>
      <c r="K64" s="36"/>
      <c r="L64"/>
    </row>
    <row r="65" spans="5:12" x14ac:dyDescent="0.2">
      <c r="E65"/>
      <c r="J65"/>
      <c r="K65" s="36"/>
      <c r="L65"/>
    </row>
    <row r="66" spans="5:12" x14ac:dyDescent="0.2">
      <c r="E66"/>
      <c r="J66"/>
      <c r="K66" s="36"/>
      <c r="L66"/>
    </row>
    <row r="67" spans="5:12" x14ac:dyDescent="0.2">
      <c r="E67"/>
      <c r="J67"/>
      <c r="K67" s="36"/>
      <c r="L67"/>
    </row>
    <row r="68" spans="5:12" x14ac:dyDescent="0.2">
      <c r="E68"/>
      <c r="J68"/>
      <c r="K68" s="36"/>
      <c r="L68"/>
    </row>
    <row r="69" spans="5:12" x14ac:dyDescent="0.2">
      <c r="E69"/>
      <c r="J69"/>
      <c r="K69" s="36"/>
      <c r="L69"/>
    </row>
    <row r="70" spans="5:12" x14ac:dyDescent="0.2">
      <c r="E70"/>
      <c r="J70"/>
      <c r="K70" s="36"/>
      <c r="L70"/>
    </row>
    <row r="71" spans="5:12" x14ac:dyDescent="0.2">
      <c r="E71"/>
      <c r="J71"/>
      <c r="K71" s="36"/>
      <c r="L71"/>
    </row>
    <row r="72" spans="5:12" x14ac:dyDescent="0.2">
      <c r="E72"/>
      <c r="J72"/>
      <c r="K72" s="36"/>
      <c r="L72"/>
    </row>
    <row r="73" spans="5:12" x14ac:dyDescent="0.2">
      <c r="E73"/>
      <c r="J73"/>
      <c r="K73" s="36"/>
      <c r="L73"/>
    </row>
    <row r="74" spans="5:12" x14ac:dyDescent="0.2">
      <c r="E74"/>
      <c r="J74"/>
      <c r="K74" s="36"/>
      <c r="L74"/>
    </row>
    <row r="75" spans="5:12" x14ac:dyDescent="0.2">
      <c r="E75"/>
      <c r="J75"/>
      <c r="K75" s="36"/>
      <c r="L75"/>
    </row>
    <row r="76" spans="5:12" x14ac:dyDescent="0.2">
      <c r="E76"/>
      <c r="J76"/>
      <c r="K76" s="36"/>
      <c r="L76"/>
    </row>
    <row r="77" spans="5:12" x14ac:dyDescent="0.2">
      <c r="E77"/>
      <c r="J77"/>
    </row>
    <row r="78" spans="5:12" x14ac:dyDescent="0.2">
      <c r="E78"/>
      <c r="J78"/>
    </row>
    <row r="79" spans="5:12" x14ac:dyDescent="0.2">
      <c r="E79"/>
      <c r="J79"/>
    </row>
    <row r="80" spans="5:12" x14ac:dyDescent="0.2">
      <c r="E80"/>
      <c r="J80"/>
    </row>
    <row r="81" spans="5:12" x14ac:dyDescent="0.2">
      <c r="E81"/>
      <c r="J81"/>
    </row>
    <row r="82" spans="5:12" x14ac:dyDescent="0.2">
      <c r="E82"/>
      <c r="J82"/>
    </row>
    <row r="83" spans="5:12" x14ac:dyDescent="0.2">
      <c r="E83"/>
      <c r="J83"/>
    </row>
    <row r="84" spans="5:12" x14ac:dyDescent="0.2">
      <c r="E84"/>
      <c r="J84"/>
    </row>
    <row r="85" spans="5:12" x14ac:dyDescent="0.2">
      <c r="E85"/>
      <c r="J85"/>
    </row>
    <row r="86" spans="5:12" x14ac:dyDescent="0.2">
      <c r="E86"/>
      <c r="J86"/>
    </row>
    <row r="87" spans="5:12" x14ac:dyDescent="0.2">
      <c r="E87"/>
      <c r="J87"/>
    </row>
    <row r="88" spans="5:12" x14ac:dyDescent="0.2">
      <c r="E88"/>
      <c r="J88"/>
      <c r="L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E93"/>
      <c r="J93"/>
      <c r="L93"/>
    </row>
    <row r="94" spans="5:12" x14ac:dyDescent="0.2">
      <c r="E94"/>
      <c r="J94"/>
      <c r="L94"/>
    </row>
    <row r="95" spans="5:12" x14ac:dyDescent="0.2">
      <c r="E95"/>
      <c r="J95"/>
      <c r="L95"/>
    </row>
    <row r="96" spans="5:12" x14ac:dyDescent="0.2">
      <c r="E96"/>
      <c r="J96"/>
      <c r="L96"/>
    </row>
    <row r="97" spans="5:12" x14ac:dyDescent="0.2">
      <c r="E97"/>
      <c r="J97"/>
      <c r="L97"/>
    </row>
    <row r="98" spans="5:12" x14ac:dyDescent="0.2">
      <c r="L98"/>
    </row>
    <row r="99" spans="5:12" x14ac:dyDescent="0.2">
      <c r="L99"/>
    </row>
    <row r="100" spans="5:12" x14ac:dyDescent="0.2">
      <c r="L100"/>
    </row>
    <row r="101" spans="5:12" x14ac:dyDescent="0.2">
      <c r="L101"/>
    </row>
    <row r="102" spans="5:12" x14ac:dyDescent="0.2">
      <c r="L102"/>
    </row>
    <row r="103" spans="5:12" x14ac:dyDescent="0.2">
      <c r="L103"/>
    </row>
    <row r="104" spans="5:12" x14ac:dyDescent="0.2"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</sheetData>
  <sheetProtection password="EDB3" sheet="1" objects="1" scenarios="1"/>
  <sortState ref="K8:L22">
    <sortCondition descending="1" ref="L8:L22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6.85546875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359</v>
      </c>
      <c r="B1" s="126" t="s">
        <v>124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t="s">
        <v>187</v>
      </c>
      <c r="C9" t="s">
        <v>13</v>
      </c>
      <c r="D9" t="s">
        <v>10</v>
      </c>
      <c r="E9" s="28">
        <v>97268</v>
      </c>
      <c r="F9" s="13">
        <v>1834.5717480000001</v>
      </c>
      <c r="G9" s="14">
        <f t="shared" ref="G9:G40" si="0">+ROUND(F9/VLOOKUP("Grand Total",$B$4:$F$285,5,0),4)</f>
        <v>6.2300000000000001E-2</v>
      </c>
      <c r="H9" s="15"/>
      <c r="J9" s="14" t="s">
        <v>10</v>
      </c>
      <c r="K9" s="48">
        <f t="shared" ref="K9:K29" si="1">SUMIFS($G$5:$G$318,$D$5:$D$318,J9)</f>
        <v>0.23130000000000001</v>
      </c>
    </row>
    <row r="10" spans="1:16" ht="12.75" customHeight="1" x14ac:dyDescent="0.2">
      <c r="A10">
        <f>+MAX($A$8:A9)+1</f>
        <v>2</v>
      </c>
      <c r="B10" t="s">
        <v>204</v>
      </c>
      <c r="C10" t="s">
        <v>48</v>
      </c>
      <c r="D10" t="s">
        <v>20</v>
      </c>
      <c r="E10" s="28">
        <v>15964</v>
      </c>
      <c r="F10" s="13">
        <v>1414.586004</v>
      </c>
      <c r="G10" s="14">
        <f t="shared" si="0"/>
        <v>4.8000000000000001E-2</v>
      </c>
      <c r="H10" s="15"/>
      <c r="J10" s="14" t="s">
        <v>25</v>
      </c>
      <c r="K10" s="48">
        <f t="shared" si="1"/>
        <v>0.12279999999999999</v>
      </c>
    </row>
    <row r="11" spans="1:16" ht="12.75" customHeight="1" x14ac:dyDescent="0.2">
      <c r="A11">
        <f>+MAX($A$8:A10)+1</f>
        <v>3</v>
      </c>
      <c r="B11" t="s">
        <v>193</v>
      </c>
      <c r="C11" t="s">
        <v>26</v>
      </c>
      <c r="D11" t="s">
        <v>23</v>
      </c>
      <c r="E11" s="28">
        <v>74227</v>
      </c>
      <c r="F11" s="13">
        <v>1355.0881119999999</v>
      </c>
      <c r="G11" s="14">
        <f t="shared" si="0"/>
        <v>4.5999999999999999E-2</v>
      </c>
      <c r="H11" s="15"/>
      <c r="J11" s="14" t="s">
        <v>14</v>
      </c>
      <c r="K11" s="48">
        <f t="shared" si="1"/>
        <v>0.10729999999999999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189</v>
      </c>
      <c r="C12" t="s">
        <v>30</v>
      </c>
      <c r="D12" t="s">
        <v>29</v>
      </c>
      <c r="E12" s="28">
        <v>152446</v>
      </c>
      <c r="F12" s="13">
        <v>1345.6408419999998</v>
      </c>
      <c r="G12" s="14">
        <f t="shared" si="0"/>
        <v>4.5699999999999998E-2</v>
      </c>
      <c r="H12" s="15"/>
      <c r="J12" s="14" t="s">
        <v>20</v>
      </c>
      <c r="K12" s="48">
        <f t="shared" si="1"/>
        <v>9.2700000000000005E-2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190</v>
      </c>
      <c r="C13" t="s">
        <v>11</v>
      </c>
      <c r="D13" t="s">
        <v>10</v>
      </c>
      <c r="E13" s="28">
        <v>472908</v>
      </c>
      <c r="F13" s="13">
        <v>1316.339418</v>
      </c>
      <c r="G13" s="14">
        <f t="shared" si="0"/>
        <v>4.4699999999999997E-2</v>
      </c>
      <c r="H13" s="15"/>
      <c r="J13" s="14" t="s">
        <v>29</v>
      </c>
      <c r="K13" s="48">
        <f t="shared" si="1"/>
        <v>7.5499999999999998E-2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196</v>
      </c>
      <c r="C14" t="s">
        <v>45</v>
      </c>
      <c r="D14" t="s">
        <v>25</v>
      </c>
      <c r="E14" s="28">
        <v>450000</v>
      </c>
      <c r="F14" s="13">
        <v>1149.75</v>
      </c>
      <c r="G14" s="14">
        <f t="shared" si="0"/>
        <v>3.9E-2</v>
      </c>
      <c r="H14" s="15"/>
      <c r="J14" s="14" t="s">
        <v>23</v>
      </c>
      <c r="K14" s="48">
        <f t="shared" si="1"/>
        <v>6.6199999999999995E-2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234</v>
      </c>
      <c r="C15" t="s">
        <v>100</v>
      </c>
      <c r="D15" t="s">
        <v>25</v>
      </c>
      <c r="E15" s="28">
        <v>81582</v>
      </c>
      <c r="F15" s="13">
        <v>1087.7735970000001</v>
      </c>
      <c r="G15" s="14">
        <f t="shared" si="0"/>
        <v>3.6900000000000002E-2</v>
      </c>
      <c r="H15" s="15"/>
      <c r="J15" s="14" t="s">
        <v>22</v>
      </c>
      <c r="K15" s="48">
        <f t="shared" si="1"/>
        <v>4.3700000000000003E-2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188</v>
      </c>
      <c r="C16" t="s">
        <v>15</v>
      </c>
      <c r="D16" t="s">
        <v>14</v>
      </c>
      <c r="E16" s="28">
        <v>93900</v>
      </c>
      <c r="F16" s="13">
        <v>1062.7601999999999</v>
      </c>
      <c r="G16" s="14">
        <f t="shared" si="0"/>
        <v>3.61E-2</v>
      </c>
      <c r="H16" s="15"/>
      <c r="J16" s="14" t="s">
        <v>18</v>
      </c>
      <c r="K16" s="48">
        <f t="shared" si="1"/>
        <v>4.24E-2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220</v>
      </c>
      <c r="C17" t="s">
        <v>70</v>
      </c>
      <c r="D17" t="s">
        <v>27</v>
      </c>
      <c r="E17" s="28">
        <v>78900</v>
      </c>
      <c r="F17" s="13">
        <v>1034.3000999999999</v>
      </c>
      <c r="G17" s="14">
        <f t="shared" si="0"/>
        <v>3.5099999999999999E-2</v>
      </c>
      <c r="H17" s="15"/>
      <c r="J17" s="14" t="s">
        <v>27</v>
      </c>
      <c r="K17" s="48">
        <f t="shared" si="1"/>
        <v>3.5099999999999999E-2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207</v>
      </c>
      <c r="C18" t="s">
        <v>97</v>
      </c>
      <c r="D18" t="s">
        <v>10</v>
      </c>
      <c r="E18" s="28">
        <v>93000</v>
      </c>
      <c r="F18" s="13">
        <v>974.45399999999995</v>
      </c>
      <c r="G18" s="14">
        <f t="shared" si="0"/>
        <v>3.3099999999999997E-2</v>
      </c>
      <c r="H18" s="15"/>
      <c r="J18" s="14" t="s">
        <v>105</v>
      </c>
      <c r="K18" s="48">
        <f t="shared" si="1"/>
        <v>2.3200000000000002E-2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198</v>
      </c>
      <c r="C19" t="s">
        <v>47</v>
      </c>
      <c r="D19" t="s">
        <v>25</v>
      </c>
      <c r="E19" s="28">
        <v>19500</v>
      </c>
      <c r="F19" s="13">
        <v>969.26700000000005</v>
      </c>
      <c r="G19" s="14">
        <f t="shared" si="0"/>
        <v>3.2899999999999999E-2</v>
      </c>
      <c r="H19" s="15"/>
      <c r="J19" s="14" t="s">
        <v>101</v>
      </c>
      <c r="K19" s="48">
        <f t="shared" si="1"/>
        <v>2.1899999999999999E-2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236</v>
      </c>
      <c r="C20" t="s">
        <v>102</v>
      </c>
      <c r="D20" t="s">
        <v>10</v>
      </c>
      <c r="E20" s="28">
        <v>52617</v>
      </c>
      <c r="F20" s="13">
        <v>945.39594750000003</v>
      </c>
      <c r="G20" s="14">
        <f t="shared" si="0"/>
        <v>3.2099999999999997E-2</v>
      </c>
      <c r="H20" s="15"/>
      <c r="J20" s="14" t="s">
        <v>131</v>
      </c>
      <c r="K20" s="48">
        <f t="shared" si="1"/>
        <v>2.1600000000000001E-2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16</v>
      </c>
      <c r="C21" t="s">
        <v>17</v>
      </c>
      <c r="D21" t="s">
        <v>10</v>
      </c>
      <c r="E21" s="28">
        <v>327000</v>
      </c>
      <c r="F21" s="13">
        <v>817.173</v>
      </c>
      <c r="G21" s="14">
        <f t="shared" si="0"/>
        <v>2.7699999999999999E-2</v>
      </c>
      <c r="H21" s="15"/>
      <c r="J21" s="14" t="s">
        <v>46</v>
      </c>
      <c r="K21" s="48">
        <f t="shared" si="1"/>
        <v>1.8000000000000002E-2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243</v>
      </c>
      <c r="C22" t="s">
        <v>111</v>
      </c>
      <c r="D22" t="s">
        <v>20</v>
      </c>
      <c r="E22" s="28">
        <v>21660</v>
      </c>
      <c r="F22" s="13">
        <v>767.37048000000004</v>
      </c>
      <c r="G22" s="14">
        <f t="shared" si="0"/>
        <v>2.6100000000000002E-2</v>
      </c>
      <c r="H22" s="15"/>
      <c r="J22" s="14" t="s">
        <v>37</v>
      </c>
      <c r="K22" s="48">
        <f t="shared" si="1"/>
        <v>1.2699999999999999E-2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192</v>
      </c>
      <c r="C23" t="s">
        <v>24</v>
      </c>
      <c r="D23" t="s">
        <v>14</v>
      </c>
      <c r="E23" s="28">
        <v>78900</v>
      </c>
      <c r="F23" s="13">
        <v>764.22540000000004</v>
      </c>
      <c r="G23" s="14">
        <f t="shared" si="0"/>
        <v>2.5899999999999999E-2</v>
      </c>
      <c r="H23" s="15"/>
      <c r="J23" s="14" t="s">
        <v>396</v>
      </c>
      <c r="K23" s="48">
        <f t="shared" si="1"/>
        <v>1.0500000000000001E-2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593</v>
      </c>
      <c r="C24" t="s">
        <v>125</v>
      </c>
      <c r="D24" t="s">
        <v>18</v>
      </c>
      <c r="E24" s="28">
        <v>4196</v>
      </c>
      <c r="F24" s="13">
        <v>679.60304200000007</v>
      </c>
      <c r="G24" s="14">
        <f t="shared" si="0"/>
        <v>2.3099999999999999E-2</v>
      </c>
      <c r="H24" s="15"/>
      <c r="J24" s="14" t="s">
        <v>42</v>
      </c>
      <c r="K24" s="48">
        <f t="shared" si="1"/>
        <v>1.0500000000000001E-2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248</v>
      </c>
      <c r="C25" t="s">
        <v>117</v>
      </c>
      <c r="D25" t="s">
        <v>101</v>
      </c>
      <c r="E25" s="28">
        <v>111900</v>
      </c>
      <c r="F25" s="13">
        <v>643.98450000000003</v>
      </c>
      <c r="G25" s="14">
        <f t="shared" si="0"/>
        <v>2.1899999999999999E-2</v>
      </c>
      <c r="H25" s="15"/>
      <c r="J25" s="14" t="s">
        <v>35</v>
      </c>
      <c r="K25" s="48">
        <f t="shared" si="1"/>
        <v>1.04E-2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199</v>
      </c>
      <c r="C26" t="s">
        <v>52</v>
      </c>
      <c r="D26" t="s">
        <v>18</v>
      </c>
      <c r="E26" s="28">
        <v>14400</v>
      </c>
      <c r="F26" s="13">
        <v>568.79999999999995</v>
      </c>
      <c r="G26" s="14">
        <f t="shared" si="0"/>
        <v>1.9300000000000001E-2</v>
      </c>
      <c r="H26" s="15"/>
      <c r="J26" s="14" t="s">
        <v>31</v>
      </c>
      <c r="K26" s="48">
        <f t="shared" si="1"/>
        <v>1.01E-2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224</v>
      </c>
      <c r="C27" t="s">
        <v>79</v>
      </c>
      <c r="D27" t="s">
        <v>29</v>
      </c>
      <c r="E27" s="28">
        <v>162000</v>
      </c>
      <c r="F27" s="13">
        <v>558.65700000000004</v>
      </c>
      <c r="G27" s="14">
        <f t="shared" si="0"/>
        <v>1.9E-2</v>
      </c>
      <c r="H27" s="15"/>
      <c r="J27" s="14" t="s">
        <v>104</v>
      </c>
      <c r="K27" s="48">
        <f t="shared" si="1"/>
        <v>9.9000000000000008E-3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191</v>
      </c>
      <c r="C28" t="s">
        <v>21</v>
      </c>
      <c r="D28" t="s">
        <v>20</v>
      </c>
      <c r="E28" s="28">
        <v>168000</v>
      </c>
      <c r="F28" s="13">
        <v>549.10799999999995</v>
      </c>
      <c r="G28" s="14">
        <f t="shared" si="0"/>
        <v>1.8599999999999998E-2</v>
      </c>
      <c r="H28" s="15"/>
      <c r="J28" t="s">
        <v>33</v>
      </c>
      <c r="K28" s="48">
        <f t="shared" si="1"/>
        <v>9.5999999999999992E-3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475</v>
      </c>
      <c r="C29" t="s">
        <v>476</v>
      </c>
      <c r="D29" t="s">
        <v>14</v>
      </c>
      <c r="E29" s="28">
        <v>43500</v>
      </c>
      <c r="F29" s="13">
        <v>537.48599999999999</v>
      </c>
      <c r="G29" s="14">
        <f t="shared" si="0"/>
        <v>1.8200000000000001E-2</v>
      </c>
      <c r="H29" s="15"/>
      <c r="J29" s="14" t="s">
        <v>44</v>
      </c>
      <c r="K29" s="48">
        <f t="shared" si="1"/>
        <v>9.4000000000000004E-3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200</v>
      </c>
      <c r="C30" t="s">
        <v>49</v>
      </c>
      <c r="D30" t="s">
        <v>22</v>
      </c>
      <c r="E30" s="28">
        <v>7800</v>
      </c>
      <c r="F30" s="13">
        <v>425.33010000000002</v>
      </c>
      <c r="G30" s="14">
        <f t="shared" si="0"/>
        <v>1.44E-2</v>
      </c>
      <c r="H30" s="15"/>
      <c r="J30" s="14" t="s">
        <v>63</v>
      </c>
      <c r="K30" s="48">
        <f>+SUMIFS($G$5:$G$997,$B$5:$B$997,"CBLO / Reverse Repo Investments")+SUMIFS($G$5:$G$997,$B$5:$B$997,"Net Receivable/Payable")</f>
        <v>1.52E-2</v>
      </c>
      <c r="N30" s="36"/>
      <c r="P30" s="14"/>
    </row>
    <row r="31" spans="1:16" ht="12.75" customHeight="1" x14ac:dyDescent="0.2">
      <c r="A31">
        <f>+MAX($A$8:A30)+1</f>
        <v>23</v>
      </c>
      <c r="B31" t="s">
        <v>211</v>
      </c>
      <c r="C31" t="s">
        <v>19</v>
      </c>
      <c r="D31" t="s">
        <v>14</v>
      </c>
      <c r="E31" s="28">
        <v>14880</v>
      </c>
      <c r="F31" s="13">
        <v>423.95352000000003</v>
      </c>
      <c r="G31" s="14">
        <f t="shared" si="0"/>
        <v>1.44E-2</v>
      </c>
      <c r="H31" s="15"/>
      <c r="J31" s="14"/>
      <c r="K31" s="48"/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240</v>
      </c>
      <c r="C32" t="s">
        <v>109</v>
      </c>
      <c r="D32" t="s">
        <v>25</v>
      </c>
      <c r="E32" s="28">
        <v>36907</v>
      </c>
      <c r="F32" s="13">
        <v>413.50602799999996</v>
      </c>
      <c r="G32" s="14">
        <f t="shared" si="0"/>
        <v>1.4E-2</v>
      </c>
      <c r="H32" s="15"/>
      <c r="J32" s="14"/>
      <c r="K32" s="48"/>
    </row>
    <row r="33" spans="1:8" ht="12.75" customHeight="1" x14ac:dyDescent="0.2">
      <c r="A33">
        <f>+MAX($A$8:A32)+1</f>
        <v>25</v>
      </c>
      <c r="B33" t="s">
        <v>262</v>
      </c>
      <c r="C33" t="s">
        <v>81</v>
      </c>
      <c r="D33" t="s">
        <v>14</v>
      </c>
      <c r="E33" s="28">
        <v>54000</v>
      </c>
      <c r="F33" s="13">
        <v>375.21899999999999</v>
      </c>
      <c r="G33" s="14">
        <f t="shared" si="0"/>
        <v>1.2699999999999999E-2</v>
      </c>
      <c r="H33" s="15"/>
    </row>
    <row r="34" spans="1:8" ht="12.75" customHeight="1" x14ac:dyDescent="0.2">
      <c r="A34">
        <f>+MAX($A$8:A33)+1</f>
        <v>26</v>
      </c>
      <c r="B34" t="s">
        <v>480</v>
      </c>
      <c r="C34" t="s">
        <v>481</v>
      </c>
      <c r="D34" t="s">
        <v>37</v>
      </c>
      <c r="E34" s="28">
        <v>135000</v>
      </c>
      <c r="F34" s="13">
        <v>374.01749999999998</v>
      </c>
      <c r="G34" s="14">
        <f t="shared" si="0"/>
        <v>1.2699999999999999E-2</v>
      </c>
      <c r="H34" s="15"/>
    </row>
    <row r="35" spans="1:8" ht="12.75" customHeight="1" x14ac:dyDescent="0.2">
      <c r="A35">
        <f>+MAX($A$8:A34)+1</f>
        <v>27</v>
      </c>
      <c r="B35" t="s">
        <v>305</v>
      </c>
      <c r="C35" t="s">
        <v>479</v>
      </c>
      <c r="D35" t="s">
        <v>131</v>
      </c>
      <c r="E35" s="28">
        <v>48000</v>
      </c>
      <c r="F35" s="13">
        <v>370.96800000000002</v>
      </c>
      <c r="G35" s="14">
        <f t="shared" si="0"/>
        <v>1.26E-2</v>
      </c>
      <c r="H35" s="15"/>
    </row>
    <row r="36" spans="1:8" ht="12.75" customHeight="1" x14ac:dyDescent="0.2">
      <c r="A36">
        <f>+MAX($A$8:A35)+1</f>
        <v>28</v>
      </c>
      <c r="B36" t="s">
        <v>246</v>
      </c>
      <c r="C36" t="s">
        <v>517</v>
      </c>
      <c r="D36" t="s">
        <v>10</v>
      </c>
      <c r="E36" s="28">
        <v>108000</v>
      </c>
      <c r="F36" s="13">
        <v>329.238</v>
      </c>
      <c r="G36" s="14">
        <f t="shared" si="0"/>
        <v>1.12E-2</v>
      </c>
      <c r="H36" s="15"/>
    </row>
    <row r="37" spans="1:8" ht="12.75" customHeight="1" x14ac:dyDescent="0.2">
      <c r="A37">
        <f>+MAX($A$8:A36)+1</f>
        <v>29</v>
      </c>
      <c r="B37" t="s">
        <v>247</v>
      </c>
      <c r="C37" t="s">
        <v>116</v>
      </c>
      <c r="D37" t="s">
        <v>29</v>
      </c>
      <c r="E37" s="28">
        <v>74360</v>
      </c>
      <c r="F37" s="13">
        <v>317.85181999999998</v>
      </c>
      <c r="G37" s="14">
        <f t="shared" si="0"/>
        <v>1.0800000000000001E-2</v>
      </c>
      <c r="H37" s="15"/>
    </row>
    <row r="38" spans="1:8" ht="12.75" customHeight="1" x14ac:dyDescent="0.2">
      <c r="A38">
        <f>+MAX($A$8:A37)+1</f>
        <v>30</v>
      </c>
      <c r="B38" s="1" t="s">
        <v>471</v>
      </c>
      <c r="C38" t="s">
        <v>472</v>
      </c>
      <c r="D38" t="s">
        <v>42</v>
      </c>
      <c r="E38" s="28">
        <v>34500</v>
      </c>
      <c r="F38" s="13">
        <v>309.72375</v>
      </c>
      <c r="G38" s="14">
        <f t="shared" si="0"/>
        <v>1.0500000000000001E-2</v>
      </c>
      <c r="H38" s="15"/>
    </row>
    <row r="39" spans="1:8" ht="12.75" customHeight="1" x14ac:dyDescent="0.2">
      <c r="A39">
        <f>+MAX($A$8:A38)+1</f>
        <v>31</v>
      </c>
      <c r="B39" t="s">
        <v>410</v>
      </c>
      <c r="C39" t="s">
        <v>411</v>
      </c>
      <c r="D39" t="s">
        <v>396</v>
      </c>
      <c r="E39" s="28">
        <v>58800</v>
      </c>
      <c r="F39" s="13">
        <v>308.78820000000002</v>
      </c>
      <c r="G39" s="14">
        <f t="shared" si="0"/>
        <v>1.0500000000000001E-2</v>
      </c>
      <c r="H39" s="15"/>
    </row>
    <row r="40" spans="1:8" ht="12.75" customHeight="1" x14ac:dyDescent="0.2">
      <c r="A40">
        <f>+MAX($A$8:A39)+1</f>
        <v>32</v>
      </c>
      <c r="B40" t="s">
        <v>218</v>
      </c>
      <c r="C40" t="s">
        <v>69</v>
      </c>
      <c r="D40" t="s">
        <v>10</v>
      </c>
      <c r="E40" s="28">
        <v>345600</v>
      </c>
      <c r="F40" s="13">
        <v>308.27519999999998</v>
      </c>
      <c r="G40" s="14">
        <f t="shared" si="0"/>
        <v>1.0500000000000001E-2</v>
      </c>
      <c r="H40" s="15"/>
    </row>
    <row r="41" spans="1:8" ht="12.75" customHeight="1" x14ac:dyDescent="0.2">
      <c r="A41">
        <f>+MAX($A$8:A40)+1</f>
        <v>33</v>
      </c>
      <c r="B41" t="s">
        <v>242</v>
      </c>
      <c r="C41" t="s">
        <v>113</v>
      </c>
      <c r="D41" t="s">
        <v>35</v>
      </c>
      <c r="E41" s="28">
        <v>159000</v>
      </c>
      <c r="F41" s="13">
        <v>307.26749999999998</v>
      </c>
      <c r="G41" s="14">
        <f t="shared" ref="G41:G57" si="2">+ROUND(F41/VLOOKUP("Grand Total",$B$4:$F$285,5,0),4)</f>
        <v>1.04E-2</v>
      </c>
      <c r="H41" s="15"/>
    </row>
    <row r="42" spans="1:8" ht="12.75" customHeight="1" x14ac:dyDescent="0.2">
      <c r="A42">
        <f>+MAX($A$8:A41)+1</f>
        <v>34</v>
      </c>
      <c r="B42" t="s">
        <v>210</v>
      </c>
      <c r="C42" t="s">
        <v>60</v>
      </c>
      <c r="D42" t="s">
        <v>22</v>
      </c>
      <c r="E42" s="28">
        <v>54000</v>
      </c>
      <c r="F42" s="13">
        <v>301.23899999999998</v>
      </c>
      <c r="G42" s="14">
        <f t="shared" si="2"/>
        <v>1.0200000000000001E-2</v>
      </c>
      <c r="H42" s="15"/>
    </row>
    <row r="43" spans="1:8" ht="12.75" customHeight="1" x14ac:dyDescent="0.2">
      <c r="A43">
        <f>+MAX($A$8:A42)+1</f>
        <v>35</v>
      </c>
      <c r="B43" t="s">
        <v>433</v>
      </c>
      <c r="C43" t="s">
        <v>434</v>
      </c>
      <c r="D43" t="s">
        <v>23</v>
      </c>
      <c r="E43" s="28">
        <v>198000</v>
      </c>
      <c r="F43" s="13">
        <v>299.97000000000003</v>
      </c>
      <c r="G43" s="14">
        <f t="shared" si="2"/>
        <v>1.0200000000000001E-2</v>
      </c>
      <c r="H43" s="15"/>
    </row>
    <row r="44" spans="1:8" ht="12.75" customHeight="1" x14ac:dyDescent="0.2">
      <c r="A44">
        <f>+MAX($A$8:A43)+1</f>
        <v>36</v>
      </c>
      <c r="B44" t="s">
        <v>494</v>
      </c>
      <c r="C44" t="s">
        <v>495</v>
      </c>
      <c r="D44" t="s">
        <v>31</v>
      </c>
      <c r="E44" s="28">
        <v>189000</v>
      </c>
      <c r="F44" s="13">
        <v>297.20249999999999</v>
      </c>
      <c r="G44" s="14">
        <f t="shared" si="2"/>
        <v>1.01E-2</v>
      </c>
      <c r="H44" s="15"/>
    </row>
    <row r="45" spans="1:8" ht="12.75" customHeight="1" x14ac:dyDescent="0.2">
      <c r="A45">
        <f>+MAX($A$8:A44)+1</f>
        <v>37</v>
      </c>
      <c r="B45" t="s">
        <v>496</v>
      </c>
      <c r="C45" t="s">
        <v>497</v>
      </c>
      <c r="D45" t="s">
        <v>23</v>
      </c>
      <c r="E45" s="28">
        <v>5700</v>
      </c>
      <c r="F45" s="13">
        <v>294.77834999999999</v>
      </c>
      <c r="G45" s="14">
        <f t="shared" si="2"/>
        <v>0.01</v>
      </c>
      <c r="H45" s="15"/>
    </row>
    <row r="46" spans="1:8" ht="12.75" customHeight="1" x14ac:dyDescent="0.2">
      <c r="A46">
        <f>+MAX($A$8:A45)+1</f>
        <v>38</v>
      </c>
      <c r="B46" t="s">
        <v>208</v>
      </c>
      <c r="C46" t="s">
        <v>58</v>
      </c>
      <c r="D46" t="s">
        <v>22</v>
      </c>
      <c r="E46" s="28">
        <v>39000</v>
      </c>
      <c r="F46" s="13">
        <v>293.92349999999999</v>
      </c>
      <c r="G46" s="14">
        <f t="shared" si="2"/>
        <v>0.01</v>
      </c>
      <c r="H46" s="15"/>
    </row>
    <row r="47" spans="1:8" ht="12.75" customHeight="1" x14ac:dyDescent="0.2">
      <c r="A47">
        <f>+MAX($A$8:A46)+1</f>
        <v>39</v>
      </c>
      <c r="B47" t="s">
        <v>453</v>
      </c>
      <c r="C47" t="s">
        <v>454</v>
      </c>
      <c r="D47" t="s">
        <v>104</v>
      </c>
      <c r="E47" s="28">
        <v>27900</v>
      </c>
      <c r="F47" s="13">
        <v>291.3039</v>
      </c>
      <c r="G47" s="14">
        <f t="shared" si="2"/>
        <v>9.9000000000000008E-3</v>
      </c>
      <c r="H47" s="15"/>
    </row>
    <row r="48" spans="1:8" ht="12.75" customHeight="1" x14ac:dyDescent="0.2">
      <c r="A48">
        <f>+MAX($A$8:A47)+1</f>
        <v>40</v>
      </c>
      <c r="B48" t="s">
        <v>419</v>
      </c>
      <c r="C48" t="s">
        <v>420</v>
      </c>
      <c r="D48" t="s">
        <v>105</v>
      </c>
      <c r="E48" s="28">
        <v>100800</v>
      </c>
      <c r="F48" s="13">
        <v>290.45519999999999</v>
      </c>
      <c r="G48" s="14">
        <f t="shared" si="2"/>
        <v>9.9000000000000008E-3</v>
      </c>
      <c r="H48" s="15"/>
    </row>
    <row r="49" spans="1:11" ht="12.75" customHeight="1" x14ac:dyDescent="0.2">
      <c r="A49">
        <f>+MAX($A$8:A48)+1</f>
        <v>41</v>
      </c>
      <c r="B49" t="s">
        <v>212</v>
      </c>
      <c r="C49" t="s">
        <v>28</v>
      </c>
      <c r="D49" t="s">
        <v>10</v>
      </c>
      <c r="E49" s="28">
        <v>55800</v>
      </c>
      <c r="F49" s="13">
        <v>284.85899999999998</v>
      </c>
      <c r="G49" s="14">
        <f t="shared" si="2"/>
        <v>9.7000000000000003E-3</v>
      </c>
      <c r="H49" s="15"/>
    </row>
    <row r="50" spans="1:11" ht="12.75" customHeight="1" x14ac:dyDescent="0.2">
      <c r="A50">
        <f>+MAX($A$8:A49)+1</f>
        <v>42</v>
      </c>
      <c r="B50" t="s">
        <v>209</v>
      </c>
      <c r="C50" t="s">
        <v>64</v>
      </c>
      <c r="D50" t="s">
        <v>33</v>
      </c>
      <c r="E50" s="28">
        <v>71280</v>
      </c>
      <c r="F50" s="13">
        <v>284.19335999999998</v>
      </c>
      <c r="G50" s="14">
        <f t="shared" si="2"/>
        <v>9.5999999999999992E-3</v>
      </c>
      <c r="H50" s="15"/>
    </row>
    <row r="51" spans="1:11" ht="12.75" customHeight="1" x14ac:dyDescent="0.2">
      <c r="A51">
        <f>+MAX($A$8:A50)+1</f>
        <v>43</v>
      </c>
      <c r="B51" t="s">
        <v>250</v>
      </c>
      <c r="C51" t="s">
        <v>118</v>
      </c>
      <c r="D51" t="s">
        <v>46</v>
      </c>
      <c r="E51" s="28">
        <v>85339</v>
      </c>
      <c r="F51" s="13">
        <v>280.38128449999999</v>
      </c>
      <c r="G51" s="14">
        <f t="shared" si="2"/>
        <v>9.4999999999999998E-3</v>
      </c>
      <c r="H51" s="15"/>
    </row>
    <row r="52" spans="1:11" ht="12.75" customHeight="1" x14ac:dyDescent="0.2">
      <c r="A52">
        <f>+MAX($A$8:A51)+1</f>
        <v>44</v>
      </c>
      <c r="B52" t="s">
        <v>254</v>
      </c>
      <c r="C52" t="s">
        <v>122</v>
      </c>
      <c r="D52" t="s">
        <v>44</v>
      </c>
      <c r="E52" s="28">
        <v>129000</v>
      </c>
      <c r="F52" s="13">
        <v>276.76949999999999</v>
      </c>
      <c r="G52" s="14">
        <f t="shared" si="2"/>
        <v>9.4000000000000004E-3</v>
      </c>
      <c r="H52" s="15"/>
    </row>
    <row r="53" spans="1:11" ht="12.75" customHeight="1" x14ac:dyDescent="0.2">
      <c r="A53">
        <f>+MAX($A$8:A52)+1</f>
        <v>45</v>
      </c>
      <c r="B53" t="s">
        <v>415</v>
      </c>
      <c r="C53" t="s">
        <v>67</v>
      </c>
      <c r="D53" t="s">
        <v>22</v>
      </c>
      <c r="E53" s="28">
        <v>54000</v>
      </c>
      <c r="F53" s="13">
        <v>267.35399999999998</v>
      </c>
      <c r="G53" s="14">
        <f t="shared" si="2"/>
        <v>9.1000000000000004E-3</v>
      </c>
      <c r="H53" s="15"/>
    </row>
    <row r="54" spans="1:11" ht="12.75" customHeight="1" x14ac:dyDescent="0.2">
      <c r="A54">
        <f>+MAX($A$8:A53)+1</f>
        <v>46</v>
      </c>
      <c r="B54" t="s">
        <v>519</v>
      </c>
      <c r="C54" t="s">
        <v>520</v>
      </c>
      <c r="D54" t="s">
        <v>131</v>
      </c>
      <c r="E54" s="28">
        <v>70800</v>
      </c>
      <c r="F54" s="13">
        <v>265.25220000000002</v>
      </c>
      <c r="G54" s="14">
        <f t="shared" si="2"/>
        <v>8.9999999999999993E-3</v>
      </c>
      <c r="H54" s="15"/>
    </row>
    <row r="55" spans="1:11" ht="12.75" customHeight="1" x14ac:dyDescent="0.2">
      <c r="A55">
        <f>+MAX($A$8:A54)+1</f>
        <v>47</v>
      </c>
      <c r="B55" t="s">
        <v>573</v>
      </c>
      <c r="C55" t="s">
        <v>574</v>
      </c>
      <c r="D55" t="s">
        <v>105</v>
      </c>
      <c r="E55" s="28">
        <v>300000</v>
      </c>
      <c r="F55" s="13">
        <v>253.65</v>
      </c>
      <c r="G55" s="14">
        <f t="shared" si="2"/>
        <v>8.6E-3</v>
      </c>
      <c r="H55" s="15"/>
    </row>
    <row r="56" spans="1:11" ht="12.75" customHeight="1" x14ac:dyDescent="0.2">
      <c r="A56">
        <f>+MAX($A$8:A55)+1</f>
        <v>48</v>
      </c>
      <c r="B56" t="s">
        <v>278</v>
      </c>
      <c r="C56" t="s">
        <v>173</v>
      </c>
      <c r="D56" t="s">
        <v>46</v>
      </c>
      <c r="E56" s="28">
        <v>108000</v>
      </c>
      <c r="F56" s="13">
        <v>249.42599999999999</v>
      </c>
      <c r="G56" s="14">
        <f t="shared" si="2"/>
        <v>8.5000000000000006E-3</v>
      </c>
      <c r="H56" s="15"/>
    </row>
    <row r="57" spans="1:11" ht="12.75" customHeight="1" x14ac:dyDescent="0.2">
      <c r="A57">
        <f>+MAX($A$8:A56)+1</f>
        <v>49</v>
      </c>
      <c r="B57" t="s">
        <v>594</v>
      </c>
      <c r="C57" t="s">
        <v>595</v>
      </c>
      <c r="D57" t="s">
        <v>105</v>
      </c>
      <c r="E57" s="28">
        <v>78000</v>
      </c>
      <c r="F57" s="13">
        <v>137.86500000000001</v>
      </c>
      <c r="G57" s="14">
        <f t="shared" si="2"/>
        <v>4.7000000000000002E-3</v>
      </c>
      <c r="H57" s="15"/>
    </row>
    <row r="58" spans="1:11" ht="12.75" customHeight="1" x14ac:dyDescent="0.2">
      <c r="B58" s="18" t="s">
        <v>84</v>
      </c>
      <c r="C58" s="18"/>
      <c r="D58" s="18"/>
      <c r="E58" s="29"/>
      <c r="F58" s="19">
        <f>SUM(F9:F57)</f>
        <v>29009.095803000004</v>
      </c>
      <c r="G58" s="20">
        <f>SUM(G9:G57)</f>
        <v>0.9847999999999999</v>
      </c>
      <c r="H58" s="21"/>
      <c r="I58" s="35"/>
    </row>
    <row r="59" spans="1:11" s="46" customFormat="1" ht="12.75" customHeight="1" x14ac:dyDescent="0.2">
      <c r="B59" s="67"/>
      <c r="C59" s="67"/>
      <c r="D59" s="67"/>
      <c r="E59" s="68"/>
      <c r="F59" s="69"/>
      <c r="G59" s="70"/>
      <c r="H59" s="71"/>
      <c r="I59" s="35"/>
      <c r="K59" s="48"/>
    </row>
    <row r="60" spans="1:11" ht="12.75" customHeight="1" x14ac:dyDescent="0.2">
      <c r="A60" s="95" t="s">
        <v>356</v>
      </c>
      <c r="B60" s="16" t="s">
        <v>92</v>
      </c>
      <c r="C60" s="16"/>
      <c r="F60" s="13">
        <v>416.29943320000001</v>
      </c>
      <c r="G60" s="14">
        <f>+ROUND(F60/VLOOKUP("Grand Total",$B$4:$F$285,5,0),4)</f>
        <v>1.41E-2</v>
      </c>
      <c r="H60" s="15">
        <v>43193</v>
      </c>
    </row>
    <row r="61" spans="1:11" ht="12.75" customHeight="1" x14ac:dyDescent="0.2">
      <c r="B61" s="18" t="s">
        <v>84</v>
      </c>
      <c r="C61" s="18"/>
      <c r="D61" s="18"/>
      <c r="E61" s="29"/>
      <c r="F61" s="19">
        <f>SUM(F60)</f>
        <v>416.29943320000001</v>
      </c>
      <c r="G61" s="20">
        <f>SUM(G60)</f>
        <v>1.41E-2</v>
      </c>
      <c r="H61" s="21"/>
    </row>
    <row r="62" spans="1:11" ht="12.75" customHeight="1" x14ac:dyDescent="0.2">
      <c r="F62" s="13"/>
      <c r="G62" s="14"/>
      <c r="H62" s="15"/>
      <c r="I62" s="35"/>
    </row>
    <row r="63" spans="1:11" ht="12.75" customHeight="1" x14ac:dyDescent="0.2">
      <c r="B63" s="16" t="s">
        <v>93</v>
      </c>
      <c r="C63" s="16"/>
      <c r="F63" s="13"/>
      <c r="G63" s="14"/>
      <c r="H63" s="15"/>
      <c r="I63" s="35"/>
    </row>
    <row r="64" spans="1:11" ht="12.75" customHeight="1" x14ac:dyDescent="0.2">
      <c r="B64" s="16" t="s">
        <v>94</v>
      </c>
      <c r="C64" s="16"/>
      <c r="F64" s="13">
        <v>31.963613799998711</v>
      </c>
      <c r="G64" s="14">
        <f>+ROUND(F64/VLOOKUP("Grand Total",$B$4:$F$285,5,0),4)</f>
        <v>1.1000000000000001E-3</v>
      </c>
      <c r="H64" s="15"/>
    </row>
    <row r="65" spans="2:11" ht="12.75" customHeight="1" x14ac:dyDescent="0.2">
      <c r="B65" s="18" t="s">
        <v>84</v>
      </c>
      <c r="C65" s="18"/>
      <c r="D65" s="18"/>
      <c r="E65" s="29"/>
      <c r="F65" s="19">
        <f>SUM(F64)</f>
        <v>31.963613799998711</v>
      </c>
      <c r="G65" s="124">
        <f>SUM(G64)</f>
        <v>1.1000000000000001E-3</v>
      </c>
      <c r="H65" s="21"/>
    </row>
    <row r="66" spans="2:11" ht="12.75" customHeight="1" x14ac:dyDescent="0.2">
      <c r="B66" s="22" t="s">
        <v>95</v>
      </c>
      <c r="C66" s="22"/>
      <c r="D66" s="22"/>
      <c r="E66" s="30"/>
      <c r="F66" s="23">
        <f>+SUMIF($B$5:B65,"Total",$F$5:F65)</f>
        <v>29457.358850000004</v>
      </c>
      <c r="G66" s="24">
        <f>+SUMIF($B$5:B65,"Total",$G$5:G65)</f>
        <v>0.99999999999999989</v>
      </c>
      <c r="H66" s="25"/>
    </row>
    <row r="67" spans="2:11" ht="12.75" customHeight="1" x14ac:dyDescent="0.2">
      <c r="I67"/>
      <c r="K67"/>
    </row>
    <row r="68" spans="2:11" ht="12.75" customHeight="1" x14ac:dyDescent="0.2">
      <c r="B68" s="16" t="s">
        <v>738</v>
      </c>
      <c r="C68" s="16"/>
      <c r="F68" s="13"/>
      <c r="G68" s="14"/>
      <c r="I68"/>
      <c r="K68"/>
    </row>
    <row r="69" spans="2:11" ht="12.75" customHeight="1" x14ac:dyDescent="0.2">
      <c r="B69" s="16"/>
      <c r="C69" s="16"/>
      <c r="F69" s="13"/>
      <c r="G69" s="14"/>
      <c r="I69"/>
      <c r="K69"/>
    </row>
    <row r="70" spans="2:11" ht="12.75" customHeight="1" x14ac:dyDescent="0.2">
      <c r="B70" s="16"/>
      <c r="C70" s="16"/>
      <c r="F70" s="13"/>
      <c r="G70" s="14"/>
      <c r="I70"/>
      <c r="K70"/>
    </row>
    <row r="71" spans="2:11" ht="12.75" customHeight="1" x14ac:dyDescent="0.2">
      <c r="I71"/>
      <c r="K71"/>
    </row>
    <row r="72" spans="2:11" ht="12.75" customHeight="1" x14ac:dyDescent="0.2">
      <c r="F72" s="13"/>
      <c r="I72"/>
      <c r="K72"/>
    </row>
    <row r="73" spans="2:11" ht="12.75" customHeight="1" x14ac:dyDescent="0.2">
      <c r="I73"/>
      <c r="K73"/>
    </row>
    <row r="74" spans="2:11" ht="12.75" customHeight="1" x14ac:dyDescent="0.2">
      <c r="I74"/>
      <c r="K74"/>
    </row>
    <row r="75" spans="2:11" ht="12.75" customHeight="1" x14ac:dyDescent="0.2">
      <c r="I75"/>
      <c r="K75"/>
    </row>
    <row r="76" spans="2:11" ht="12.75" customHeight="1" x14ac:dyDescent="0.2">
      <c r="I76"/>
      <c r="K76"/>
    </row>
    <row r="77" spans="2:11" ht="12.75" customHeight="1" x14ac:dyDescent="0.2">
      <c r="I77"/>
      <c r="K77"/>
    </row>
    <row r="78" spans="2:11" ht="12.75" customHeight="1" x14ac:dyDescent="0.2">
      <c r="I78"/>
      <c r="K78"/>
    </row>
    <row r="79" spans="2:11" ht="12.75" customHeight="1" x14ac:dyDescent="0.2">
      <c r="I79"/>
      <c r="K79"/>
    </row>
    <row r="80" spans="2:11" ht="12.75" customHeight="1" x14ac:dyDescent="0.2"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</sheetData>
  <sheetProtection password="EDB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21.5703125" bestFit="1" customWidth="1"/>
    <col min="11" max="11" width="8" style="36" customWidth="1"/>
  </cols>
  <sheetData>
    <row r="1" spans="1:16" ht="18.75" x14ac:dyDescent="0.2">
      <c r="A1" s="94" t="s">
        <v>360</v>
      </c>
      <c r="B1" s="126" t="s">
        <v>128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+MAX($A$7:A8)+1</f>
        <v>1</v>
      </c>
      <c r="B9" t="s">
        <v>234</v>
      </c>
      <c r="C9" t="s">
        <v>100</v>
      </c>
      <c r="D9" t="s">
        <v>25</v>
      </c>
      <c r="E9" s="28">
        <v>75280</v>
      </c>
      <c r="F9" s="13">
        <v>1003.7458800000001</v>
      </c>
      <c r="G9" s="14">
        <f t="shared" ref="G9:G40" si="0">+ROUND(F9/VLOOKUP("Grand Total",$B$4:$F$299,5,0),4)</f>
        <v>7.8700000000000006E-2</v>
      </c>
      <c r="H9" s="15"/>
      <c r="J9" s="65" t="s">
        <v>25</v>
      </c>
      <c r="K9" s="103">
        <f t="shared" ref="K9:K32" si="1">SUMIFS($G$5:$G$323,$D$5:$D$323,J9)</f>
        <v>0.17029999999999998</v>
      </c>
    </row>
    <row r="10" spans="1:16" s="65" customFormat="1" ht="12.75" customHeight="1" x14ac:dyDescent="0.2">
      <c r="A10" s="65">
        <f>+MAX($A$7:A9)+1</f>
        <v>2</v>
      </c>
      <c r="B10" s="65" t="s">
        <v>196</v>
      </c>
      <c r="C10" s="65" t="s">
        <v>45</v>
      </c>
      <c r="D10" s="65" t="s">
        <v>25</v>
      </c>
      <c r="E10" s="85">
        <v>255108</v>
      </c>
      <c r="F10" s="86">
        <v>651.80093999999997</v>
      </c>
      <c r="G10" s="90">
        <f t="shared" si="0"/>
        <v>5.11E-2</v>
      </c>
      <c r="H10" s="89"/>
      <c r="I10" s="73"/>
      <c r="J10" s="14" t="s">
        <v>10</v>
      </c>
      <c r="K10" s="48">
        <f t="shared" si="1"/>
        <v>0.1193</v>
      </c>
      <c r="L10" s="84"/>
      <c r="M10" s="90"/>
    </row>
    <row r="11" spans="1:16" ht="12.75" customHeight="1" x14ac:dyDescent="0.2">
      <c r="A11">
        <f>+MAX($A$7:A10)+1</f>
        <v>3</v>
      </c>
      <c r="B11" t="s">
        <v>204</v>
      </c>
      <c r="C11" t="s">
        <v>48</v>
      </c>
      <c r="D11" t="s">
        <v>20</v>
      </c>
      <c r="E11" s="28">
        <v>7350</v>
      </c>
      <c r="F11" s="13">
        <v>651.29084999999998</v>
      </c>
      <c r="G11" s="14">
        <f t="shared" si="0"/>
        <v>5.0999999999999997E-2</v>
      </c>
      <c r="H11" s="15"/>
      <c r="J11" s="14" t="s">
        <v>14</v>
      </c>
      <c r="K11" s="48">
        <f t="shared" si="1"/>
        <v>0.11559999999999999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188</v>
      </c>
      <c r="C12" t="s">
        <v>15</v>
      </c>
      <c r="D12" t="s">
        <v>14</v>
      </c>
      <c r="E12" s="28">
        <v>47850</v>
      </c>
      <c r="F12" s="13">
        <v>541.56629999999996</v>
      </c>
      <c r="G12" s="14">
        <f t="shared" si="0"/>
        <v>4.24E-2</v>
      </c>
      <c r="H12" s="15"/>
      <c r="J12" s="14" t="s">
        <v>20</v>
      </c>
      <c r="K12" s="48">
        <f t="shared" si="1"/>
        <v>0.107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243</v>
      </c>
      <c r="C13" t="s">
        <v>111</v>
      </c>
      <c r="D13" t="s">
        <v>20</v>
      </c>
      <c r="E13" s="28">
        <v>13500</v>
      </c>
      <c r="F13" s="13">
        <v>478.27800000000002</v>
      </c>
      <c r="G13" s="14">
        <f t="shared" si="0"/>
        <v>3.7499999999999999E-2</v>
      </c>
      <c r="H13" s="15"/>
      <c r="J13" s="14" t="s">
        <v>29</v>
      </c>
      <c r="K13" s="48">
        <f t="shared" si="1"/>
        <v>8.6300000000000002E-2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189</v>
      </c>
      <c r="C14" t="s">
        <v>30</v>
      </c>
      <c r="D14" t="s">
        <v>29</v>
      </c>
      <c r="E14" s="28">
        <v>47490</v>
      </c>
      <c r="F14" s="13">
        <v>419.19423</v>
      </c>
      <c r="G14" s="14">
        <f t="shared" si="0"/>
        <v>3.2800000000000003E-2</v>
      </c>
      <c r="H14" s="15"/>
      <c r="J14" s="14" t="s">
        <v>18</v>
      </c>
      <c r="K14" s="48">
        <f t="shared" si="1"/>
        <v>5.4699999999999999E-2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187</v>
      </c>
      <c r="C15" t="s">
        <v>13</v>
      </c>
      <c r="D15" t="s">
        <v>10</v>
      </c>
      <c r="E15" s="28">
        <v>21800</v>
      </c>
      <c r="F15" s="13">
        <v>411.16980000000001</v>
      </c>
      <c r="G15" s="14">
        <f t="shared" si="0"/>
        <v>3.2199999999999999E-2</v>
      </c>
      <c r="H15" s="15"/>
      <c r="J15" s="14" t="s">
        <v>46</v>
      </c>
      <c r="K15" s="48">
        <f t="shared" si="1"/>
        <v>4.4700000000000004E-2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257</v>
      </c>
      <c r="C16" t="s">
        <v>132</v>
      </c>
      <c r="D16" t="s">
        <v>18</v>
      </c>
      <c r="E16" s="28">
        <v>13569</v>
      </c>
      <c r="F16" s="13">
        <v>389.99341350000003</v>
      </c>
      <c r="G16" s="14">
        <f t="shared" si="0"/>
        <v>3.0599999999999999E-2</v>
      </c>
      <c r="H16" s="15"/>
      <c r="J16" s="14" t="s">
        <v>131</v>
      </c>
      <c r="K16" s="48">
        <f t="shared" si="1"/>
        <v>3.6500000000000005E-2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190</v>
      </c>
      <c r="C17" t="s">
        <v>11</v>
      </c>
      <c r="D17" t="s">
        <v>10</v>
      </c>
      <c r="E17" s="28">
        <v>132000</v>
      </c>
      <c r="F17" s="13">
        <v>367.42200000000003</v>
      </c>
      <c r="G17" s="14">
        <f t="shared" si="0"/>
        <v>2.8799999999999999E-2</v>
      </c>
      <c r="H17" s="15"/>
      <c r="J17" s="14" t="s">
        <v>37</v>
      </c>
      <c r="K17" s="48">
        <f t="shared" si="1"/>
        <v>3.2899999999999999E-2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258</v>
      </c>
      <c r="C18" t="s">
        <v>133</v>
      </c>
      <c r="D18" t="s">
        <v>25</v>
      </c>
      <c r="E18" s="28">
        <v>10800</v>
      </c>
      <c r="F18" s="13">
        <v>317.06639999999999</v>
      </c>
      <c r="G18" s="14">
        <f t="shared" si="0"/>
        <v>2.4799999999999999E-2</v>
      </c>
      <c r="H18" s="15"/>
      <c r="J18" s="14" t="s">
        <v>42</v>
      </c>
      <c r="K18" s="48">
        <f t="shared" si="1"/>
        <v>2.7300000000000001E-2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199</v>
      </c>
      <c r="C19" t="s">
        <v>52</v>
      </c>
      <c r="D19" t="s">
        <v>18</v>
      </c>
      <c r="E19" s="28">
        <v>7800</v>
      </c>
      <c r="F19" s="13">
        <v>308.10000000000002</v>
      </c>
      <c r="G19" s="14">
        <f t="shared" si="0"/>
        <v>2.41E-2</v>
      </c>
      <c r="H19" s="15"/>
      <c r="J19" s="14" t="s">
        <v>27</v>
      </c>
      <c r="K19" s="48">
        <f t="shared" si="1"/>
        <v>2.7E-2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262</v>
      </c>
      <c r="C20" t="s">
        <v>81</v>
      </c>
      <c r="D20" t="s">
        <v>14</v>
      </c>
      <c r="E20" s="28">
        <v>43500</v>
      </c>
      <c r="F20" s="13">
        <v>302.25975</v>
      </c>
      <c r="G20" s="14">
        <f t="shared" si="0"/>
        <v>2.3699999999999999E-2</v>
      </c>
      <c r="H20" s="15"/>
      <c r="J20" s="14" t="s">
        <v>44</v>
      </c>
      <c r="K20" s="48">
        <f t="shared" si="1"/>
        <v>2.3400000000000001E-2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211</v>
      </c>
      <c r="C21" t="s">
        <v>19</v>
      </c>
      <c r="D21" t="s">
        <v>14</v>
      </c>
      <c r="E21" s="28">
        <v>10260</v>
      </c>
      <c r="F21" s="13">
        <v>292.32279</v>
      </c>
      <c r="G21" s="14">
        <f t="shared" si="0"/>
        <v>2.29E-2</v>
      </c>
      <c r="H21" s="15"/>
      <c r="J21" s="14" t="s">
        <v>40</v>
      </c>
      <c r="K21" s="48">
        <f t="shared" si="1"/>
        <v>2.3199999999999998E-2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247</v>
      </c>
      <c r="C22" t="s">
        <v>116</v>
      </c>
      <c r="D22" t="s">
        <v>29</v>
      </c>
      <c r="E22" s="28">
        <v>66900</v>
      </c>
      <c r="F22" s="13">
        <v>285.96404999999999</v>
      </c>
      <c r="G22" s="14">
        <f t="shared" si="0"/>
        <v>2.24E-2</v>
      </c>
      <c r="H22" s="15"/>
      <c r="J22" s="14" t="s">
        <v>23</v>
      </c>
      <c r="K22" s="48">
        <f t="shared" si="1"/>
        <v>1.44E-2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224</v>
      </c>
      <c r="C23" t="s">
        <v>79</v>
      </c>
      <c r="D23" t="s">
        <v>29</v>
      </c>
      <c r="E23" s="28">
        <v>81900</v>
      </c>
      <c r="F23" s="13">
        <v>282.43214999999998</v>
      </c>
      <c r="G23" s="14">
        <f t="shared" si="0"/>
        <v>2.2100000000000002E-2</v>
      </c>
      <c r="H23" s="15"/>
      <c r="J23" s="14" t="s">
        <v>105</v>
      </c>
      <c r="K23" s="48">
        <f t="shared" si="1"/>
        <v>1.3100000000000001E-2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16</v>
      </c>
      <c r="C24" t="s">
        <v>17</v>
      </c>
      <c r="D24" t="s">
        <v>10</v>
      </c>
      <c r="E24" s="28">
        <v>103800</v>
      </c>
      <c r="F24" s="13">
        <v>259.39620000000002</v>
      </c>
      <c r="G24" s="14">
        <f t="shared" si="0"/>
        <v>2.0299999999999999E-2</v>
      </c>
      <c r="H24" s="15"/>
      <c r="J24" s="14" t="s">
        <v>141</v>
      </c>
      <c r="K24" s="48">
        <f t="shared" si="1"/>
        <v>1.26E-2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236</v>
      </c>
      <c r="C25" t="s">
        <v>102</v>
      </c>
      <c r="D25" t="s">
        <v>10</v>
      </c>
      <c r="E25" s="28">
        <v>12900</v>
      </c>
      <c r="F25" s="13">
        <v>231.78075000000001</v>
      </c>
      <c r="G25" s="14">
        <f t="shared" si="0"/>
        <v>1.8200000000000001E-2</v>
      </c>
      <c r="H25" s="15"/>
      <c r="J25" s="14" t="s">
        <v>130</v>
      </c>
      <c r="K25" s="48">
        <f t="shared" si="1"/>
        <v>1.17E-2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383</v>
      </c>
      <c r="C26" t="s">
        <v>384</v>
      </c>
      <c r="D26" t="s">
        <v>131</v>
      </c>
      <c r="E26" s="28">
        <v>19608</v>
      </c>
      <c r="F26" s="13">
        <v>224.864544</v>
      </c>
      <c r="G26" s="14">
        <f t="shared" si="0"/>
        <v>1.7600000000000001E-2</v>
      </c>
      <c r="H26" s="15"/>
      <c r="J26" s="14" t="s">
        <v>484</v>
      </c>
      <c r="K26" s="48">
        <f t="shared" si="1"/>
        <v>1.0999999999999999E-2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222</v>
      </c>
      <c r="C27" t="s">
        <v>554</v>
      </c>
      <c r="D27" t="s">
        <v>46</v>
      </c>
      <c r="E27" s="28">
        <v>78000</v>
      </c>
      <c r="F27" s="13">
        <v>217.971</v>
      </c>
      <c r="G27" s="14">
        <f t="shared" si="0"/>
        <v>1.7100000000000001E-2</v>
      </c>
      <c r="H27" s="15"/>
      <c r="J27" s="14" t="s">
        <v>98</v>
      </c>
      <c r="K27" s="48">
        <f t="shared" si="1"/>
        <v>1.01E-2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255</v>
      </c>
      <c r="C28" t="s">
        <v>126</v>
      </c>
      <c r="D28" t="s">
        <v>25</v>
      </c>
      <c r="E28" s="28">
        <v>18900</v>
      </c>
      <c r="F28" s="13">
        <v>199.75409999999999</v>
      </c>
      <c r="G28" s="14">
        <f t="shared" si="0"/>
        <v>1.5699999999999999E-2</v>
      </c>
      <c r="H28" s="15"/>
      <c r="J28" s="14" t="s">
        <v>104</v>
      </c>
      <c r="K28" s="48">
        <f t="shared" si="1"/>
        <v>8.8000000000000005E-3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304</v>
      </c>
      <c r="C29" t="s">
        <v>129</v>
      </c>
      <c r="D29" t="s">
        <v>23</v>
      </c>
      <c r="E29" s="28">
        <v>6900</v>
      </c>
      <c r="F29" s="13">
        <v>183.85050000000001</v>
      </c>
      <c r="G29" s="14">
        <f t="shared" si="0"/>
        <v>1.44E-2</v>
      </c>
      <c r="H29" s="15"/>
      <c r="J29" t="s">
        <v>31</v>
      </c>
      <c r="K29" s="48">
        <f t="shared" si="1"/>
        <v>8.5000000000000006E-3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250</v>
      </c>
      <c r="C30" t="s">
        <v>118</v>
      </c>
      <c r="D30" t="s">
        <v>46</v>
      </c>
      <c r="E30" s="28">
        <v>55002</v>
      </c>
      <c r="F30" s="13">
        <v>180.70907100000002</v>
      </c>
      <c r="G30" s="14">
        <f t="shared" si="0"/>
        <v>1.4200000000000001E-2</v>
      </c>
      <c r="H30" s="15"/>
      <c r="J30" s="14" t="s">
        <v>33</v>
      </c>
      <c r="K30" s="48">
        <f t="shared" si="1"/>
        <v>8.3999999999999995E-3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219</v>
      </c>
      <c r="C31" t="s">
        <v>65</v>
      </c>
      <c r="D31" t="s">
        <v>27</v>
      </c>
      <c r="E31" s="28">
        <v>45600</v>
      </c>
      <c r="F31" s="13">
        <v>177.726</v>
      </c>
      <c r="G31" s="14">
        <f t="shared" si="0"/>
        <v>1.3899999999999999E-2</v>
      </c>
      <c r="H31" s="15"/>
      <c r="J31" s="14" t="s">
        <v>22</v>
      </c>
      <c r="K31" s="48">
        <f t="shared" si="1"/>
        <v>8.3000000000000001E-3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575</v>
      </c>
      <c r="C32" t="s">
        <v>576</v>
      </c>
      <c r="D32" t="s">
        <v>14</v>
      </c>
      <c r="E32" s="28">
        <v>24900</v>
      </c>
      <c r="F32" s="13">
        <v>174.37469999999999</v>
      </c>
      <c r="G32" s="14">
        <f t="shared" si="0"/>
        <v>1.37E-2</v>
      </c>
      <c r="H32" s="15"/>
      <c r="J32" s="14" t="s">
        <v>311</v>
      </c>
      <c r="K32" s="48">
        <f t="shared" si="1"/>
        <v>1.6999999999999999E-3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278</v>
      </c>
      <c r="C33" t="s">
        <v>173</v>
      </c>
      <c r="D33" t="s">
        <v>46</v>
      </c>
      <c r="E33" s="28">
        <v>73800</v>
      </c>
      <c r="F33" s="13">
        <v>170.44110000000001</v>
      </c>
      <c r="G33" s="14">
        <f t="shared" si="0"/>
        <v>1.34E-2</v>
      </c>
      <c r="H33" s="15"/>
      <c r="J33" s="14" t="s">
        <v>63</v>
      </c>
      <c r="K33" s="48">
        <f>+SUMIFS($G$5:$G$997,$B$5:$B$997,"CBLO / Reverse Repo Investments")+SUMIFS($G$5:$G$997,$B$5:$B$997,"Net Receivable/Payable")</f>
        <v>2.3199999999999998E-2</v>
      </c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220</v>
      </c>
      <c r="C34" t="s">
        <v>70</v>
      </c>
      <c r="D34" t="s">
        <v>27</v>
      </c>
      <c r="E34" s="28">
        <v>12750</v>
      </c>
      <c r="F34" s="13">
        <v>167.13974999999999</v>
      </c>
      <c r="G34" s="14">
        <f t="shared" si="0"/>
        <v>1.3100000000000001E-2</v>
      </c>
      <c r="H34" s="15"/>
    </row>
    <row r="35" spans="1:16" ht="12.75" customHeight="1" x14ac:dyDescent="0.2">
      <c r="A35">
        <f>+MAX($A$7:A34)+1</f>
        <v>27</v>
      </c>
      <c r="B35" t="s">
        <v>192</v>
      </c>
      <c r="C35" t="s">
        <v>24</v>
      </c>
      <c r="D35" t="s">
        <v>14</v>
      </c>
      <c r="E35" s="28">
        <v>16980</v>
      </c>
      <c r="F35" s="13">
        <v>164.46827999999999</v>
      </c>
      <c r="G35" s="14">
        <f t="shared" si="0"/>
        <v>1.29E-2</v>
      </c>
      <c r="H35" s="15"/>
    </row>
    <row r="36" spans="1:16" ht="12.75" customHeight="1" x14ac:dyDescent="0.2">
      <c r="A36">
        <f>+MAX($A$7:A35)+1</f>
        <v>28</v>
      </c>
      <c r="B36" t="s">
        <v>500</v>
      </c>
      <c r="C36" t="s">
        <v>501</v>
      </c>
      <c r="D36" t="s">
        <v>40</v>
      </c>
      <c r="E36" s="28">
        <v>4938</v>
      </c>
      <c r="F36" s="13">
        <v>157.27529999999999</v>
      </c>
      <c r="G36" s="14">
        <f t="shared" si="0"/>
        <v>1.23E-2</v>
      </c>
      <c r="H36" s="15"/>
    </row>
    <row r="37" spans="1:16" ht="12.75" customHeight="1" x14ac:dyDescent="0.2">
      <c r="A37">
        <f>+MAX($A$7:A36)+1</f>
        <v>29</v>
      </c>
      <c r="B37" t="s">
        <v>225</v>
      </c>
      <c r="C37" t="s">
        <v>80</v>
      </c>
      <c r="D37" t="s">
        <v>44</v>
      </c>
      <c r="E37" s="28">
        <v>51900</v>
      </c>
      <c r="F37" s="13">
        <v>155.98544999999999</v>
      </c>
      <c r="G37" s="14">
        <f t="shared" si="0"/>
        <v>1.2200000000000001E-2</v>
      </c>
      <c r="H37" s="15"/>
    </row>
    <row r="38" spans="1:16" ht="12.75" customHeight="1" x14ac:dyDescent="0.2">
      <c r="A38">
        <f>+MAX($A$7:A37)+1</f>
        <v>30</v>
      </c>
      <c r="B38" t="s">
        <v>266</v>
      </c>
      <c r="C38" t="s">
        <v>143</v>
      </c>
      <c r="D38" t="s">
        <v>37</v>
      </c>
      <c r="E38" s="28">
        <v>207</v>
      </c>
      <c r="F38" s="13">
        <v>150.1024275</v>
      </c>
      <c r="G38" s="14">
        <f t="shared" si="0"/>
        <v>1.18E-2</v>
      </c>
      <c r="H38" s="15"/>
    </row>
    <row r="39" spans="1:16" ht="12.75" customHeight="1" x14ac:dyDescent="0.2">
      <c r="A39">
        <f>+MAX($A$7:A38)+1</f>
        <v>31</v>
      </c>
      <c r="B39" t="s">
        <v>260</v>
      </c>
      <c r="C39" t="s">
        <v>135</v>
      </c>
      <c r="D39" t="s">
        <v>130</v>
      </c>
      <c r="E39" s="28">
        <v>16800</v>
      </c>
      <c r="F39" s="13">
        <v>148.71360000000001</v>
      </c>
      <c r="G39" s="14">
        <f t="shared" si="0"/>
        <v>1.17E-2</v>
      </c>
      <c r="H39" s="15"/>
    </row>
    <row r="40" spans="1:16" ht="12.75" customHeight="1" x14ac:dyDescent="0.2">
      <c r="A40">
        <f>+MAX($A$7:A39)+1</f>
        <v>32</v>
      </c>
      <c r="B40" t="s">
        <v>289</v>
      </c>
      <c r="C40" t="s">
        <v>174</v>
      </c>
      <c r="D40" t="s">
        <v>37</v>
      </c>
      <c r="E40" s="28">
        <v>64800</v>
      </c>
      <c r="F40" s="13">
        <v>144.4068</v>
      </c>
      <c r="G40" s="14">
        <f t="shared" si="0"/>
        <v>1.1299999999999999E-2</v>
      </c>
      <c r="H40" s="15"/>
    </row>
    <row r="41" spans="1:16" ht="12.75" customHeight="1" x14ac:dyDescent="0.2">
      <c r="A41">
        <f>+MAX($A$7:A40)+1</f>
        <v>33</v>
      </c>
      <c r="B41" t="s">
        <v>254</v>
      </c>
      <c r="C41" t="s">
        <v>122</v>
      </c>
      <c r="D41" t="s">
        <v>44</v>
      </c>
      <c r="E41" s="28">
        <v>66900</v>
      </c>
      <c r="F41" s="13">
        <v>143.53395</v>
      </c>
      <c r="G41" s="14">
        <f t="shared" ref="G41:G63" si="2">+ROUND(F41/VLOOKUP("Grand Total",$B$4:$F$299,5,0),4)</f>
        <v>1.12E-2</v>
      </c>
      <c r="H41" s="15"/>
    </row>
    <row r="42" spans="1:16" ht="12.75" customHeight="1" x14ac:dyDescent="0.2">
      <c r="A42">
        <f>+MAX($A$7:A41)+1</f>
        <v>34</v>
      </c>
      <c r="B42" t="s">
        <v>482</v>
      </c>
      <c r="C42" t="s">
        <v>483</v>
      </c>
      <c r="D42" t="s">
        <v>484</v>
      </c>
      <c r="E42" s="28">
        <v>40500</v>
      </c>
      <c r="F42" s="13">
        <v>140.87925000000001</v>
      </c>
      <c r="G42" s="14">
        <f t="shared" si="2"/>
        <v>1.0999999999999999E-2</v>
      </c>
      <c r="H42" s="15"/>
    </row>
    <row r="43" spans="1:16" ht="12.75" customHeight="1" x14ac:dyDescent="0.2">
      <c r="A43">
        <f>+MAX($A$7:A42)+1</f>
        <v>35</v>
      </c>
      <c r="B43" t="s">
        <v>455</v>
      </c>
      <c r="C43" t="s">
        <v>456</v>
      </c>
      <c r="D43" t="s">
        <v>40</v>
      </c>
      <c r="E43" s="28">
        <v>40500</v>
      </c>
      <c r="F43" s="13">
        <v>138.5505</v>
      </c>
      <c r="G43" s="14">
        <f t="shared" si="2"/>
        <v>1.09E-2</v>
      </c>
      <c r="H43" s="15"/>
    </row>
    <row r="44" spans="1:16" ht="12.75" customHeight="1" x14ac:dyDescent="0.2">
      <c r="A44">
        <f>+MAX($A$7:A43)+1</f>
        <v>36</v>
      </c>
      <c r="B44" t="s">
        <v>205</v>
      </c>
      <c r="C44" t="s">
        <v>54</v>
      </c>
      <c r="D44" t="s">
        <v>42</v>
      </c>
      <c r="E44" s="28">
        <v>7080</v>
      </c>
      <c r="F44" s="13">
        <v>138.42462</v>
      </c>
      <c r="G44" s="14">
        <f t="shared" si="2"/>
        <v>1.0800000000000001E-2</v>
      </c>
      <c r="H44" s="15"/>
    </row>
    <row r="45" spans="1:16" ht="12.75" customHeight="1" x14ac:dyDescent="0.2">
      <c r="A45">
        <f>+MAX($A$7:A44)+1</f>
        <v>37</v>
      </c>
      <c r="B45" t="s">
        <v>207</v>
      </c>
      <c r="C45" t="s">
        <v>97</v>
      </c>
      <c r="D45" t="s">
        <v>10</v>
      </c>
      <c r="E45" s="28">
        <v>12600</v>
      </c>
      <c r="F45" s="13">
        <v>132.02279999999999</v>
      </c>
      <c r="G45" s="14">
        <f t="shared" si="2"/>
        <v>1.03E-2</v>
      </c>
      <c r="H45" s="15"/>
    </row>
    <row r="46" spans="1:16" ht="12.75" customHeight="1" x14ac:dyDescent="0.2">
      <c r="A46">
        <f>+MAX($A$7:A45)+1</f>
        <v>38</v>
      </c>
      <c r="B46" t="s">
        <v>498</v>
      </c>
      <c r="C46" t="s">
        <v>499</v>
      </c>
      <c r="D46" t="s">
        <v>98</v>
      </c>
      <c r="E46" s="28">
        <v>59850</v>
      </c>
      <c r="F46" s="13">
        <v>129.48547500000001</v>
      </c>
      <c r="G46" s="14">
        <f t="shared" si="2"/>
        <v>1.01E-2</v>
      </c>
      <c r="H46" s="15"/>
    </row>
    <row r="47" spans="1:16" ht="12.75" customHeight="1" x14ac:dyDescent="0.2">
      <c r="A47">
        <f>+MAX($A$7:A46)+1</f>
        <v>39</v>
      </c>
      <c r="B47" t="s">
        <v>302</v>
      </c>
      <c r="C47" t="s">
        <v>75</v>
      </c>
      <c r="D47" t="s">
        <v>37</v>
      </c>
      <c r="E47" s="28">
        <v>37608</v>
      </c>
      <c r="F47" s="13">
        <v>124.85856</v>
      </c>
      <c r="G47" s="14">
        <f t="shared" si="2"/>
        <v>9.7999999999999997E-3</v>
      </c>
      <c r="H47" s="15"/>
    </row>
    <row r="48" spans="1:16" ht="12.75" customHeight="1" x14ac:dyDescent="0.2">
      <c r="A48">
        <f>+MAX($A$7:A47)+1</f>
        <v>40</v>
      </c>
      <c r="B48" t="s">
        <v>428</v>
      </c>
      <c r="C48" t="s">
        <v>429</v>
      </c>
      <c r="D48" t="s">
        <v>131</v>
      </c>
      <c r="E48" s="28">
        <v>84900</v>
      </c>
      <c r="F48" s="13">
        <v>124.08135</v>
      </c>
      <c r="G48" s="14">
        <f t="shared" si="2"/>
        <v>9.7000000000000003E-3</v>
      </c>
      <c r="H48" s="15"/>
    </row>
    <row r="49" spans="1:8" ht="12.75" customHeight="1" x14ac:dyDescent="0.2">
      <c r="A49">
        <f>+MAX($A$7:A48)+1</f>
        <v>41</v>
      </c>
      <c r="B49" t="s">
        <v>194</v>
      </c>
      <c r="C49" t="s">
        <v>38</v>
      </c>
      <c r="D49" t="s">
        <v>20</v>
      </c>
      <c r="E49" s="28">
        <v>4500</v>
      </c>
      <c r="F49" s="13">
        <v>123.5115</v>
      </c>
      <c r="G49" s="14">
        <f t="shared" si="2"/>
        <v>9.7000000000000003E-3</v>
      </c>
      <c r="H49" s="15"/>
    </row>
    <row r="50" spans="1:8" ht="12.75" customHeight="1" x14ac:dyDescent="0.2">
      <c r="A50">
        <f>+MAX($A$7:A49)+1</f>
        <v>42</v>
      </c>
      <c r="B50" t="s">
        <v>312</v>
      </c>
      <c r="C50" t="s">
        <v>313</v>
      </c>
      <c r="D50" t="s">
        <v>10</v>
      </c>
      <c r="E50" s="28">
        <v>70590</v>
      </c>
      <c r="F50" s="13">
        <v>121.732455</v>
      </c>
      <c r="G50" s="14">
        <f t="shared" si="2"/>
        <v>9.4999999999999998E-3</v>
      </c>
      <c r="H50" s="15"/>
    </row>
    <row r="51" spans="1:8" ht="12.75" customHeight="1" x14ac:dyDescent="0.2">
      <c r="A51">
        <f>+MAX($A$7:A50)+1</f>
        <v>43</v>
      </c>
      <c r="B51" t="s">
        <v>334</v>
      </c>
      <c r="C51" t="s">
        <v>397</v>
      </c>
      <c r="D51" t="s">
        <v>131</v>
      </c>
      <c r="E51" s="28">
        <v>10800</v>
      </c>
      <c r="F51" s="13">
        <v>117.2448</v>
      </c>
      <c r="G51" s="14">
        <f t="shared" si="2"/>
        <v>9.1999999999999998E-3</v>
      </c>
      <c r="H51" s="15"/>
    </row>
    <row r="52" spans="1:8" ht="12.75" customHeight="1" x14ac:dyDescent="0.2">
      <c r="A52">
        <f>+MAX($A$7:A51)+1</f>
        <v>44</v>
      </c>
      <c r="B52" t="s">
        <v>471</v>
      </c>
      <c r="C52" t="s">
        <v>472</v>
      </c>
      <c r="D52" t="s">
        <v>42</v>
      </c>
      <c r="E52" s="28">
        <v>12900</v>
      </c>
      <c r="F52" s="13">
        <v>115.80974999999999</v>
      </c>
      <c r="G52" s="14">
        <f t="shared" si="2"/>
        <v>9.1000000000000004E-3</v>
      </c>
      <c r="H52" s="15"/>
    </row>
    <row r="53" spans="1:8" ht="12.75" customHeight="1" x14ac:dyDescent="0.2">
      <c r="A53">
        <f>+MAX($A$7:A52)+1</f>
        <v>45</v>
      </c>
      <c r="B53" t="s">
        <v>280</v>
      </c>
      <c r="C53" t="s">
        <v>172</v>
      </c>
      <c r="D53" t="s">
        <v>29</v>
      </c>
      <c r="E53" s="28">
        <v>64800</v>
      </c>
      <c r="F53" s="13">
        <v>114.43680000000001</v>
      </c>
      <c r="G53" s="14">
        <f t="shared" si="2"/>
        <v>8.9999999999999993E-3</v>
      </c>
      <c r="H53" s="15"/>
    </row>
    <row r="54" spans="1:8" ht="12.75" customHeight="1" x14ac:dyDescent="0.2">
      <c r="A54">
        <f>+MAX($A$7:A53)+1</f>
        <v>46</v>
      </c>
      <c r="B54" t="s">
        <v>596</v>
      </c>
      <c r="C54" t="s">
        <v>597</v>
      </c>
      <c r="D54" t="s">
        <v>141</v>
      </c>
      <c r="E54" s="28">
        <v>118800</v>
      </c>
      <c r="F54" s="13">
        <v>113.62032000000001</v>
      </c>
      <c r="G54" s="14">
        <f t="shared" si="2"/>
        <v>8.8999999999999999E-3</v>
      </c>
      <c r="H54" s="15"/>
    </row>
    <row r="55" spans="1:8" ht="12.75" customHeight="1" x14ac:dyDescent="0.2">
      <c r="A55">
        <f>+MAX($A$7:A54)+1</f>
        <v>47</v>
      </c>
      <c r="B55" t="s">
        <v>598</v>
      </c>
      <c r="C55" t="s">
        <v>599</v>
      </c>
      <c r="D55" t="s">
        <v>104</v>
      </c>
      <c r="E55" s="28">
        <v>135000</v>
      </c>
      <c r="F55" s="13">
        <v>112.59</v>
      </c>
      <c r="G55" s="14">
        <f t="shared" si="2"/>
        <v>8.8000000000000005E-3</v>
      </c>
      <c r="H55" s="15"/>
    </row>
    <row r="56" spans="1:8" ht="12.75" customHeight="1" x14ac:dyDescent="0.2">
      <c r="A56">
        <f>+MAX($A$7:A55)+1</f>
        <v>48</v>
      </c>
      <c r="B56" t="s">
        <v>331</v>
      </c>
      <c r="C56" t="s">
        <v>332</v>
      </c>
      <c r="D56" t="s">
        <v>20</v>
      </c>
      <c r="E56" s="28">
        <v>77400</v>
      </c>
      <c r="F56" s="13">
        <v>112.5783</v>
      </c>
      <c r="G56" s="14">
        <f t="shared" si="2"/>
        <v>8.8000000000000005E-3</v>
      </c>
      <c r="H56" s="15"/>
    </row>
    <row r="57" spans="1:8" ht="12.75" customHeight="1" x14ac:dyDescent="0.2">
      <c r="A57">
        <f>+MAX($A$7:A56)+1</f>
        <v>49</v>
      </c>
      <c r="B57" t="s">
        <v>328</v>
      </c>
      <c r="C57" t="s">
        <v>329</v>
      </c>
      <c r="D57" t="s">
        <v>31</v>
      </c>
      <c r="E57" s="28">
        <v>57000</v>
      </c>
      <c r="F57" s="13">
        <v>108.52800000000001</v>
      </c>
      <c r="G57" s="14">
        <f t="shared" si="2"/>
        <v>8.5000000000000006E-3</v>
      </c>
      <c r="H57" s="15"/>
    </row>
    <row r="58" spans="1:8" ht="12.75" customHeight="1" x14ac:dyDescent="0.2">
      <c r="A58">
        <f>+MAX($A$7:A57)+1</f>
        <v>50</v>
      </c>
      <c r="B58" t="s">
        <v>573</v>
      </c>
      <c r="C58" t="s">
        <v>574</v>
      </c>
      <c r="D58" t="s">
        <v>105</v>
      </c>
      <c r="E58" s="28">
        <v>128293</v>
      </c>
      <c r="F58" s="13">
        <v>108.4717315</v>
      </c>
      <c r="G58" s="14">
        <f t="shared" si="2"/>
        <v>8.5000000000000006E-3</v>
      </c>
      <c r="H58" s="15"/>
    </row>
    <row r="59" spans="1:8" ht="12.75" customHeight="1" x14ac:dyDescent="0.2">
      <c r="A59">
        <f>+MAX($A$7:A58)+1</f>
        <v>51</v>
      </c>
      <c r="B59" t="s">
        <v>209</v>
      </c>
      <c r="C59" t="s">
        <v>64</v>
      </c>
      <c r="D59" t="s">
        <v>33</v>
      </c>
      <c r="E59" s="28">
        <v>27000</v>
      </c>
      <c r="F59" s="13">
        <v>107.649</v>
      </c>
      <c r="G59" s="14">
        <f t="shared" si="2"/>
        <v>8.3999999999999995E-3</v>
      </c>
      <c r="H59" s="15"/>
    </row>
    <row r="60" spans="1:8" ht="12.75" customHeight="1" x14ac:dyDescent="0.2">
      <c r="A60">
        <f>+MAX($A$7:A59)+1</f>
        <v>52</v>
      </c>
      <c r="B60" t="s">
        <v>210</v>
      </c>
      <c r="C60" t="s">
        <v>60</v>
      </c>
      <c r="D60" t="s">
        <v>22</v>
      </c>
      <c r="E60" s="28">
        <v>18900</v>
      </c>
      <c r="F60" s="13">
        <v>105.43365</v>
      </c>
      <c r="G60" s="14">
        <f t="shared" si="2"/>
        <v>8.3000000000000001E-3</v>
      </c>
      <c r="H60" s="15"/>
    </row>
    <row r="61" spans="1:8" ht="12.75" customHeight="1" x14ac:dyDescent="0.2">
      <c r="A61">
        <f>+MAX($A$7:A60)+1</f>
        <v>53</v>
      </c>
      <c r="B61" t="s">
        <v>385</v>
      </c>
      <c r="C61" t="s">
        <v>386</v>
      </c>
      <c r="D61" t="s">
        <v>42</v>
      </c>
      <c r="E61" s="28">
        <v>27000</v>
      </c>
      <c r="F61" s="13">
        <v>94.351500000000001</v>
      </c>
      <c r="G61" s="14">
        <f t="shared" si="2"/>
        <v>7.4000000000000003E-3</v>
      </c>
      <c r="H61" s="15"/>
    </row>
    <row r="62" spans="1:8" ht="12.75" customHeight="1" x14ac:dyDescent="0.2">
      <c r="A62">
        <f>+MAX($A$7:A61)+1</f>
        <v>54</v>
      </c>
      <c r="B62" t="s">
        <v>594</v>
      </c>
      <c r="C62" t="s">
        <v>595</v>
      </c>
      <c r="D62" t="s">
        <v>105</v>
      </c>
      <c r="E62" s="28">
        <v>33000</v>
      </c>
      <c r="F62" s="13">
        <v>58.327500000000001</v>
      </c>
      <c r="G62" s="14">
        <f t="shared" si="2"/>
        <v>4.5999999999999999E-3</v>
      </c>
      <c r="H62" s="15"/>
    </row>
    <row r="63" spans="1:8" ht="12.75" customHeight="1" x14ac:dyDescent="0.2">
      <c r="A63">
        <f>+MAX($A$7:A62)+1</f>
        <v>55</v>
      </c>
      <c r="B63" t="s">
        <v>342</v>
      </c>
      <c r="C63" t="s">
        <v>343</v>
      </c>
      <c r="D63" t="s">
        <v>141</v>
      </c>
      <c r="E63" s="28">
        <v>118800</v>
      </c>
      <c r="F63" s="13">
        <v>46.866599999999998</v>
      </c>
      <c r="G63" s="14">
        <f t="shared" si="2"/>
        <v>3.7000000000000002E-3</v>
      </c>
      <c r="H63" s="15"/>
    </row>
    <row r="64" spans="1:8" ht="12.75" customHeight="1" x14ac:dyDescent="0.2">
      <c r="A64">
        <f>+MAX($A$7:A63)+1</f>
        <v>56</v>
      </c>
      <c r="B64" t="s">
        <v>440</v>
      </c>
      <c r="C64" s="121" t="s">
        <v>616</v>
      </c>
      <c r="D64" t="s">
        <v>37</v>
      </c>
      <c r="E64" s="28">
        <v>16500</v>
      </c>
      <c r="F64" s="13">
        <v>0</v>
      </c>
      <c r="G64" s="108" t="s">
        <v>516</v>
      </c>
      <c r="H64" s="15"/>
    </row>
    <row r="65" spans="1:12" ht="12.75" customHeight="1" x14ac:dyDescent="0.2">
      <c r="B65" s="18" t="s">
        <v>84</v>
      </c>
      <c r="C65" s="18"/>
      <c r="D65" s="18"/>
      <c r="E65" s="29"/>
      <c r="F65" s="19">
        <f>SUM(F9:F64)</f>
        <v>12444.554537499998</v>
      </c>
      <c r="G65" s="20">
        <f>SUM(G9:G64)</f>
        <v>0.97510000000000008</v>
      </c>
      <c r="H65" s="21"/>
      <c r="I65" s="49"/>
    </row>
    <row r="66" spans="1:12" ht="12.75" customHeight="1" x14ac:dyDescent="0.2">
      <c r="F66" s="13"/>
      <c r="G66" s="14"/>
      <c r="H66" s="15"/>
    </row>
    <row r="67" spans="1:12" ht="12.75" customHeight="1" x14ac:dyDescent="0.2">
      <c r="B67" s="16" t="s">
        <v>297</v>
      </c>
      <c r="C67" s="16"/>
      <c r="F67" s="13"/>
      <c r="G67" s="14"/>
      <c r="H67" s="15"/>
      <c r="J67" s="65"/>
    </row>
    <row r="68" spans="1:12" ht="12.75" customHeight="1" x14ac:dyDescent="0.2">
      <c r="A68">
        <f>+MAX($A$8:A67)+1</f>
        <v>57</v>
      </c>
      <c r="B68" s="1" t="s">
        <v>398</v>
      </c>
      <c r="C68" s="121" t="s">
        <v>616</v>
      </c>
      <c r="D68" t="s">
        <v>25</v>
      </c>
      <c r="E68" s="28">
        <v>50000</v>
      </c>
      <c r="F68" s="13">
        <v>0</v>
      </c>
      <c r="G68" s="108" t="s">
        <v>516</v>
      </c>
      <c r="H68" s="15"/>
    </row>
    <row r="69" spans="1:12" ht="12.75" customHeight="1" x14ac:dyDescent="0.2">
      <c r="A69">
        <f>+MAX($A$8:A68)+1</f>
        <v>58</v>
      </c>
      <c r="B69" s="65" t="s">
        <v>401</v>
      </c>
      <c r="C69" s="121" t="s">
        <v>616</v>
      </c>
      <c r="D69" t="s">
        <v>23</v>
      </c>
      <c r="E69" s="28">
        <v>20</v>
      </c>
      <c r="F69" s="13">
        <v>0</v>
      </c>
      <c r="G69" s="108" t="s">
        <v>516</v>
      </c>
      <c r="H69" s="15"/>
    </row>
    <row r="70" spans="1:12" ht="12.75" customHeight="1" x14ac:dyDescent="0.2">
      <c r="A70">
        <f>+MAX($A$8:A69)+1</f>
        <v>59</v>
      </c>
      <c r="B70" s="65" t="s">
        <v>399</v>
      </c>
      <c r="C70" t="s">
        <v>137</v>
      </c>
      <c r="D70" t="s">
        <v>33</v>
      </c>
      <c r="E70" s="28">
        <v>50000</v>
      </c>
      <c r="F70" s="13">
        <v>0</v>
      </c>
      <c r="G70" s="108" t="s">
        <v>516</v>
      </c>
      <c r="H70" s="15"/>
    </row>
    <row r="71" spans="1:12" ht="12.75" customHeight="1" x14ac:dyDescent="0.2">
      <c r="A71">
        <f>+MAX($A$8:A70)+1</f>
        <v>60</v>
      </c>
      <c r="B71" s="65" t="s">
        <v>400</v>
      </c>
      <c r="C71" s="121" t="s">
        <v>616</v>
      </c>
      <c r="D71" t="s">
        <v>31</v>
      </c>
      <c r="E71" s="28">
        <v>900</v>
      </c>
      <c r="F71" s="13">
        <v>0</v>
      </c>
      <c r="G71" s="108" t="s">
        <v>516</v>
      </c>
      <c r="H71" s="15"/>
    </row>
    <row r="72" spans="1:12" ht="12.75" customHeight="1" x14ac:dyDescent="0.2">
      <c r="A72">
        <f>+MAX($A$8:A71)+1</f>
        <v>61</v>
      </c>
      <c r="B72" s="65" t="s">
        <v>402</v>
      </c>
      <c r="C72" s="121" t="s">
        <v>616</v>
      </c>
      <c r="D72" t="s">
        <v>27</v>
      </c>
      <c r="E72" s="28">
        <v>200000</v>
      </c>
      <c r="F72" s="13">
        <v>0</v>
      </c>
      <c r="G72" s="108" t="s">
        <v>516</v>
      </c>
      <c r="H72" s="15"/>
    </row>
    <row r="73" spans="1:12" ht="12.75" customHeight="1" x14ac:dyDescent="0.2">
      <c r="B73" s="18" t="s">
        <v>84</v>
      </c>
      <c r="C73" s="18"/>
      <c r="D73" s="18"/>
      <c r="E73" s="29"/>
      <c r="F73" s="19">
        <f>SUM(F68:F72)</f>
        <v>0</v>
      </c>
      <c r="G73" s="51" t="s">
        <v>516</v>
      </c>
      <c r="H73" s="21"/>
      <c r="I73" s="49"/>
    </row>
    <row r="74" spans="1:12" ht="12.75" customHeight="1" x14ac:dyDescent="0.2">
      <c r="F74" s="13"/>
      <c r="G74" s="14"/>
      <c r="H74" s="15"/>
      <c r="J74" s="46"/>
      <c r="K74" s="48"/>
    </row>
    <row r="75" spans="1:12" ht="12.75" customHeight="1" x14ac:dyDescent="0.2">
      <c r="B75" s="16" t="s">
        <v>91</v>
      </c>
      <c r="C75" s="16"/>
      <c r="F75" s="13"/>
      <c r="G75" s="14"/>
      <c r="H75" s="15"/>
      <c r="I75" s="73"/>
    </row>
    <row r="76" spans="1:12" ht="12.75" customHeight="1" x14ac:dyDescent="0.2">
      <c r="A76">
        <f>+MAX($A$8:A75)+1</f>
        <v>62</v>
      </c>
      <c r="B76" t="s">
        <v>430</v>
      </c>
      <c r="C76" t="s">
        <v>341</v>
      </c>
      <c r="D76" t="s">
        <v>311</v>
      </c>
      <c r="E76" s="28">
        <v>1317.8731</v>
      </c>
      <c r="F76" s="13">
        <v>22.2113212</v>
      </c>
      <c r="G76" s="14">
        <f>+ROUND(F76/VLOOKUP("Grand Total",$B$4:$F$290,5,0),4)</f>
        <v>1.6999999999999999E-3</v>
      </c>
      <c r="H76" s="15" t="s">
        <v>357</v>
      </c>
      <c r="I76" s="73"/>
    </row>
    <row r="77" spans="1:12" ht="12.75" customHeight="1" x14ac:dyDescent="0.2">
      <c r="B77" s="18" t="s">
        <v>84</v>
      </c>
      <c r="C77" s="18"/>
      <c r="D77" s="18"/>
      <c r="E77" s="29"/>
      <c r="F77" s="19">
        <f>SUM(F76)</f>
        <v>22.2113212</v>
      </c>
      <c r="G77" s="20">
        <f>SUM(G76)</f>
        <v>1.6999999999999999E-3</v>
      </c>
      <c r="H77" s="21"/>
      <c r="I77" s="35"/>
    </row>
    <row r="78" spans="1:12" s="46" customFormat="1" ht="12.75" customHeight="1" x14ac:dyDescent="0.2">
      <c r="B78" s="67"/>
      <c r="C78" s="67"/>
      <c r="D78" s="67"/>
      <c r="E78" s="68"/>
      <c r="F78" s="69"/>
      <c r="G78" s="70"/>
      <c r="H78" s="35"/>
      <c r="I78" s="35"/>
      <c r="K78" s="48"/>
      <c r="L78"/>
    </row>
    <row r="79" spans="1:12" ht="12.75" customHeight="1" x14ac:dyDescent="0.2">
      <c r="A79" s="95" t="s">
        <v>356</v>
      </c>
      <c r="B79" s="16" t="s">
        <v>92</v>
      </c>
      <c r="C79" s="16"/>
      <c r="F79" s="13">
        <v>345.59634240000003</v>
      </c>
      <c r="G79" s="14">
        <f>+ROUND(F79/VLOOKUP("Grand Total",$B$4:$F$299,5,0),4)</f>
        <v>2.7099999999999999E-2</v>
      </c>
      <c r="H79" s="15">
        <v>43193</v>
      </c>
      <c r="L79" s="46"/>
    </row>
    <row r="80" spans="1:12" ht="12.75" customHeight="1" x14ac:dyDescent="0.2">
      <c r="B80" s="18" t="s">
        <v>84</v>
      </c>
      <c r="C80" s="18"/>
      <c r="D80" s="18"/>
      <c r="E80" s="29"/>
      <c r="F80" s="19">
        <f>SUM(F79)</f>
        <v>345.59634240000003</v>
      </c>
      <c r="G80" s="20">
        <f>SUM(G79)</f>
        <v>2.7099999999999999E-2</v>
      </c>
      <c r="H80" s="21"/>
      <c r="I80" s="49"/>
    </row>
    <row r="81" spans="2:9" ht="12.75" customHeight="1" x14ac:dyDescent="0.2">
      <c r="F81" s="13"/>
      <c r="G81" s="14"/>
      <c r="H81" s="15"/>
    </row>
    <row r="82" spans="2:9" ht="12.75" customHeight="1" x14ac:dyDescent="0.2">
      <c r="B82" s="16" t="s">
        <v>93</v>
      </c>
      <c r="C82" s="16"/>
      <c r="F82" s="13"/>
      <c r="G82" s="14"/>
      <c r="H82" s="15"/>
    </row>
    <row r="83" spans="2:9" ht="12.75" customHeight="1" x14ac:dyDescent="0.2">
      <c r="B83" s="16" t="s">
        <v>94</v>
      </c>
      <c r="C83" s="16"/>
      <c r="F83" s="13">
        <v>-51.458865499997046</v>
      </c>
      <c r="G83" s="122">
        <f>+ROUND(F83/VLOOKUP("Grand Total",$B$4:$F$299,5,0),4)+0.01%</f>
        <v>-3.9000000000000003E-3</v>
      </c>
      <c r="H83" s="15"/>
    </row>
    <row r="84" spans="2:9" ht="12.75" customHeight="1" x14ac:dyDescent="0.2">
      <c r="B84" s="18" t="s">
        <v>84</v>
      </c>
      <c r="C84" s="18"/>
      <c r="D84" s="18"/>
      <c r="E84" s="29"/>
      <c r="F84" s="19">
        <f>SUM(F83)</f>
        <v>-51.458865499997046</v>
      </c>
      <c r="G84" s="123">
        <f>SUM(G83)</f>
        <v>-3.9000000000000003E-3</v>
      </c>
      <c r="H84" s="21"/>
      <c r="I84" s="49"/>
    </row>
    <row r="85" spans="2:9" ht="12.75" customHeight="1" x14ac:dyDescent="0.2">
      <c r="B85" s="22" t="s">
        <v>95</v>
      </c>
      <c r="C85" s="22"/>
      <c r="D85" s="22"/>
      <c r="E85" s="30"/>
      <c r="F85" s="23">
        <f>+SUMIF($B$5:B84,"Total",$F$5:F84)</f>
        <v>12760.903335600002</v>
      </c>
      <c r="G85" s="24">
        <f>+SUMIF($B$5:B84,"Total",$G$5:G84)</f>
        <v>1</v>
      </c>
      <c r="H85" s="25"/>
      <c r="I85" s="49"/>
    </row>
    <row r="86" spans="2:9" ht="12.75" customHeight="1" x14ac:dyDescent="0.2">
      <c r="F86" s="13"/>
    </row>
    <row r="87" spans="2:9" ht="12.75" customHeight="1" x14ac:dyDescent="0.2">
      <c r="B87" s="16" t="s">
        <v>182</v>
      </c>
    </row>
    <row r="88" spans="2:9" ht="12.75" customHeight="1" x14ac:dyDescent="0.2">
      <c r="B88" s="16" t="s">
        <v>183</v>
      </c>
      <c r="C88" s="16"/>
    </row>
    <row r="89" spans="2:9" ht="12.75" customHeight="1" x14ac:dyDescent="0.2">
      <c r="B89" s="53" t="s">
        <v>300</v>
      </c>
      <c r="C89" s="16"/>
    </row>
    <row r="90" spans="2:9" ht="12.75" customHeight="1" x14ac:dyDescent="0.2">
      <c r="B90" s="16" t="s">
        <v>184</v>
      </c>
      <c r="C90" s="16"/>
    </row>
    <row r="91" spans="2:9" ht="12.75" customHeight="1" x14ac:dyDescent="0.2">
      <c r="B91" s="16" t="s">
        <v>185</v>
      </c>
      <c r="C91" s="16"/>
    </row>
    <row r="92" spans="2:9" ht="12.75" customHeight="1" x14ac:dyDescent="0.2">
      <c r="B92" s="16"/>
    </row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sheetProtection password="EDB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361</v>
      </c>
      <c r="B1" s="126" t="s">
        <v>139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t="s">
        <v>263</v>
      </c>
      <c r="C9" t="s">
        <v>140</v>
      </c>
      <c r="D9" t="s">
        <v>20</v>
      </c>
      <c r="E9" s="28">
        <v>15516</v>
      </c>
      <c r="F9" s="13">
        <v>4402.3003739999995</v>
      </c>
      <c r="G9" s="14">
        <f t="shared" ref="G9:G72" si="0">+ROUND(F9/VLOOKUP("Grand Total",$B$4:$F$302,5,0),4)</f>
        <v>2.6599999999999999E-2</v>
      </c>
      <c r="H9" s="15"/>
      <c r="J9" s="14" t="s">
        <v>10</v>
      </c>
      <c r="K9" s="48">
        <f t="shared" ref="K9:K37" si="1">SUMIFS($G$5:$G$334,$D$5:$D$334,J9)</f>
        <v>0.11649999999999999</v>
      </c>
    </row>
    <row r="10" spans="1:16" s="65" customFormat="1" ht="12.75" customHeight="1" x14ac:dyDescent="0.2">
      <c r="A10" s="65">
        <f>+MAX($A$8:A9)+1</f>
        <v>2</v>
      </c>
      <c r="B10" s="65" t="s">
        <v>198</v>
      </c>
      <c r="C10" s="65" t="s">
        <v>47</v>
      </c>
      <c r="D10" s="65" t="s">
        <v>25</v>
      </c>
      <c r="E10" s="85">
        <v>78900</v>
      </c>
      <c r="F10" s="86">
        <v>3921.8033999999998</v>
      </c>
      <c r="G10" s="14">
        <f t="shared" si="0"/>
        <v>2.3699999999999999E-2</v>
      </c>
      <c r="H10" s="91"/>
      <c r="I10" s="73"/>
      <c r="J10" s="14" t="s">
        <v>40</v>
      </c>
      <c r="K10" s="48">
        <f t="shared" si="1"/>
        <v>8.9799999999999991E-2</v>
      </c>
    </row>
    <row r="11" spans="1:16" ht="12.75" customHeight="1" x14ac:dyDescent="0.2">
      <c r="A11">
        <f>+MAX($A$8:A10)+1</f>
        <v>3</v>
      </c>
      <c r="B11" t="s">
        <v>236</v>
      </c>
      <c r="C11" t="s">
        <v>102</v>
      </c>
      <c r="D11" t="s">
        <v>10</v>
      </c>
      <c r="E11" s="28">
        <v>183900</v>
      </c>
      <c r="F11" s="13">
        <v>3304.22325</v>
      </c>
      <c r="G11" s="14">
        <f t="shared" si="0"/>
        <v>1.9900000000000001E-2</v>
      </c>
      <c r="H11" s="15"/>
      <c r="J11" s="14" t="s">
        <v>23</v>
      </c>
      <c r="K11" s="48">
        <f t="shared" si="1"/>
        <v>6.6299999999999998E-2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274</v>
      </c>
      <c r="C12" t="s">
        <v>153</v>
      </c>
      <c r="D12" t="s">
        <v>40</v>
      </c>
      <c r="E12" s="28">
        <v>213900</v>
      </c>
      <c r="F12" s="13">
        <v>3083.1545999999998</v>
      </c>
      <c r="G12" s="14">
        <f t="shared" si="0"/>
        <v>1.8599999999999998E-2</v>
      </c>
      <c r="H12" s="15"/>
      <c r="J12" s="14" t="s">
        <v>131</v>
      </c>
      <c r="K12" s="48">
        <f t="shared" si="1"/>
        <v>6.3E-2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187</v>
      </c>
      <c r="C13" t="s">
        <v>13</v>
      </c>
      <c r="D13" t="s">
        <v>10</v>
      </c>
      <c r="E13" s="28">
        <v>135600</v>
      </c>
      <c r="F13" s="13">
        <v>2557.5515999999998</v>
      </c>
      <c r="G13" s="14">
        <f t="shared" si="0"/>
        <v>1.54E-2</v>
      </c>
      <c r="H13" s="15"/>
      <c r="J13" s="14" t="s">
        <v>25</v>
      </c>
      <c r="K13" s="48">
        <f t="shared" si="1"/>
        <v>5.3899999999999997E-2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266</v>
      </c>
      <c r="C14" t="s">
        <v>143</v>
      </c>
      <c r="D14" t="s">
        <v>37</v>
      </c>
      <c r="E14" s="28">
        <v>3510</v>
      </c>
      <c r="F14" s="13">
        <v>2545.2150750000001</v>
      </c>
      <c r="G14" s="14">
        <f t="shared" si="0"/>
        <v>1.54E-2</v>
      </c>
      <c r="H14" s="15"/>
      <c r="J14" s="14" t="s">
        <v>37</v>
      </c>
      <c r="K14" s="48">
        <f t="shared" si="1"/>
        <v>5.3800000000000001E-2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265</v>
      </c>
      <c r="C15" t="s">
        <v>350</v>
      </c>
      <c r="D15" t="s">
        <v>23</v>
      </c>
      <c r="E15" s="28">
        <v>141900</v>
      </c>
      <c r="F15" s="13">
        <v>2508.1534499999998</v>
      </c>
      <c r="G15" s="14">
        <f t="shared" si="0"/>
        <v>1.5100000000000001E-2</v>
      </c>
      <c r="H15" s="15"/>
      <c r="J15" s="14" t="s">
        <v>14</v>
      </c>
      <c r="K15" s="48">
        <f t="shared" si="1"/>
        <v>5.3100000000000008E-2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262</v>
      </c>
      <c r="C16" t="s">
        <v>81</v>
      </c>
      <c r="D16" t="s">
        <v>14</v>
      </c>
      <c r="E16" s="28">
        <v>357900</v>
      </c>
      <c r="F16" s="13">
        <v>2486.8681499999998</v>
      </c>
      <c r="G16" s="14">
        <f t="shared" si="0"/>
        <v>1.4999999999999999E-2</v>
      </c>
      <c r="H16" s="15"/>
      <c r="J16" s="14" t="s">
        <v>141</v>
      </c>
      <c r="K16" s="48">
        <f t="shared" si="1"/>
        <v>5.0500000000000003E-2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305</v>
      </c>
      <c r="C17" t="s">
        <v>479</v>
      </c>
      <c r="D17" t="s">
        <v>131</v>
      </c>
      <c r="E17" s="28">
        <v>318900</v>
      </c>
      <c r="F17" s="13">
        <v>2464.6186499999999</v>
      </c>
      <c r="G17" s="14">
        <f t="shared" si="0"/>
        <v>1.49E-2</v>
      </c>
      <c r="H17" s="15"/>
      <c r="J17" s="14" t="s">
        <v>18</v>
      </c>
      <c r="K17" s="48">
        <f t="shared" si="1"/>
        <v>4.7000000000000007E-2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278</v>
      </c>
      <c r="C18" t="s">
        <v>173</v>
      </c>
      <c r="D18" t="s">
        <v>46</v>
      </c>
      <c r="E18" s="28">
        <v>1054890</v>
      </c>
      <c r="F18" s="13">
        <v>2436.2684549999999</v>
      </c>
      <c r="G18" s="14">
        <f t="shared" si="0"/>
        <v>1.47E-2</v>
      </c>
      <c r="H18" s="15"/>
      <c r="J18" s="14" t="s">
        <v>27</v>
      </c>
      <c r="K18" s="48">
        <f t="shared" si="1"/>
        <v>3.7899999999999996E-2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190</v>
      </c>
      <c r="C19" t="s">
        <v>11</v>
      </c>
      <c r="D19" t="s">
        <v>10</v>
      </c>
      <c r="E19" s="28">
        <v>864090</v>
      </c>
      <c r="F19" s="13">
        <v>2405.1945150000001</v>
      </c>
      <c r="G19" s="14">
        <f t="shared" si="0"/>
        <v>1.4500000000000001E-2</v>
      </c>
      <c r="H19" s="15"/>
      <c r="J19" s="14" t="s">
        <v>46</v>
      </c>
      <c r="K19" s="48">
        <f t="shared" si="1"/>
        <v>3.7200000000000004E-2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268</v>
      </c>
      <c r="C20" t="s">
        <v>147</v>
      </c>
      <c r="D20" t="s">
        <v>27</v>
      </c>
      <c r="E20" s="28">
        <v>378900</v>
      </c>
      <c r="F20" s="13">
        <v>2352.5900999999999</v>
      </c>
      <c r="G20" s="14">
        <f t="shared" si="0"/>
        <v>1.4200000000000001E-2</v>
      </c>
      <c r="H20" s="15"/>
      <c r="J20" s="14" t="s">
        <v>22</v>
      </c>
      <c r="K20" s="48">
        <f t="shared" si="1"/>
        <v>3.3600000000000005E-2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222</v>
      </c>
      <c r="C21" t="s">
        <v>554</v>
      </c>
      <c r="D21" t="s">
        <v>46</v>
      </c>
      <c r="E21" s="28">
        <v>840900</v>
      </c>
      <c r="F21" s="13">
        <v>2349.8950500000001</v>
      </c>
      <c r="G21" s="14">
        <f t="shared" si="0"/>
        <v>1.4200000000000001E-2</v>
      </c>
      <c r="H21" s="15"/>
      <c r="J21" s="14" t="s">
        <v>20</v>
      </c>
      <c r="K21" s="48">
        <f t="shared" si="1"/>
        <v>3.1899999999999998E-2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219</v>
      </c>
      <c r="C22" t="s">
        <v>65</v>
      </c>
      <c r="D22" t="s">
        <v>27</v>
      </c>
      <c r="E22" s="28">
        <v>600900</v>
      </c>
      <c r="F22" s="13">
        <v>2342.0077500000002</v>
      </c>
      <c r="G22" s="14">
        <f t="shared" si="0"/>
        <v>1.41E-2</v>
      </c>
      <c r="H22" s="15"/>
      <c r="J22" s="14" t="s">
        <v>36</v>
      </c>
      <c r="K22" s="48">
        <f t="shared" si="1"/>
        <v>2.9899999999999996E-2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308</v>
      </c>
      <c r="C23" t="s">
        <v>309</v>
      </c>
      <c r="D23" t="s">
        <v>141</v>
      </c>
      <c r="E23" s="28">
        <v>414000</v>
      </c>
      <c r="F23" s="13">
        <v>2335.3739999999998</v>
      </c>
      <c r="G23" s="14">
        <f t="shared" si="0"/>
        <v>1.41E-2</v>
      </c>
      <c r="H23" s="15"/>
      <c r="J23" s="14" t="s">
        <v>42</v>
      </c>
      <c r="K23" s="48">
        <f t="shared" si="1"/>
        <v>2.8500000000000001E-2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503</v>
      </c>
      <c r="C24" t="s">
        <v>504</v>
      </c>
      <c r="D24" t="s">
        <v>505</v>
      </c>
      <c r="E24" s="28">
        <v>201900</v>
      </c>
      <c r="F24" s="13">
        <v>2265.0151500000002</v>
      </c>
      <c r="G24" s="14">
        <f t="shared" si="0"/>
        <v>1.37E-2</v>
      </c>
      <c r="H24" s="15"/>
      <c r="J24" s="14" t="s">
        <v>31</v>
      </c>
      <c r="K24" s="48">
        <f t="shared" si="1"/>
        <v>2.3599999999999999E-2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485</v>
      </c>
      <c r="C25" t="s">
        <v>486</v>
      </c>
      <c r="D25" t="s">
        <v>23</v>
      </c>
      <c r="E25" s="28">
        <v>486900</v>
      </c>
      <c r="F25" s="13">
        <v>2255.5642499999999</v>
      </c>
      <c r="G25" s="14">
        <f t="shared" si="0"/>
        <v>1.3599999999999999E-2</v>
      </c>
      <c r="H25" s="15"/>
      <c r="J25" s="14" t="s">
        <v>105</v>
      </c>
      <c r="K25" s="48">
        <f t="shared" si="1"/>
        <v>2.1000000000000001E-2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593</v>
      </c>
      <c r="C26" t="s">
        <v>125</v>
      </c>
      <c r="D26" t="s">
        <v>18</v>
      </c>
      <c r="E26" s="28">
        <v>13800</v>
      </c>
      <c r="F26" s="13">
        <v>2235.1100999999999</v>
      </c>
      <c r="G26" s="14">
        <f t="shared" si="0"/>
        <v>1.35E-2</v>
      </c>
      <c r="H26" s="15"/>
      <c r="J26" s="14" t="s">
        <v>29</v>
      </c>
      <c r="K26" s="48">
        <f t="shared" si="1"/>
        <v>2.0900000000000002E-2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188</v>
      </c>
      <c r="C27" t="s">
        <v>15</v>
      </c>
      <c r="D27" t="s">
        <v>14</v>
      </c>
      <c r="E27" s="28">
        <v>195767</v>
      </c>
      <c r="F27" s="13">
        <v>2215.6909059999998</v>
      </c>
      <c r="G27" s="14">
        <f t="shared" si="0"/>
        <v>1.34E-2</v>
      </c>
      <c r="H27" s="15"/>
      <c r="J27" s="14" t="s">
        <v>101</v>
      </c>
      <c r="K27" s="48">
        <f t="shared" si="1"/>
        <v>1.9200000000000002E-2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289</v>
      </c>
      <c r="C28" t="s">
        <v>174</v>
      </c>
      <c r="D28" t="s">
        <v>37</v>
      </c>
      <c r="E28" s="28">
        <v>969900</v>
      </c>
      <c r="F28" s="13">
        <v>2161.4221499999999</v>
      </c>
      <c r="G28" s="14">
        <f t="shared" si="0"/>
        <v>1.2999999999999999E-2</v>
      </c>
      <c r="H28" s="15"/>
      <c r="J28" s="14" t="s">
        <v>104</v>
      </c>
      <c r="K28" s="48">
        <f t="shared" si="1"/>
        <v>1.7100000000000001E-2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506</v>
      </c>
      <c r="C29" t="s">
        <v>525</v>
      </c>
      <c r="D29" t="s">
        <v>36</v>
      </c>
      <c r="E29" s="28">
        <v>168108</v>
      </c>
      <c r="F29" s="13">
        <v>2093.1127080000001</v>
      </c>
      <c r="G29" s="14">
        <f t="shared" si="0"/>
        <v>1.26E-2</v>
      </c>
      <c r="H29" s="15"/>
      <c r="J29" s="14" t="s">
        <v>505</v>
      </c>
      <c r="K29" s="48">
        <f t="shared" si="1"/>
        <v>1.37E-2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475</v>
      </c>
      <c r="C30" t="s">
        <v>476</v>
      </c>
      <c r="D30" t="s">
        <v>14</v>
      </c>
      <c r="E30" s="28">
        <v>168000</v>
      </c>
      <c r="F30" s="13">
        <v>2075.808</v>
      </c>
      <c r="G30" s="14">
        <f t="shared" si="0"/>
        <v>1.2500000000000001E-2</v>
      </c>
      <c r="H30" s="15"/>
      <c r="J30" s="14" t="s">
        <v>130</v>
      </c>
      <c r="K30" s="48">
        <f t="shared" si="1"/>
        <v>1.03E-2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257</v>
      </c>
      <c r="C31" t="s">
        <v>132</v>
      </c>
      <c r="D31" t="s">
        <v>18</v>
      </c>
      <c r="E31" s="28">
        <v>72108</v>
      </c>
      <c r="F31" s="13">
        <v>2072.4920819999998</v>
      </c>
      <c r="G31" s="14">
        <f t="shared" si="0"/>
        <v>1.2500000000000001E-2</v>
      </c>
      <c r="H31" s="15"/>
      <c r="J31" s="14" t="s">
        <v>145</v>
      </c>
      <c r="K31" s="48">
        <f t="shared" si="1"/>
        <v>1.0200000000000001E-2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224</v>
      </c>
      <c r="C32" t="s">
        <v>79</v>
      </c>
      <c r="D32" t="s">
        <v>29</v>
      </c>
      <c r="E32" s="28">
        <v>597900</v>
      </c>
      <c r="F32" s="13">
        <v>2061.85815</v>
      </c>
      <c r="G32" s="14">
        <f t="shared" si="0"/>
        <v>1.24E-2</v>
      </c>
      <c r="H32" s="15"/>
      <c r="J32" s="14" t="s">
        <v>35</v>
      </c>
      <c r="K32" s="48">
        <f t="shared" si="1"/>
        <v>9.4999999999999998E-3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276</v>
      </c>
      <c r="C33" t="s">
        <v>277</v>
      </c>
      <c r="D33" t="s">
        <v>40</v>
      </c>
      <c r="E33" s="28">
        <v>308700</v>
      </c>
      <c r="F33" s="13">
        <v>2036.64825</v>
      </c>
      <c r="G33" s="14">
        <f t="shared" si="0"/>
        <v>1.23E-2</v>
      </c>
      <c r="H33" s="15"/>
      <c r="J33" s="14" t="s">
        <v>333</v>
      </c>
      <c r="K33" s="48">
        <f t="shared" si="1"/>
        <v>9.1999999999999998E-3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211</v>
      </c>
      <c r="C34" t="s">
        <v>19</v>
      </c>
      <c r="D34" t="s">
        <v>14</v>
      </c>
      <c r="E34" s="28">
        <v>70800</v>
      </c>
      <c r="F34" s="13">
        <v>2017.1982</v>
      </c>
      <c r="G34" s="14">
        <f t="shared" si="0"/>
        <v>1.2200000000000001E-2</v>
      </c>
      <c r="H34" s="15"/>
      <c r="J34" s="14" t="s">
        <v>44</v>
      </c>
      <c r="K34" s="48">
        <f t="shared" si="1"/>
        <v>8.6999999999999994E-3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207</v>
      </c>
      <c r="C35" t="s">
        <v>97</v>
      </c>
      <c r="D35" t="s">
        <v>10</v>
      </c>
      <c r="E35" s="28">
        <v>189900</v>
      </c>
      <c r="F35" s="13">
        <v>1989.7722000000001</v>
      </c>
      <c r="G35" s="14">
        <f t="shared" si="0"/>
        <v>1.2E-2</v>
      </c>
      <c r="H35" s="15"/>
      <c r="J35" s="14" t="s">
        <v>314</v>
      </c>
      <c r="K35" s="48">
        <f t="shared" si="1"/>
        <v>8.0999999999999996E-3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335</v>
      </c>
      <c r="C36" t="s">
        <v>152</v>
      </c>
      <c r="D36" t="s">
        <v>23</v>
      </c>
      <c r="E36" s="28">
        <v>178890</v>
      </c>
      <c r="F36" s="13">
        <v>1962.1549649999999</v>
      </c>
      <c r="G36" s="14">
        <f t="shared" si="0"/>
        <v>1.18E-2</v>
      </c>
      <c r="H36" s="15"/>
      <c r="J36" s="14" t="s">
        <v>459</v>
      </c>
      <c r="K36" s="48">
        <f t="shared" si="1"/>
        <v>7.0000000000000001E-3</v>
      </c>
      <c r="L36" s="54">
        <f>+SUM($K$9:K33)</f>
        <v>0.9476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261</v>
      </c>
      <c r="C37" t="s">
        <v>136</v>
      </c>
      <c r="D37" t="s">
        <v>131</v>
      </c>
      <c r="E37" s="28">
        <v>288000</v>
      </c>
      <c r="F37" s="13">
        <v>1950.192</v>
      </c>
      <c r="G37" s="14">
        <f t="shared" si="0"/>
        <v>1.18E-2</v>
      </c>
      <c r="H37" s="15"/>
      <c r="J37" s="14" t="s">
        <v>311</v>
      </c>
      <c r="K37" s="48">
        <f t="shared" si="1"/>
        <v>4.2000000000000006E-3</v>
      </c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264</v>
      </c>
      <c r="C38" t="s">
        <v>142</v>
      </c>
      <c r="D38" t="s">
        <v>22</v>
      </c>
      <c r="E38" s="28">
        <v>156000</v>
      </c>
      <c r="F38" s="13">
        <v>1949.61</v>
      </c>
      <c r="G38" s="14">
        <f t="shared" si="0"/>
        <v>1.18E-2</v>
      </c>
      <c r="H38" s="15"/>
      <c r="J38" s="14" t="s">
        <v>63</v>
      </c>
      <c r="K38" s="48">
        <f>+SUMIFS($G$5:$G$997,$B$5:$B$997,"CBLO / Reverse Repo Investments")+SUMIFS($G$5:$G$997,$B$5:$B$997,"Net Receivable/Payable")</f>
        <v>2.4399999999999998E-2</v>
      </c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221</v>
      </c>
      <c r="C39" t="s">
        <v>76</v>
      </c>
      <c r="D39" t="s">
        <v>37</v>
      </c>
      <c r="E39" s="28">
        <v>609090</v>
      </c>
      <c r="F39" s="13">
        <v>1893.965355</v>
      </c>
      <c r="G39" s="14">
        <f t="shared" si="0"/>
        <v>1.14E-2</v>
      </c>
      <c r="H39" s="15"/>
    </row>
    <row r="40" spans="1:16" ht="12.75" customHeight="1" x14ac:dyDescent="0.2">
      <c r="A40">
        <f>+MAX($A$8:A39)+1</f>
        <v>32</v>
      </c>
      <c r="B40" t="s">
        <v>281</v>
      </c>
      <c r="C40" t="s">
        <v>146</v>
      </c>
      <c r="D40" t="s">
        <v>40</v>
      </c>
      <c r="E40" s="28">
        <v>279900</v>
      </c>
      <c r="F40" s="13">
        <v>1888.90515</v>
      </c>
      <c r="G40" s="14">
        <f t="shared" si="0"/>
        <v>1.14E-2</v>
      </c>
      <c r="H40" s="15"/>
    </row>
    <row r="41" spans="1:16" ht="12.75" customHeight="1" x14ac:dyDescent="0.2">
      <c r="A41">
        <f>+MAX($A$8:A40)+1</f>
        <v>33</v>
      </c>
      <c r="B41" t="s">
        <v>226</v>
      </c>
      <c r="C41" t="s">
        <v>77</v>
      </c>
      <c r="D41" t="s">
        <v>25</v>
      </c>
      <c r="E41" s="28">
        <v>59808</v>
      </c>
      <c r="F41" s="13">
        <v>1871.7810719999998</v>
      </c>
      <c r="G41" s="14">
        <f t="shared" si="0"/>
        <v>1.1299999999999999E-2</v>
      </c>
      <c r="H41" s="15"/>
    </row>
    <row r="42" spans="1:16" ht="12.75" customHeight="1" x14ac:dyDescent="0.2">
      <c r="A42">
        <f>+MAX($A$8:A41)+1</f>
        <v>34</v>
      </c>
      <c r="B42" t="s">
        <v>210</v>
      </c>
      <c r="C42" t="s">
        <v>60</v>
      </c>
      <c r="D42" t="s">
        <v>22</v>
      </c>
      <c r="E42" s="28">
        <v>327900</v>
      </c>
      <c r="F42" s="13">
        <v>1829.1901499999999</v>
      </c>
      <c r="G42" s="14">
        <f t="shared" si="0"/>
        <v>1.0999999999999999E-2</v>
      </c>
      <c r="H42" s="15"/>
    </row>
    <row r="43" spans="1:16" ht="12.75" customHeight="1" x14ac:dyDescent="0.2">
      <c r="A43">
        <f>+MAX($A$8:A42)+1</f>
        <v>35</v>
      </c>
      <c r="B43" t="s">
        <v>428</v>
      </c>
      <c r="C43" t="s">
        <v>429</v>
      </c>
      <c r="D43" t="s">
        <v>131</v>
      </c>
      <c r="E43" s="28">
        <v>1236000</v>
      </c>
      <c r="F43" s="13">
        <v>1806.414</v>
      </c>
      <c r="G43" s="14">
        <f t="shared" si="0"/>
        <v>1.09E-2</v>
      </c>
      <c r="H43" s="15"/>
    </row>
    <row r="44" spans="1:16" ht="12.75" customHeight="1" x14ac:dyDescent="0.2">
      <c r="A44">
        <f>+MAX($A$8:A43)+1</f>
        <v>36</v>
      </c>
      <c r="B44" t="s">
        <v>16</v>
      </c>
      <c r="C44" t="s">
        <v>17</v>
      </c>
      <c r="D44" t="s">
        <v>10</v>
      </c>
      <c r="E44" s="28">
        <v>717900</v>
      </c>
      <c r="F44" s="13">
        <v>1794.0320999999999</v>
      </c>
      <c r="G44" s="14">
        <f t="shared" si="0"/>
        <v>1.0800000000000001E-2</v>
      </c>
      <c r="H44" s="15"/>
    </row>
    <row r="45" spans="1:16" ht="12.75" customHeight="1" x14ac:dyDescent="0.2">
      <c r="A45">
        <f>+MAX($A$8:A44)+1</f>
        <v>37</v>
      </c>
      <c r="B45" t="s">
        <v>208</v>
      </c>
      <c r="C45" t="s">
        <v>58</v>
      </c>
      <c r="D45" t="s">
        <v>22</v>
      </c>
      <c r="E45" s="28">
        <v>237900</v>
      </c>
      <c r="F45" s="13">
        <v>1792.93335</v>
      </c>
      <c r="G45" s="14">
        <f t="shared" si="0"/>
        <v>1.0800000000000001E-2</v>
      </c>
      <c r="H45" s="15"/>
    </row>
    <row r="46" spans="1:16" ht="12.75" customHeight="1" x14ac:dyDescent="0.2">
      <c r="A46">
        <f>+MAX($A$8:A45)+1</f>
        <v>38</v>
      </c>
      <c r="B46" t="s">
        <v>205</v>
      </c>
      <c r="C46" t="s">
        <v>54</v>
      </c>
      <c r="D46" t="s">
        <v>42</v>
      </c>
      <c r="E46" s="28">
        <v>87708</v>
      </c>
      <c r="F46" s="13">
        <v>1714.822962</v>
      </c>
      <c r="G46" s="14">
        <f t="shared" si="0"/>
        <v>1.03E-2</v>
      </c>
      <c r="H46" s="15"/>
    </row>
    <row r="47" spans="1:16" ht="12.75" customHeight="1" x14ac:dyDescent="0.2">
      <c r="A47">
        <f>+MAX($A$8:A46)+1</f>
        <v>39</v>
      </c>
      <c r="B47" t="s">
        <v>275</v>
      </c>
      <c r="C47" t="s">
        <v>154</v>
      </c>
      <c r="D47" t="s">
        <v>130</v>
      </c>
      <c r="E47" s="28">
        <v>234000</v>
      </c>
      <c r="F47" s="13">
        <v>1708.7850000000001</v>
      </c>
      <c r="G47" s="14">
        <f t="shared" si="0"/>
        <v>1.03E-2</v>
      </c>
      <c r="H47" s="15"/>
    </row>
    <row r="48" spans="1:16" ht="12.75" customHeight="1" x14ac:dyDescent="0.2">
      <c r="A48">
        <f>+MAX($A$8:A47)+1</f>
        <v>40</v>
      </c>
      <c r="B48" t="s">
        <v>269</v>
      </c>
      <c r="C48" t="s">
        <v>150</v>
      </c>
      <c r="D48" t="s">
        <v>145</v>
      </c>
      <c r="E48" s="28">
        <v>138900</v>
      </c>
      <c r="F48" s="13">
        <v>1697.6358</v>
      </c>
      <c r="G48" s="14">
        <f t="shared" si="0"/>
        <v>1.0200000000000001E-2</v>
      </c>
      <c r="H48" s="15"/>
    </row>
    <row r="49" spans="1:8" ht="12.75" customHeight="1" x14ac:dyDescent="0.2">
      <c r="A49">
        <f>+MAX($A$8:A48)+1</f>
        <v>41</v>
      </c>
      <c r="B49" t="s">
        <v>526</v>
      </c>
      <c r="C49" t="s">
        <v>527</v>
      </c>
      <c r="D49" t="s">
        <v>40</v>
      </c>
      <c r="E49" s="28">
        <v>231708</v>
      </c>
      <c r="F49" s="13">
        <v>1682.4317880000001</v>
      </c>
      <c r="G49" s="14">
        <f t="shared" si="0"/>
        <v>1.0200000000000001E-2</v>
      </c>
      <c r="H49" s="15"/>
    </row>
    <row r="50" spans="1:8" ht="12.75" customHeight="1" x14ac:dyDescent="0.2">
      <c r="A50">
        <f>+MAX($A$8:A49)+1</f>
        <v>42</v>
      </c>
      <c r="B50" t="s">
        <v>290</v>
      </c>
      <c r="C50" t="s">
        <v>176</v>
      </c>
      <c r="D50" t="s">
        <v>101</v>
      </c>
      <c r="E50" s="28">
        <v>198108</v>
      </c>
      <c r="F50" s="13">
        <v>1681.1444880000001</v>
      </c>
      <c r="G50" s="14">
        <f t="shared" si="0"/>
        <v>1.01E-2</v>
      </c>
      <c r="H50" s="15"/>
    </row>
    <row r="51" spans="1:8" ht="12.75" customHeight="1" x14ac:dyDescent="0.2">
      <c r="A51">
        <f>+MAX($A$8:A50)+1</f>
        <v>43</v>
      </c>
      <c r="B51" t="s">
        <v>496</v>
      </c>
      <c r="C51" t="s">
        <v>497</v>
      </c>
      <c r="D51" t="s">
        <v>23</v>
      </c>
      <c r="E51" s="28">
        <v>32400</v>
      </c>
      <c r="F51" s="13">
        <v>1675.5822000000001</v>
      </c>
      <c r="G51" s="14">
        <f t="shared" si="0"/>
        <v>1.01E-2</v>
      </c>
      <c r="H51" s="15"/>
    </row>
    <row r="52" spans="1:8" ht="12.75" customHeight="1" x14ac:dyDescent="0.2">
      <c r="A52">
        <f>+MAX($A$8:A51)+1</f>
        <v>44</v>
      </c>
      <c r="B52" t="s">
        <v>196</v>
      </c>
      <c r="C52" t="s">
        <v>45</v>
      </c>
      <c r="D52" t="s">
        <v>25</v>
      </c>
      <c r="E52" s="28">
        <v>648000</v>
      </c>
      <c r="F52" s="13">
        <v>1655.64</v>
      </c>
      <c r="G52" s="14">
        <f t="shared" si="0"/>
        <v>0.01</v>
      </c>
      <c r="H52" s="15"/>
    </row>
    <row r="53" spans="1:8" ht="12.75" customHeight="1" x14ac:dyDescent="0.2">
      <c r="A53">
        <f>+MAX($A$8:A52)+1</f>
        <v>45</v>
      </c>
      <c r="B53" t="s">
        <v>555</v>
      </c>
      <c r="C53" t="s">
        <v>556</v>
      </c>
      <c r="D53" t="s">
        <v>105</v>
      </c>
      <c r="E53" s="28">
        <v>93900</v>
      </c>
      <c r="F53" s="13">
        <v>1645.8792000000001</v>
      </c>
      <c r="G53" s="14">
        <f t="shared" si="0"/>
        <v>9.9000000000000008E-3</v>
      </c>
      <c r="H53" s="15"/>
    </row>
    <row r="54" spans="1:8" ht="12.75" customHeight="1" x14ac:dyDescent="0.2">
      <c r="A54">
        <f>+MAX($A$8:A53)+1</f>
        <v>46</v>
      </c>
      <c r="B54" t="s">
        <v>665</v>
      </c>
      <c r="C54" t="s">
        <v>666</v>
      </c>
      <c r="D54" t="s">
        <v>10</v>
      </c>
      <c r="E54" s="28">
        <v>349987</v>
      </c>
      <c r="F54" s="13">
        <v>1641.6140235</v>
      </c>
      <c r="G54" s="14">
        <f t="shared" si="0"/>
        <v>9.9000000000000008E-3</v>
      </c>
      <c r="H54" s="15"/>
    </row>
    <row r="55" spans="1:8" ht="12.75" customHeight="1" x14ac:dyDescent="0.2">
      <c r="A55">
        <f>+MAX($A$8:A54)+1</f>
        <v>47</v>
      </c>
      <c r="B55" t="s">
        <v>267</v>
      </c>
      <c r="C55" t="s">
        <v>306</v>
      </c>
      <c r="D55" t="s">
        <v>40</v>
      </c>
      <c r="E55" s="28">
        <v>505080</v>
      </c>
      <c r="F55" s="13">
        <v>1638.4795200000001</v>
      </c>
      <c r="G55" s="14">
        <f t="shared" si="0"/>
        <v>9.9000000000000008E-3</v>
      </c>
      <c r="H55" s="15"/>
    </row>
    <row r="56" spans="1:8" ht="12.75" customHeight="1" x14ac:dyDescent="0.2">
      <c r="A56">
        <f>+MAX($A$8:A55)+1</f>
        <v>48</v>
      </c>
      <c r="B56" t="s">
        <v>271</v>
      </c>
      <c r="C56" t="s">
        <v>151</v>
      </c>
      <c r="D56" t="s">
        <v>141</v>
      </c>
      <c r="E56" s="28">
        <v>219900</v>
      </c>
      <c r="F56" s="13">
        <v>1605.16005</v>
      </c>
      <c r="G56" s="14">
        <f t="shared" si="0"/>
        <v>9.7000000000000003E-3</v>
      </c>
      <c r="H56" s="15"/>
    </row>
    <row r="57" spans="1:8" ht="12.75" customHeight="1" x14ac:dyDescent="0.2">
      <c r="A57">
        <f>+MAX($A$8:A56)+1</f>
        <v>49</v>
      </c>
      <c r="B57" t="s">
        <v>273</v>
      </c>
      <c r="C57" t="s">
        <v>148</v>
      </c>
      <c r="D57" t="s">
        <v>131</v>
      </c>
      <c r="E57" s="28">
        <v>61380</v>
      </c>
      <c r="F57" s="13">
        <v>1604.10492</v>
      </c>
      <c r="G57" s="14">
        <f t="shared" si="0"/>
        <v>9.7000000000000003E-3</v>
      </c>
      <c r="H57" s="15"/>
    </row>
    <row r="58" spans="1:8" ht="12.75" customHeight="1" x14ac:dyDescent="0.2">
      <c r="A58">
        <f>+MAX($A$8:A57)+1</f>
        <v>50</v>
      </c>
      <c r="B58" t="s">
        <v>552</v>
      </c>
      <c r="C58" t="s">
        <v>553</v>
      </c>
      <c r="D58" t="s">
        <v>105</v>
      </c>
      <c r="E58" s="28">
        <v>2277000</v>
      </c>
      <c r="F58" s="13">
        <v>1598.454</v>
      </c>
      <c r="G58" s="14">
        <f t="shared" si="0"/>
        <v>9.5999999999999992E-3</v>
      </c>
      <c r="H58" s="15"/>
    </row>
    <row r="59" spans="1:8" ht="12.75" customHeight="1" x14ac:dyDescent="0.2">
      <c r="A59">
        <f>+MAX($A$8:A58)+1</f>
        <v>51</v>
      </c>
      <c r="B59" t="s">
        <v>577</v>
      </c>
      <c r="C59" t="s">
        <v>578</v>
      </c>
      <c r="D59" t="s">
        <v>27</v>
      </c>
      <c r="E59" s="28">
        <v>1359000</v>
      </c>
      <c r="F59" s="13">
        <v>1597.5045</v>
      </c>
      <c r="G59" s="14">
        <f t="shared" si="0"/>
        <v>9.5999999999999992E-3</v>
      </c>
      <c r="H59" s="15"/>
    </row>
    <row r="60" spans="1:8" ht="12.75" customHeight="1" x14ac:dyDescent="0.2">
      <c r="A60">
        <f>+MAX($A$8:A59)+1</f>
        <v>52</v>
      </c>
      <c r="B60" t="s">
        <v>408</v>
      </c>
      <c r="C60" t="s">
        <v>409</v>
      </c>
      <c r="D60" t="s">
        <v>36</v>
      </c>
      <c r="E60" s="28">
        <v>1266000</v>
      </c>
      <c r="F60" s="13">
        <v>1584.3989999999999</v>
      </c>
      <c r="G60" s="14">
        <f t="shared" si="0"/>
        <v>9.5999999999999992E-3</v>
      </c>
      <c r="H60" s="15"/>
    </row>
    <row r="61" spans="1:8" ht="12.75" customHeight="1" x14ac:dyDescent="0.2">
      <c r="A61">
        <f>+MAX($A$8:A60)+1</f>
        <v>53</v>
      </c>
      <c r="B61" t="s">
        <v>606</v>
      </c>
      <c r="C61" t="s">
        <v>607</v>
      </c>
      <c r="D61" t="s">
        <v>35</v>
      </c>
      <c r="E61" s="28">
        <v>163080</v>
      </c>
      <c r="F61" s="13">
        <v>1575.67896</v>
      </c>
      <c r="G61" s="14">
        <f t="shared" si="0"/>
        <v>9.4999999999999998E-3</v>
      </c>
      <c r="H61" s="15"/>
    </row>
    <row r="62" spans="1:8" ht="12.75" customHeight="1" x14ac:dyDescent="0.2">
      <c r="A62">
        <f>+MAX($A$8:A61)+1</f>
        <v>54</v>
      </c>
      <c r="B62" t="s">
        <v>502</v>
      </c>
      <c r="C62" t="s">
        <v>279</v>
      </c>
      <c r="D62" t="s">
        <v>40</v>
      </c>
      <c r="E62" s="28">
        <v>30240</v>
      </c>
      <c r="F62" s="13">
        <v>1572.8277599999999</v>
      </c>
      <c r="G62" s="14">
        <f t="shared" si="0"/>
        <v>9.4999999999999998E-3</v>
      </c>
      <c r="H62" s="15"/>
    </row>
    <row r="63" spans="1:8" ht="12.75" customHeight="1" x14ac:dyDescent="0.2">
      <c r="A63">
        <f>+MAX($A$8:A62)+1</f>
        <v>55</v>
      </c>
      <c r="B63" t="s">
        <v>528</v>
      </c>
      <c r="C63" t="s">
        <v>529</v>
      </c>
      <c r="D63" t="s">
        <v>141</v>
      </c>
      <c r="E63" s="28">
        <v>47782</v>
      </c>
      <c r="F63" s="13">
        <v>1572.529511</v>
      </c>
      <c r="G63" s="14">
        <f t="shared" si="0"/>
        <v>9.4999999999999998E-3</v>
      </c>
      <c r="H63" s="15"/>
    </row>
    <row r="64" spans="1:8" ht="12.75" customHeight="1" x14ac:dyDescent="0.2">
      <c r="A64">
        <f>+MAX($A$8:A63)+1</f>
        <v>56</v>
      </c>
      <c r="B64" t="s">
        <v>635</v>
      </c>
      <c r="C64" t="s">
        <v>636</v>
      </c>
      <c r="D64" t="s">
        <v>333</v>
      </c>
      <c r="E64" s="28">
        <v>489000</v>
      </c>
      <c r="F64" s="13">
        <v>1527.636</v>
      </c>
      <c r="G64" s="14">
        <f t="shared" si="0"/>
        <v>9.1999999999999998E-3</v>
      </c>
      <c r="H64" s="15"/>
    </row>
    <row r="65" spans="1:8" ht="12.75" customHeight="1" x14ac:dyDescent="0.2">
      <c r="A65">
        <f>+MAX($A$8:A64)+1</f>
        <v>57</v>
      </c>
      <c r="B65" t="s">
        <v>270</v>
      </c>
      <c r="C65" t="s">
        <v>144</v>
      </c>
      <c r="D65" t="s">
        <v>40</v>
      </c>
      <c r="E65" s="28">
        <v>216900</v>
      </c>
      <c r="F65" s="13">
        <v>1524.0478499999999</v>
      </c>
      <c r="G65" s="14">
        <f t="shared" si="0"/>
        <v>9.1999999999999998E-3</v>
      </c>
      <c r="H65" s="15"/>
    </row>
    <row r="66" spans="1:8" ht="12.75" customHeight="1" x14ac:dyDescent="0.2">
      <c r="A66">
        <f>+MAX($A$8:A65)+1</f>
        <v>58</v>
      </c>
      <c r="B66" t="s">
        <v>218</v>
      </c>
      <c r="C66" t="s">
        <v>69</v>
      </c>
      <c r="D66" t="s">
        <v>10</v>
      </c>
      <c r="E66" s="28">
        <v>1689000</v>
      </c>
      <c r="F66" s="13">
        <v>1506.588</v>
      </c>
      <c r="G66" s="14">
        <f t="shared" si="0"/>
        <v>9.1000000000000004E-3</v>
      </c>
      <c r="H66" s="15"/>
    </row>
    <row r="67" spans="1:8" ht="12.75" customHeight="1" x14ac:dyDescent="0.2">
      <c r="A67">
        <f>+MAX($A$8:A66)+1</f>
        <v>59</v>
      </c>
      <c r="B67" t="s">
        <v>387</v>
      </c>
      <c r="C67" t="s">
        <v>388</v>
      </c>
      <c r="D67" t="s">
        <v>101</v>
      </c>
      <c r="E67" s="28">
        <v>123900</v>
      </c>
      <c r="F67" s="13">
        <v>1505.6947500000001</v>
      </c>
      <c r="G67" s="14">
        <f t="shared" si="0"/>
        <v>9.1000000000000004E-3</v>
      </c>
      <c r="H67" s="15"/>
    </row>
    <row r="68" spans="1:8" ht="12.75" customHeight="1" x14ac:dyDescent="0.2">
      <c r="A68">
        <f>+MAX($A$8:A67)+1</f>
        <v>60</v>
      </c>
      <c r="B68" t="s">
        <v>344</v>
      </c>
      <c r="C68" t="s">
        <v>345</v>
      </c>
      <c r="D68" t="s">
        <v>42</v>
      </c>
      <c r="E68" s="28">
        <v>450000</v>
      </c>
      <c r="F68" s="13">
        <v>1504.125</v>
      </c>
      <c r="G68" s="14">
        <f t="shared" si="0"/>
        <v>9.1000000000000004E-3</v>
      </c>
      <c r="H68" s="15"/>
    </row>
    <row r="69" spans="1:8" ht="12.75" customHeight="1" x14ac:dyDescent="0.2">
      <c r="A69">
        <f>+MAX($A$8:A68)+1</f>
        <v>61</v>
      </c>
      <c r="B69" t="s">
        <v>471</v>
      </c>
      <c r="C69" t="s">
        <v>472</v>
      </c>
      <c r="D69" t="s">
        <v>42</v>
      </c>
      <c r="E69" s="28">
        <v>167508</v>
      </c>
      <c r="F69" s="13">
        <v>1503.8030699999999</v>
      </c>
      <c r="G69" s="14">
        <f t="shared" si="0"/>
        <v>9.1000000000000004E-3</v>
      </c>
      <c r="H69" s="15"/>
    </row>
    <row r="70" spans="1:8" ht="12.75" customHeight="1" x14ac:dyDescent="0.2">
      <c r="A70">
        <f>+MAX($A$8:A69)+1</f>
        <v>62</v>
      </c>
      <c r="B70" t="s">
        <v>442</v>
      </c>
      <c r="C70" t="s">
        <v>443</v>
      </c>
      <c r="D70" t="s">
        <v>23</v>
      </c>
      <c r="E70" s="28">
        <v>369000</v>
      </c>
      <c r="F70" s="13">
        <v>1503.4905000000001</v>
      </c>
      <c r="G70" s="14">
        <f t="shared" si="0"/>
        <v>9.1000000000000004E-3</v>
      </c>
      <c r="H70" s="15"/>
    </row>
    <row r="71" spans="1:8" ht="12.75" customHeight="1" x14ac:dyDescent="0.2">
      <c r="A71">
        <f>+MAX($A$8:A70)+1</f>
        <v>63</v>
      </c>
      <c r="B71" t="s">
        <v>246</v>
      </c>
      <c r="C71" t="s">
        <v>517</v>
      </c>
      <c r="D71" t="s">
        <v>10</v>
      </c>
      <c r="E71" s="28">
        <v>488160</v>
      </c>
      <c r="F71" s="13">
        <v>1488.1557600000001</v>
      </c>
      <c r="G71" s="14">
        <f t="shared" si="0"/>
        <v>8.9999999999999993E-3</v>
      </c>
      <c r="H71" s="15"/>
    </row>
    <row r="72" spans="1:8" ht="12.75" customHeight="1" x14ac:dyDescent="0.2">
      <c r="A72">
        <f>+MAX($A$8:A71)+1</f>
        <v>64</v>
      </c>
      <c r="B72" t="s">
        <v>557</v>
      </c>
      <c r="C72" t="s">
        <v>558</v>
      </c>
      <c r="D72" t="s">
        <v>25</v>
      </c>
      <c r="E72" s="28">
        <v>588000</v>
      </c>
      <c r="F72" s="13">
        <v>1467.6479999999999</v>
      </c>
      <c r="G72" s="14">
        <f t="shared" si="0"/>
        <v>8.8999999999999999E-3</v>
      </c>
      <c r="H72" s="15"/>
    </row>
    <row r="73" spans="1:8" ht="12.75" customHeight="1" x14ac:dyDescent="0.2">
      <c r="A73">
        <f>+MAX($A$8:A72)+1</f>
        <v>65</v>
      </c>
      <c r="B73" t="s">
        <v>444</v>
      </c>
      <c r="C73" t="s">
        <v>445</v>
      </c>
      <c r="D73" t="s">
        <v>31</v>
      </c>
      <c r="E73" s="28">
        <v>324000</v>
      </c>
      <c r="F73" s="13">
        <v>1458</v>
      </c>
      <c r="G73" s="14">
        <f t="shared" ref="G73:G98" si="2">+ROUND(F73/VLOOKUP("Grand Total",$B$4:$F$302,5,0),4)</f>
        <v>8.8000000000000005E-3</v>
      </c>
      <c r="H73" s="15"/>
    </row>
    <row r="74" spans="1:8" ht="12.75" customHeight="1" x14ac:dyDescent="0.2">
      <c r="A74">
        <f>+MAX($A$8:A73)+1</f>
        <v>66</v>
      </c>
      <c r="B74" t="s">
        <v>539</v>
      </c>
      <c r="C74" t="s">
        <v>540</v>
      </c>
      <c r="D74" t="s">
        <v>131</v>
      </c>
      <c r="E74" s="28">
        <v>399000</v>
      </c>
      <c r="F74" s="13">
        <v>1452.1605</v>
      </c>
      <c r="G74" s="14">
        <f t="shared" si="2"/>
        <v>8.8000000000000005E-3</v>
      </c>
      <c r="H74" s="15"/>
    </row>
    <row r="75" spans="1:8" ht="12.75" customHeight="1" x14ac:dyDescent="0.2">
      <c r="A75">
        <f>+MAX($A$8:A74)+1</f>
        <v>67</v>
      </c>
      <c r="B75" t="s">
        <v>312</v>
      </c>
      <c r="C75" t="s">
        <v>313</v>
      </c>
      <c r="D75" t="s">
        <v>10</v>
      </c>
      <c r="E75" s="28">
        <v>837600</v>
      </c>
      <c r="F75" s="13">
        <v>1444.4412</v>
      </c>
      <c r="G75" s="14">
        <f t="shared" si="2"/>
        <v>8.6999999999999994E-3</v>
      </c>
      <c r="H75" s="15"/>
    </row>
    <row r="76" spans="1:8" ht="12.75" customHeight="1" x14ac:dyDescent="0.2">
      <c r="A76">
        <f>+MAX($A$8:A75)+1</f>
        <v>68</v>
      </c>
      <c r="B76" t="s">
        <v>225</v>
      </c>
      <c r="C76" t="s">
        <v>80</v>
      </c>
      <c r="D76" t="s">
        <v>44</v>
      </c>
      <c r="E76" s="28">
        <v>480000</v>
      </c>
      <c r="F76" s="13">
        <v>1442.64</v>
      </c>
      <c r="G76" s="14">
        <f t="shared" si="2"/>
        <v>8.6999999999999994E-3</v>
      </c>
      <c r="H76" s="15"/>
    </row>
    <row r="77" spans="1:8" ht="12.75" customHeight="1" x14ac:dyDescent="0.2">
      <c r="A77">
        <f>+MAX($A$8:A76)+1</f>
        <v>69</v>
      </c>
      <c r="B77" t="s">
        <v>201</v>
      </c>
      <c r="C77" t="s">
        <v>51</v>
      </c>
      <c r="D77" t="s">
        <v>40</v>
      </c>
      <c r="E77" s="28">
        <v>1350000</v>
      </c>
      <c r="F77" s="13">
        <v>1437.075</v>
      </c>
      <c r="G77" s="14">
        <f t="shared" si="2"/>
        <v>8.6999999999999994E-3</v>
      </c>
      <c r="H77" s="15"/>
    </row>
    <row r="78" spans="1:8" ht="12.75" customHeight="1" x14ac:dyDescent="0.2">
      <c r="A78">
        <f>+MAX($A$8:A77)+1</f>
        <v>70</v>
      </c>
      <c r="B78" t="s">
        <v>256</v>
      </c>
      <c r="C78" t="s">
        <v>427</v>
      </c>
      <c r="D78" t="s">
        <v>104</v>
      </c>
      <c r="E78" s="28">
        <v>1008000</v>
      </c>
      <c r="F78" s="13">
        <v>1425.816</v>
      </c>
      <c r="G78" s="14">
        <f t="shared" si="2"/>
        <v>8.6E-3</v>
      </c>
      <c r="H78" s="15"/>
    </row>
    <row r="79" spans="1:8" ht="12.75" customHeight="1" x14ac:dyDescent="0.2">
      <c r="A79">
        <f>+MAX($A$8:A78)+1</f>
        <v>71</v>
      </c>
      <c r="B79" t="s">
        <v>453</v>
      </c>
      <c r="C79" t="s">
        <v>454</v>
      </c>
      <c r="D79" t="s">
        <v>104</v>
      </c>
      <c r="E79" s="28">
        <v>135000</v>
      </c>
      <c r="F79" s="13">
        <v>1409.5350000000001</v>
      </c>
      <c r="G79" s="14">
        <f t="shared" si="2"/>
        <v>8.5000000000000006E-3</v>
      </c>
      <c r="H79" s="15"/>
    </row>
    <row r="80" spans="1:8" ht="12.75" customHeight="1" x14ac:dyDescent="0.2">
      <c r="A80">
        <f>+MAX($A$8:A79)+1</f>
        <v>72</v>
      </c>
      <c r="B80" t="s">
        <v>280</v>
      </c>
      <c r="C80" t="s">
        <v>172</v>
      </c>
      <c r="D80" t="s">
        <v>29</v>
      </c>
      <c r="E80" s="28">
        <v>798000</v>
      </c>
      <c r="F80" s="13">
        <v>1409.268</v>
      </c>
      <c r="G80" s="14">
        <f t="shared" si="2"/>
        <v>8.5000000000000006E-3</v>
      </c>
      <c r="H80" s="15"/>
    </row>
    <row r="81" spans="1:8" ht="12.75" customHeight="1" x14ac:dyDescent="0.2">
      <c r="A81">
        <f>+MAX($A$8:A80)+1</f>
        <v>73</v>
      </c>
      <c r="B81" t="s">
        <v>259</v>
      </c>
      <c r="C81" t="s">
        <v>134</v>
      </c>
      <c r="D81" t="s">
        <v>46</v>
      </c>
      <c r="E81" s="28">
        <v>723900</v>
      </c>
      <c r="F81" s="13">
        <v>1371.7905000000001</v>
      </c>
      <c r="G81" s="14">
        <f t="shared" si="2"/>
        <v>8.3000000000000001E-3</v>
      </c>
      <c r="H81" s="15"/>
    </row>
    <row r="82" spans="1:8" ht="12.75" customHeight="1" x14ac:dyDescent="0.2">
      <c r="A82">
        <f>+MAX($A$8:A81)+1</f>
        <v>74</v>
      </c>
      <c r="B82" t="s">
        <v>328</v>
      </c>
      <c r="C82" t="s">
        <v>329</v>
      </c>
      <c r="D82" t="s">
        <v>31</v>
      </c>
      <c r="E82" s="28">
        <v>678900</v>
      </c>
      <c r="F82" s="13">
        <v>1292.6256000000001</v>
      </c>
      <c r="G82" s="14">
        <f t="shared" si="2"/>
        <v>7.7999999999999996E-3</v>
      </c>
      <c r="H82" s="15"/>
    </row>
    <row r="83" spans="1:8" ht="12.75" customHeight="1" x14ac:dyDescent="0.2">
      <c r="A83">
        <f>+MAX($A$8:A82)+1</f>
        <v>75</v>
      </c>
      <c r="B83" t="s">
        <v>326</v>
      </c>
      <c r="C83" t="s">
        <v>327</v>
      </c>
      <c r="D83" t="s">
        <v>18</v>
      </c>
      <c r="E83" s="28">
        <v>180000</v>
      </c>
      <c r="F83" s="13">
        <v>1286.46</v>
      </c>
      <c r="G83" s="14">
        <f t="shared" si="2"/>
        <v>7.7999999999999996E-3</v>
      </c>
      <c r="H83" s="15"/>
    </row>
    <row r="84" spans="1:8" ht="12.75" customHeight="1" x14ac:dyDescent="0.2">
      <c r="A84">
        <f>+MAX($A$8:A83)+1</f>
        <v>76</v>
      </c>
      <c r="B84" t="s">
        <v>346</v>
      </c>
      <c r="C84" t="s">
        <v>351</v>
      </c>
      <c r="D84" t="s">
        <v>36</v>
      </c>
      <c r="E84" s="28">
        <v>269890</v>
      </c>
      <c r="F84" s="13">
        <v>1278.333985</v>
      </c>
      <c r="G84" s="14">
        <f t="shared" si="2"/>
        <v>7.7000000000000002E-3</v>
      </c>
      <c r="H84" s="15"/>
    </row>
    <row r="85" spans="1:8" ht="12.75" customHeight="1" x14ac:dyDescent="0.2">
      <c r="A85">
        <f>+MAX($A$8:A84)+1</f>
        <v>77</v>
      </c>
      <c r="B85" t="s">
        <v>412</v>
      </c>
      <c r="C85" t="s">
        <v>413</v>
      </c>
      <c r="D85" t="s">
        <v>141</v>
      </c>
      <c r="E85" s="28">
        <v>85348</v>
      </c>
      <c r="F85" s="13">
        <v>1273.4348340000001</v>
      </c>
      <c r="G85" s="14">
        <f t="shared" si="2"/>
        <v>7.7000000000000002E-3</v>
      </c>
      <c r="H85" s="15"/>
    </row>
    <row r="86" spans="1:8" ht="12.75" customHeight="1" x14ac:dyDescent="0.2">
      <c r="A86">
        <f>+MAX($A$8:A85)+1</f>
        <v>78</v>
      </c>
      <c r="B86" t="s">
        <v>477</v>
      </c>
      <c r="C86" t="s">
        <v>478</v>
      </c>
      <c r="D86" t="s">
        <v>18</v>
      </c>
      <c r="E86" s="28">
        <v>120000</v>
      </c>
      <c r="F86" s="13">
        <v>1261.08</v>
      </c>
      <c r="G86" s="14">
        <f t="shared" si="2"/>
        <v>7.6E-3</v>
      </c>
      <c r="H86" s="15"/>
    </row>
    <row r="87" spans="1:8" ht="12.75" customHeight="1" x14ac:dyDescent="0.2">
      <c r="A87">
        <f>+MAX($A$8:A86)+1</f>
        <v>79</v>
      </c>
      <c r="B87" t="s">
        <v>579</v>
      </c>
      <c r="C87" t="s">
        <v>580</v>
      </c>
      <c r="D87" t="s">
        <v>37</v>
      </c>
      <c r="E87" s="28">
        <v>152700</v>
      </c>
      <c r="F87" s="13">
        <v>1213.9649999999999</v>
      </c>
      <c r="G87" s="14">
        <f t="shared" si="2"/>
        <v>7.3000000000000001E-3</v>
      </c>
      <c r="H87" s="15"/>
    </row>
    <row r="88" spans="1:8" ht="12.75" customHeight="1" x14ac:dyDescent="0.2">
      <c r="A88">
        <f>+MAX($A$8:A87)+1</f>
        <v>80</v>
      </c>
      <c r="B88" t="s">
        <v>570</v>
      </c>
      <c r="C88" t="s">
        <v>391</v>
      </c>
      <c r="D88" t="s">
        <v>10</v>
      </c>
      <c r="E88" s="28">
        <v>1188000</v>
      </c>
      <c r="F88" s="13">
        <v>1193.346</v>
      </c>
      <c r="G88" s="14">
        <f t="shared" si="2"/>
        <v>7.1999999999999998E-3</v>
      </c>
      <c r="H88" s="15"/>
    </row>
    <row r="89" spans="1:8" ht="12.75" customHeight="1" x14ac:dyDescent="0.2">
      <c r="A89">
        <f>+MAX($A$8:A88)+1</f>
        <v>81</v>
      </c>
      <c r="B89" t="s">
        <v>457</v>
      </c>
      <c r="C89" t="s">
        <v>458</v>
      </c>
      <c r="D89" t="s">
        <v>459</v>
      </c>
      <c r="E89" s="28">
        <v>345000</v>
      </c>
      <c r="F89" s="13">
        <v>1158.165</v>
      </c>
      <c r="G89" s="14">
        <f t="shared" si="2"/>
        <v>7.0000000000000001E-3</v>
      </c>
      <c r="H89" s="15"/>
    </row>
    <row r="90" spans="1:8" ht="12.75" customHeight="1" x14ac:dyDescent="0.2">
      <c r="A90">
        <f>+MAX($A$8:A89)+1</f>
        <v>82</v>
      </c>
      <c r="B90" t="s">
        <v>403</v>
      </c>
      <c r="C90" t="s">
        <v>404</v>
      </c>
      <c r="D90" t="s">
        <v>31</v>
      </c>
      <c r="E90" s="28">
        <v>255000</v>
      </c>
      <c r="F90" s="13">
        <v>1152.9825000000001</v>
      </c>
      <c r="G90" s="14">
        <f t="shared" si="2"/>
        <v>7.0000000000000001E-3</v>
      </c>
      <c r="H90" s="15"/>
    </row>
    <row r="91" spans="1:8" ht="12.75" customHeight="1" x14ac:dyDescent="0.2">
      <c r="A91">
        <f>+MAX($A$8:A90)+1</f>
        <v>83</v>
      </c>
      <c r="B91" t="s">
        <v>637</v>
      </c>
      <c r="C91" t="s">
        <v>600</v>
      </c>
      <c r="D91" t="s">
        <v>131</v>
      </c>
      <c r="E91" s="28">
        <v>76526</v>
      </c>
      <c r="F91" s="13">
        <v>1147.6986850000001</v>
      </c>
      <c r="G91" s="14">
        <f t="shared" si="2"/>
        <v>6.8999999999999999E-3</v>
      </c>
      <c r="H91" s="15"/>
    </row>
    <row r="92" spans="1:8" ht="12.75" customHeight="1" x14ac:dyDescent="0.2">
      <c r="A92">
        <f>+MAX($A$8:A91)+1</f>
        <v>84</v>
      </c>
      <c r="B92" t="s">
        <v>272</v>
      </c>
      <c r="C92" t="s">
        <v>149</v>
      </c>
      <c r="D92" t="s">
        <v>37</v>
      </c>
      <c r="E92" s="28">
        <v>807708</v>
      </c>
      <c r="F92" s="13">
        <v>1106.55996</v>
      </c>
      <c r="G92" s="14">
        <f t="shared" si="2"/>
        <v>6.7000000000000002E-3</v>
      </c>
      <c r="H92" s="15"/>
    </row>
    <row r="93" spans="1:8" ht="12.75" customHeight="1" x14ac:dyDescent="0.2">
      <c r="A93">
        <f>+MAX($A$8:A92)+1</f>
        <v>85</v>
      </c>
      <c r="B93" t="s">
        <v>197</v>
      </c>
      <c r="C93" t="s">
        <v>43</v>
      </c>
      <c r="D93" t="s">
        <v>23</v>
      </c>
      <c r="E93" s="28">
        <v>216000</v>
      </c>
      <c r="F93" s="13">
        <v>1101.924</v>
      </c>
      <c r="G93" s="14">
        <f t="shared" si="2"/>
        <v>6.6E-3</v>
      </c>
      <c r="H93" s="15"/>
    </row>
    <row r="94" spans="1:8" ht="12.75" customHeight="1" x14ac:dyDescent="0.2">
      <c r="A94">
        <f>+MAX($A$8:A93)+1</f>
        <v>86</v>
      </c>
      <c r="B94" t="s">
        <v>596</v>
      </c>
      <c r="C94" t="s">
        <v>597</v>
      </c>
      <c r="D94" t="s">
        <v>141</v>
      </c>
      <c r="E94" s="28">
        <v>1125000</v>
      </c>
      <c r="F94" s="13">
        <v>1075.95</v>
      </c>
      <c r="G94" s="14">
        <f t="shared" si="2"/>
        <v>6.4999999999999997E-3</v>
      </c>
      <c r="H94" s="15"/>
    </row>
    <row r="95" spans="1:8" ht="12.75" customHeight="1" x14ac:dyDescent="0.2">
      <c r="A95">
        <f>+MAX($A$8:A94)+1</f>
        <v>87</v>
      </c>
      <c r="B95" t="s">
        <v>601</v>
      </c>
      <c r="C95" t="s">
        <v>602</v>
      </c>
      <c r="D95" t="s">
        <v>18</v>
      </c>
      <c r="E95" s="28">
        <v>127343</v>
      </c>
      <c r="F95" s="13">
        <v>921.64496250000002</v>
      </c>
      <c r="G95" s="14">
        <f t="shared" si="2"/>
        <v>5.5999999999999999E-3</v>
      </c>
      <c r="H95" s="15"/>
    </row>
    <row r="96" spans="1:8" ht="12.75" customHeight="1" x14ac:dyDescent="0.2">
      <c r="A96">
        <f>+MAX($A$8:A95)+1</f>
        <v>88</v>
      </c>
      <c r="B96" t="s">
        <v>235</v>
      </c>
      <c r="C96" t="s">
        <v>99</v>
      </c>
      <c r="D96" t="s">
        <v>20</v>
      </c>
      <c r="E96" s="28">
        <v>118800</v>
      </c>
      <c r="F96" s="13">
        <v>877.81320000000005</v>
      </c>
      <c r="G96" s="14">
        <f t="shared" si="2"/>
        <v>5.3E-3</v>
      </c>
      <c r="H96" s="15"/>
    </row>
    <row r="97" spans="1:12" ht="12.75" customHeight="1" x14ac:dyDescent="0.2">
      <c r="A97">
        <f>+MAX($A$8:A96)+1</f>
        <v>89</v>
      </c>
      <c r="B97" t="s">
        <v>342</v>
      </c>
      <c r="C97" t="s">
        <v>343</v>
      </c>
      <c r="D97" t="s">
        <v>141</v>
      </c>
      <c r="E97" s="28">
        <v>1260000</v>
      </c>
      <c r="F97" s="13">
        <v>497.07</v>
      </c>
      <c r="G97" s="14">
        <f t="shared" si="2"/>
        <v>3.0000000000000001E-3</v>
      </c>
      <c r="H97" s="15"/>
    </row>
    <row r="98" spans="1:12" ht="12.75" customHeight="1" x14ac:dyDescent="0.2">
      <c r="A98">
        <f>+MAX($A$8:A97)+1</f>
        <v>90</v>
      </c>
      <c r="B98" t="s">
        <v>594</v>
      </c>
      <c r="C98" t="s">
        <v>595</v>
      </c>
      <c r="D98" t="s">
        <v>105</v>
      </c>
      <c r="E98" s="28">
        <v>144000</v>
      </c>
      <c r="F98" s="13">
        <v>254.52</v>
      </c>
      <c r="G98" s="14">
        <f t="shared" si="2"/>
        <v>1.5E-3</v>
      </c>
      <c r="H98" s="15"/>
    </row>
    <row r="99" spans="1:12" ht="12.75" customHeight="1" x14ac:dyDescent="0.2">
      <c r="B99" s="18" t="s">
        <v>84</v>
      </c>
      <c r="C99" s="18"/>
      <c r="D99" s="18"/>
      <c r="E99" s="29"/>
      <c r="F99" s="19">
        <f>SUM(F9:F98)</f>
        <v>159642.25124600006</v>
      </c>
      <c r="G99" s="20">
        <f>SUM(G9:G98)</f>
        <v>0.96330000000000038</v>
      </c>
      <c r="H99" s="21"/>
      <c r="I99" s="49"/>
    </row>
    <row r="100" spans="1:12" ht="12.75" customHeight="1" x14ac:dyDescent="0.2">
      <c r="F100" s="13"/>
      <c r="G100" s="14"/>
      <c r="H100" s="15"/>
    </row>
    <row r="101" spans="1:12" ht="12.75" customHeight="1" x14ac:dyDescent="0.2">
      <c r="B101" s="16" t="s">
        <v>138</v>
      </c>
      <c r="C101" s="16"/>
      <c r="F101" s="13"/>
      <c r="G101" s="14"/>
      <c r="H101" s="73"/>
      <c r="I101"/>
      <c r="J101" s="36"/>
      <c r="K101"/>
    </row>
    <row r="102" spans="1:12" ht="12.75" customHeight="1" x14ac:dyDescent="0.2">
      <c r="A102">
        <f>+MAX($A$8:A101)+1</f>
        <v>91</v>
      </c>
      <c r="B102" t="s">
        <v>235</v>
      </c>
      <c r="C102" s="121" t="s">
        <v>616</v>
      </c>
      <c r="D102" t="s">
        <v>314</v>
      </c>
      <c r="E102" s="28">
        <v>108000</v>
      </c>
      <c r="F102" s="13">
        <v>802.00800000000004</v>
      </c>
      <c r="G102" s="14">
        <f t="shared" ref="G102:G103" si="3">+ROUND(F102/VLOOKUP("Grand Total",$B$4:$F$302,5,0),4)</f>
        <v>4.7999999999999996E-3</v>
      </c>
      <c r="H102" s="15">
        <v>43216</v>
      </c>
      <c r="I102"/>
      <c r="J102" s="36"/>
      <c r="K102"/>
    </row>
    <row r="103" spans="1:12" ht="12.75" customHeight="1" x14ac:dyDescent="0.2">
      <c r="A103">
        <f>+MAX($A$8:A102)+1</f>
        <v>92</v>
      </c>
      <c r="B103" t="s">
        <v>197</v>
      </c>
      <c r="C103" s="121" t="s">
        <v>616</v>
      </c>
      <c r="D103" t="s">
        <v>314</v>
      </c>
      <c r="E103" s="28">
        <v>108000</v>
      </c>
      <c r="F103" s="13">
        <v>554.30999999999995</v>
      </c>
      <c r="G103" s="14">
        <f t="shared" si="3"/>
        <v>3.3E-3</v>
      </c>
      <c r="H103" s="15">
        <v>43216</v>
      </c>
      <c r="I103"/>
      <c r="J103" s="36"/>
      <c r="K103"/>
    </row>
    <row r="104" spans="1:12" ht="12.75" customHeight="1" x14ac:dyDescent="0.2">
      <c r="B104" s="18" t="s">
        <v>84</v>
      </c>
      <c r="C104" s="18"/>
      <c r="D104" s="18"/>
      <c r="E104" s="29"/>
      <c r="F104" s="19">
        <f>SUM(F102:F103)</f>
        <v>1356.318</v>
      </c>
      <c r="G104" s="20">
        <f>SUM(G102:G103)</f>
        <v>8.0999999999999996E-3</v>
      </c>
      <c r="H104" s="21"/>
      <c r="I104"/>
      <c r="J104" s="36"/>
      <c r="K104"/>
    </row>
    <row r="105" spans="1:12" ht="12.75" customHeight="1" x14ac:dyDescent="0.2">
      <c r="F105" s="13"/>
      <c r="G105" s="14"/>
      <c r="H105" s="15"/>
    </row>
    <row r="106" spans="1:12" ht="12.75" customHeight="1" x14ac:dyDescent="0.2">
      <c r="B106" s="16" t="s">
        <v>91</v>
      </c>
      <c r="C106" s="16"/>
      <c r="F106" s="13"/>
      <c r="G106" s="14"/>
      <c r="H106" s="73"/>
      <c r="I106"/>
      <c r="J106" s="36"/>
      <c r="K106"/>
    </row>
    <row r="107" spans="1:12" ht="12.75" customHeight="1" x14ac:dyDescent="0.2">
      <c r="A107">
        <f>+MAX($A$8:A106)+1</f>
        <v>93</v>
      </c>
      <c r="B107" t="s">
        <v>437</v>
      </c>
      <c r="C107" t="s">
        <v>292</v>
      </c>
      <c r="D107" t="s">
        <v>311</v>
      </c>
      <c r="E107" s="28">
        <v>1679159.6142</v>
      </c>
      <c r="F107" s="13">
        <v>532.01149889999999</v>
      </c>
      <c r="G107" s="14">
        <f t="shared" ref="G107:G108" si="4">+ROUND(F107/VLOOKUP("Grand Total",$B$4:$F$302,5,0),4)</f>
        <v>3.2000000000000002E-3</v>
      </c>
      <c r="H107" s="73" t="s">
        <v>357</v>
      </c>
      <c r="I107"/>
      <c r="J107" s="36"/>
      <c r="K107"/>
    </row>
    <row r="108" spans="1:12" ht="12.75" customHeight="1" x14ac:dyDescent="0.2">
      <c r="A108">
        <f>+MAX($A$8:A107)+1</f>
        <v>94</v>
      </c>
      <c r="B108" t="s">
        <v>430</v>
      </c>
      <c r="C108" t="s">
        <v>341</v>
      </c>
      <c r="D108" t="s">
        <v>311</v>
      </c>
      <c r="E108" s="28">
        <v>9884.0483000000004</v>
      </c>
      <c r="F108" s="13">
        <v>166.58490990000001</v>
      </c>
      <c r="G108" s="14">
        <f t="shared" si="4"/>
        <v>1E-3</v>
      </c>
      <c r="H108" s="73" t="s">
        <v>357</v>
      </c>
      <c r="I108"/>
      <c r="J108" s="36"/>
      <c r="K108"/>
    </row>
    <row r="109" spans="1:12" ht="12.75" customHeight="1" x14ac:dyDescent="0.2">
      <c r="B109" s="18" t="s">
        <v>84</v>
      </c>
      <c r="C109" s="18"/>
      <c r="D109" s="18"/>
      <c r="E109" s="29"/>
      <c r="F109" s="19">
        <f>SUM(F107:F108)</f>
        <v>698.59640880000006</v>
      </c>
      <c r="G109" s="20">
        <f>SUM(G107:G108)</f>
        <v>4.2000000000000006E-3</v>
      </c>
      <c r="H109" s="21"/>
      <c r="I109"/>
      <c r="J109" s="36"/>
      <c r="K109"/>
    </row>
    <row r="110" spans="1:12" s="46" customFormat="1" ht="12.75" customHeight="1" x14ac:dyDescent="0.2">
      <c r="B110" s="67"/>
      <c r="C110" s="67"/>
      <c r="D110" s="67"/>
      <c r="E110" s="68"/>
      <c r="F110" s="69"/>
      <c r="G110" s="70"/>
      <c r="H110" s="35"/>
      <c r="J110" s="48"/>
    </row>
    <row r="111" spans="1:12" ht="12.75" customHeight="1" x14ac:dyDescent="0.2">
      <c r="A111" s="95" t="s">
        <v>356</v>
      </c>
      <c r="B111" s="16" t="s">
        <v>92</v>
      </c>
      <c r="C111" s="16"/>
      <c r="F111" s="13">
        <v>5870.3314652999998</v>
      </c>
      <c r="G111" s="14">
        <f t="shared" ref="G111" si="5">+ROUND(F111/VLOOKUP("Grand Total",$B$4:$F$302,5,0),4)</f>
        <v>3.5400000000000001E-2</v>
      </c>
      <c r="H111" s="15">
        <v>43193</v>
      </c>
      <c r="L111" s="46"/>
    </row>
    <row r="112" spans="1:12" ht="12.75" customHeight="1" x14ac:dyDescent="0.2">
      <c r="B112" s="18" t="s">
        <v>84</v>
      </c>
      <c r="C112" s="18"/>
      <c r="D112" s="18"/>
      <c r="E112" s="29"/>
      <c r="F112" s="19">
        <f>SUM(F111)</f>
        <v>5870.3314652999998</v>
      </c>
      <c r="G112" s="20">
        <f>SUM(G111)</f>
        <v>3.5400000000000001E-2</v>
      </c>
      <c r="H112" s="21"/>
      <c r="I112" s="49"/>
    </row>
    <row r="113" spans="2:11" ht="12.75" customHeight="1" x14ac:dyDescent="0.2">
      <c r="F113" s="13"/>
      <c r="G113" s="14"/>
      <c r="H113" s="15"/>
    </row>
    <row r="114" spans="2:11" ht="12.75" customHeight="1" x14ac:dyDescent="0.2">
      <c r="B114" s="16" t="s">
        <v>93</v>
      </c>
      <c r="C114" s="16"/>
      <c r="F114" s="13"/>
      <c r="G114" s="14"/>
      <c r="H114" s="15"/>
      <c r="I114" s="56"/>
    </row>
    <row r="115" spans="2:11" ht="12.75" customHeight="1" x14ac:dyDescent="0.2">
      <c r="B115" s="16" t="s">
        <v>94</v>
      </c>
      <c r="C115" s="16"/>
      <c r="F115" s="13">
        <v>-1832.831979700044</v>
      </c>
      <c r="G115" s="122">
        <f>+ROUND(F115/VLOOKUP("Grand Total",$B$4:$F$320,5,0),4)+0.01%</f>
        <v>-1.1000000000000001E-2</v>
      </c>
      <c r="H115" s="15"/>
      <c r="I115" s="55"/>
    </row>
    <row r="116" spans="2:11" ht="12.75" customHeight="1" x14ac:dyDescent="0.2">
      <c r="B116" s="18" t="s">
        <v>84</v>
      </c>
      <c r="C116" s="18"/>
      <c r="D116" s="18"/>
      <c r="E116" s="29"/>
      <c r="F116" s="19">
        <f>SUM(F115)</f>
        <v>-1832.831979700044</v>
      </c>
      <c r="G116" s="123">
        <f>SUM(G115)</f>
        <v>-1.1000000000000001E-2</v>
      </c>
      <c r="H116" s="21"/>
      <c r="I116" s="39"/>
    </row>
    <row r="117" spans="2:11" ht="12.75" customHeight="1" x14ac:dyDescent="0.2">
      <c r="B117" s="22" t="s">
        <v>95</v>
      </c>
      <c r="C117" s="22"/>
      <c r="D117" s="22"/>
      <c r="E117" s="30"/>
      <c r="F117" s="23">
        <f>+SUMIF($B$5:B116,"Total",$F$5:F116)</f>
        <v>165734.6651404</v>
      </c>
      <c r="G117" s="24">
        <f>+SUMIF($B$5:B116,"Total",$G$5:G116)</f>
        <v>1.0000000000000004</v>
      </c>
      <c r="H117" s="25"/>
      <c r="K117"/>
    </row>
    <row r="118" spans="2:11" ht="12.75" customHeight="1" x14ac:dyDescent="0.2">
      <c r="F118" s="13"/>
    </row>
    <row r="119" spans="2:11" ht="12.75" customHeight="1" x14ac:dyDescent="0.2">
      <c r="B119" s="53" t="s">
        <v>300</v>
      </c>
    </row>
    <row r="120" spans="2:11" ht="12.75" customHeight="1" x14ac:dyDescent="0.2">
      <c r="B120" s="16" t="s">
        <v>182</v>
      </c>
    </row>
    <row r="121" spans="2:11" ht="12.75" customHeight="1" x14ac:dyDescent="0.2">
      <c r="B121" s="16" t="s">
        <v>737</v>
      </c>
    </row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</sheetData>
  <sheetProtection password="EDB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3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362</v>
      </c>
      <c r="B1" s="126" t="s">
        <v>155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t="s">
        <v>187</v>
      </c>
      <c r="C9" t="s">
        <v>13</v>
      </c>
      <c r="D9" t="s">
        <v>10</v>
      </c>
      <c r="E9" s="28">
        <v>87992</v>
      </c>
      <c r="F9" s="13">
        <v>1659.6171119999999</v>
      </c>
      <c r="G9" s="14">
        <f t="shared" ref="G9:G40" si="0">+ROUND(F9/VLOOKUP("Grand Total",$B$4:$F$298,5,0),4)</f>
        <v>5.6899999999999999E-2</v>
      </c>
      <c r="H9" s="72" t="s">
        <v>357</v>
      </c>
      <c r="I9" s="107"/>
      <c r="J9" s="14" t="s">
        <v>10</v>
      </c>
      <c r="K9" s="48">
        <f t="shared" ref="K9:K32" si="1">SUMIFS($G$5:$G$329,$D$5:$D$329,J9)</f>
        <v>0.21809999999999999</v>
      </c>
    </row>
    <row r="10" spans="1:16" ht="12.75" customHeight="1" x14ac:dyDescent="0.2">
      <c r="A10">
        <f>+MAX($A$8:A9)+1</f>
        <v>2</v>
      </c>
      <c r="B10" t="s">
        <v>190</v>
      </c>
      <c r="C10" t="s">
        <v>11</v>
      </c>
      <c r="D10" t="s">
        <v>10</v>
      </c>
      <c r="E10" s="28">
        <v>476730</v>
      </c>
      <c r="F10" s="13">
        <v>1326.9779550000001</v>
      </c>
      <c r="G10" s="14">
        <f t="shared" si="0"/>
        <v>4.5499999999999999E-2</v>
      </c>
      <c r="H10" s="15" t="s">
        <v>357</v>
      </c>
      <c r="I10" s="107"/>
      <c r="J10" s="14" t="s">
        <v>25</v>
      </c>
      <c r="K10" s="48">
        <f t="shared" si="1"/>
        <v>0.1318</v>
      </c>
    </row>
    <row r="11" spans="1:16" ht="12.75" customHeight="1" x14ac:dyDescent="0.2">
      <c r="A11">
        <f>+MAX($A$8:A10)+1</f>
        <v>3</v>
      </c>
      <c r="B11" t="s">
        <v>189</v>
      </c>
      <c r="C11" t="s">
        <v>30</v>
      </c>
      <c r="D11" t="s">
        <v>29</v>
      </c>
      <c r="E11" s="28">
        <v>114058</v>
      </c>
      <c r="F11" s="13">
        <v>1006.7899659999999</v>
      </c>
      <c r="G11" s="14">
        <f t="shared" si="0"/>
        <v>3.4500000000000003E-2</v>
      </c>
      <c r="H11" s="15" t="s">
        <v>357</v>
      </c>
      <c r="I11" s="107"/>
      <c r="J11" s="14" t="s">
        <v>14</v>
      </c>
      <c r="K11" s="48">
        <f t="shared" si="1"/>
        <v>7.8799999999999995E-2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193</v>
      </c>
      <c r="C12" t="s">
        <v>26</v>
      </c>
      <c r="D12" t="s">
        <v>23</v>
      </c>
      <c r="E12" s="28">
        <v>53634</v>
      </c>
      <c r="F12" s="13">
        <v>979.14230400000008</v>
      </c>
      <c r="G12" s="14">
        <f t="shared" si="0"/>
        <v>3.3599999999999998E-2</v>
      </c>
      <c r="H12" s="15" t="s">
        <v>357</v>
      </c>
      <c r="I12" s="107"/>
      <c r="J12" s="14" t="s">
        <v>20</v>
      </c>
      <c r="K12" s="48">
        <f t="shared" si="1"/>
        <v>6.4299999999999996E-2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188</v>
      </c>
      <c r="C13" t="s">
        <v>15</v>
      </c>
      <c r="D13" t="s">
        <v>14</v>
      </c>
      <c r="E13" s="28">
        <v>85286</v>
      </c>
      <c r="F13" s="13">
        <v>965.26694799999996</v>
      </c>
      <c r="G13" s="14">
        <f t="shared" si="0"/>
        <v>3.3099999999999997E-2</v>
      </c>
      <c r="H13" s="15" t="s">
        <v>357</v>
      </c>
      <c r="I13" s="107"/>
      <c r="J13" s="14" t="s">
        <v>23</v>
      </c>
      <c r="K13" s="48">
        <f t="shared" si="1"/>
        <v>5.7899999999999993E-2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220</v>
      </c>
      <c r="C14" t="s">
        <v>70</v>
      </c>
      <c r="D14" t="s">
        <v>27</v>
      </c>
      <c r="E14" s="28">
        <v>71891</v>
      </c>
      <c r="F14" s="13">
        <v>942.41911900000002</v>
      </c>
      <c r="G14" s="14">
        <f t="shared" si="0"/>
        <v>3.2300000000000002E-2</v>
      </c>
      <c r="H14" s="15" t="s">
        <v>357</v>
      </c>
      <c r="I14" s="107"/>
      <c r="J14" s="14" t="s">
        <v>22</v>
      </c>
      <c r="K14" s="48">
        <f t="shared" si="1"/>
        <v>5.0199999999999995E-2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196</v>
      </c>
      <c r="C15" t="s">
        <v>45</v>
      </c>
      <c r="D15" t="s">
        <v>25</v>
      </c>
      <c r="E15" s="28">
        <v>306699</v>
      </c>
      <c r="F15" s="13">
        <v>783.61594500000001</v>
      </c>
      <c r="G15" s="14">
        <f t="shared" si="0"/>
        <v>2.69E-2</v>
      </c>
      <c r="H15" s="15" t="s">
        <v>357</v>
      </c>
      <c r="I15" s="107"/>
      <c r="J15" s="14" t="s">
        <v>35</v>
      </c>
      <c r="K15" s="48">
        <f t="shared" si="1"/>
        <v>4.1800000000000004E-2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16</v>
      </c>
      <c r="C16" t="s">
        <v>17</v>
      </c>
      <c r="D16" t="s">
        <v>10</v>
      </c>
      <c r="E16" s="28">
        <v>303480</v>
      </c>
      <c r="F16" s="13">
        <v>758.39652000000001</v>
      </c>
      <c r="G16" s="14">
        <f t="shared" si="0"/>
        <v>2.5999999999999999E-2</v>
      </c>
      <c r="H16" s="15" t="s">
        <v>357</v>
      </c>
      <c r="I16" s="107"/>
      <c r="J16" s="14" t="s">
        <v>27</v>
      </c>
      <c r="K16" s="48">
        <f t="shared" si="1"/>
        <v>3.9400000000000004E-2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308</v>
      </c>
      <c r="C17" t="s">
        <v>309</v>
      </c>
      <c r="D17" t="s">
        <v>141</v>
      </c>
      <c r="E17" s="28">
        <v>131069</v>
      </c>
      <c r="F17" s="13">
        <v>739.360229</v>
      </c>
      <c r="G17" s="14">
        <f t="shared" si="0"/>
        <v>2.53E-2</v>
      </c>
      <c r="H17" s="15" t="s">
        <v>357</v>
      </c>
      <c r="I17" s="107"/>
      <c r="J17" s="14" t="s">
        <v>18</v>
      </c>
      <c r="K17" s="48">
        <f t="shared" si="1"/>
        <v>3.9100000000000003E-2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192</v>
      </c>
      <c r="C18" t="s">
        <v>24</v>
      </c>
      <c r="D18" t="s">
        <v>14</v>
      </c>
      <c r="E18" s="28">
        <v>74935</v>
      </c>
      <c r="F18" s="13">
        <v>725.82041000000004</v>
      </c>
      <c r="G18" s="14">
        <f t="shared" si="0"/>
        <v>2.4899999999999999E-2</v>
      </c>
      <c r="H18" s="15" t="s">
        <v>357</v>
      </c>
      <c r="I18" s="107"/>
      <c r="J18" s="14" t="s">
        <v>131</v>
      </c>
      <c r="K18" s="48">
        <f t="shared" si="1"/>
        <v>3.6199999999999996E-2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226</v>
      </c>
      <c r="C19" t="s">
        <v>77</v>
      </c>
      <c r="D19" t="s">
        <v>25</v>
      </c>
      <c r="E19" s="28">
        <v>21500</v>
      </c>
      <c r="F19" s="13">
        <v>672.87474999999995</v>
      </c>
      <c r="G19" s="14">
        <f t="shared" si="0"/>
        <v>2.3099999999999999E-2</v>
      </c>
      <c r="H19" s="15" t="s">
        <v>357</v>
      </c>
      <c r="I19" s="107"/>
      <c r="J19" s="14" t="s">
        <v>37</v>
      </c>
      <c r="K19" s="48">
        <f t="shared" si="1"/>
        <v>3.5500000000000004E-2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380</v>
      </c>
      <c r="C20" t="s">
        <v>379</v>
      </c>
      <c r="D20" t="s">
        <v>25</v>
      </c>
      <c r="E20" s="28">
        <v>200000</v>
      </c>
      <c r="F20" s="13">
        <v>656.8</v>
      </c>
      <c r="G20" s="14">
        <f t="shared" si="0"/>
        <v>2.2499999999999999E-2</v>
      </c>
      <c r="H20" s="15" t="s">
        <v>357</v>
      </c>
      <c r="I20" s="107"/>
      <c r="J20" s="14" t="s">
        <v>40</v>
      </c>
      <c r="K20" s="48">
        <f t="shared" si="1"/>
        <v>3.4599999999999999E-2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245</v>
      </c>
      <c r="C21" t="s">
        <v>114</v>
      </c>
      <c r="D21" t="s">
        <v>35</v>
      </c>
      <c r="E21" s="28">
        <v>374900</v>
      </c>
      <c r="F21" s="13">
        <v>636.20529999999997</v>
      </c>
      <c r="G21" s="14">
        <f t="shared" si="0"/>
        <v>2.18E-2</v>
      </c>
      <c r="H21" s="15" t="s">
        <v>357</v>
      </c>
      <c r="I21" s="107"/>
      <c r="J21" s="14" t="s">
        <v>29</v>
      </c>
      <c r="K21" s="48">
        <f t="shared" si="1"/>
        <v>3.4500000000000003E-2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198</v>
      </c>
      <c r="C22" t="s">
        <v>47</v>
      </c>
      <c r="D22" t="s">
        <v>25</v>
      </c>
      <c r="E22" s="28">
        <v>12279</v>
      </c>
      <c r="F22" s="13">
        <v>610.33997399999998</v>
      </c>
      <c r="G22" s="14">
        <f t="shared" si="0"/>
        <v>2.0899999999999998E-2</v>
      </c>
      <c r="H22" s="15" t="s">
        <v>357</v>
      </c>
      <c r="I22" s="107"/>
      <c r="J22" s="14" t="s">
        <v>141</v>
      </c>
      <c r="K22" s="48">
        <f t="shared" si="1"/>
        <v>2.53E-2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211</v>
      </c>
      <c r="C23" t="s">
        <v>19</v>
      </c>
      <c r="D23" t="s">
        <v>14</v>
      </c>
      <c r="E23" s="28">
        <v>21307</v>
      </c>
      <c r="F23" s="13">
        <v>607.06839049999996</v>
      </c>
      <c r="G23" s="14">
        <f t="shared" si="0"/>
        <v>2.0799999999999999E-2</v>
      </c>
      <c r="H23" s="15" t="s">
        <v>357</v>
      </c>
      <c r="I23" s="107"/>
      <c r="J23" s="14" t="s">
        <v>50</v>
      </c>
      <c r="K23" s="48">
        <f t="shared" si="1"/>
        <v>1.43E-2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243</v>
      </c>
      <c r="C24" t="s">
        <v>111</v>
      </c>
      <c r="D24" t="s">
        <v>20</v>
      </c>
      <c r="E24" s="28">
        <v>16552</v>
      </c>
      <c r="F24" s="13">
        <v>586.40425600000003</v>
      </c>
      <c r="G24" s="14">
        <f t="shared" si="0"/>
        <v>2.01E-2</v>
      </c>
      <c r="H24" s="15" t="s">
        <v>357</v>
      </c>
      <c r="I24" s="107"/>
      <c r="J24" t="s">
        <v>470</v>
      </c>
      <c r="K24" s="48">
        <f t="shared" si="1"/>
        <v>1.38E-2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548</v>
      </c>
      <c r="C25" t="s">
        <v>549</v>
      </c>
      <c r="D25" t="s">
        <v>35</v>
      </c>
      <c r="E25" s="28">
        <v>740000</v>
      </c>
      <c r="F25" s="13">
        <v>584.6</v>
      </c>
      <c r="G25" s="14">
        <f t="shared" si="0"/>
        <v>0.02</v>
      </c>
      <c r="H25" s="15" t="s">
        <v>357</v>
      </c>
      <c r="I25" s="107"/>
      <c r="J25" t="s">
        <v>36</v>
      </c>
      <c r="K25" s="48">
        <f t="shared" si="1"/>
        <v>1.2999999999999999E-2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302</v>
      </c>
      <c r="C26" t="s">
        <v>75</v>
      </c>
      <c r="D26" t="s">
        <v>37</v>
      </c>
      <c r="E26" s="28">
        <v>175000</v>
      </c>
      <c r="F26" s="13">
        <v>581</v>
      </c>
      <c r="G26" s="14">
        <f t="shared" si="0"/>
        <v>1.9900000000000001E-2</v>
      </c>
      <c r="H26" s="15" t="s">
        <v>357</v>
      </c>
      <c r="I26" s="107"/>
      <c r="J26" t="s">
        <v>42</v>
      </c>
      <c r="K26" s="48">
        <f t="shared" si="1"/>
        <v>1.2200000000000001E-2</v>
      </c>
      <c r="L26" s="54">
        <f>+SUM($K$9:K27)</f>
        <v>0.95050000000000001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204</v>
      </c>
      <c r="C27" t="s">
        <v>48</v>
      </c>
      <c r="D27" t="s">
        <v>20</v>
      </c>
      <c r="E27" s="28">
        <v>6478</v>
      </c>
      <c r="F27" s="13">
        <v>574.02205800000002</v>
      </c>
      <c r="G27" s="14">
        <f t="shared" si="0"/>
        <v>1.9699999999999999E-2</v>
      </c>
      <c r="H27" s="15" t="s">
        <v>357</v>
      </c>
      <c r="I27" s="107"/>
      <c r="J27" s="65" t="s">
        <v>44</v>
      </c>
      <c r="K27" s="48">
        <f t="shared" si="1"/>
        <v>9.7000000000000003E-3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301</v>
      </c>
      <c r="C28" t="s">
        <v>56</v>
      </c>
      <c r="D28" t="s">
        <v>25</v>
      </c>
      <c r="E28" s="28">
        <v>48312</v>
      </c>
      <c r="F28" s="13">
        <v>565.63689599999998</v>
      </c>
      <c r="G28" s="14">
        <f t="shared" si="0"/>
        <v>1.9400000000000001E-2</v>
      </c>
      <c r="H28" s="15" t="s">
        <v>357</v>
      </c>
      <c r="I28" s="107"/>
      <c r="J28" t="s">
        <v>33</v>
      </c>
      <c r="K28" s="48">
        <f t="shared" si="1"/>
        <v>8.8999999999999999E-3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334</v>
      </c>
      <c r="C29" t="s">
        <v>397</v>
      </c>
      <c r="D29" t="s">
        <v>131</v>
      </c>
      <c r="E29" s="28">
        <v>52000</v>
      </c>
      <c r="F29" s="13">
        <v>564.51199999999994</v>
      </c>
      <c r="G29" s="14">
        <f t="shared" si="0"/>
        <v>1.9400000000000001E-2</v>
      </c>
      <c r="H29" s="15" t="s">
        <v>357</v>
      </c>
      <c r="I29" s="107"/>
      <c r="J29" s="14" t="s">
        <v>31</v>
      </c>
      <c r="K29" s="48">
        <f t="shared" si="1"/>
        <v>8.0999999999999996E-3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550</v>
      </c>
      <c r="C30" t="s">
        <v>551</v>
      </c>
      <c r="D30" t="s">
        <v>25</v>
      </c>
      <c r="E30" s="28">
        <v>9065</v>
      </c>
      <c r="F30" s="13">
        <v>552.974065</v>
      </c>
      <c r="G30" s="14">
        <f t="shared" si="0"/>
        <v>1.9E-2</v>
      </c>
      <c r="H30" s="15" t="s">
        <v>357</v>
      </c>
      <c r="I30" s="107"/>
      <c r="J30" s="14" t="s">
        <v>418</v>
      </c>
      <c r="K30" s="48">
        <f t="shared" si="1"/>
        <v>5.8999999999999999E-3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207</v>
      </c>
      <c r="C31" t="s">
        <v>97</v>
      </c>
      <c r="D31" t="s">
        <v>10</v>
      </c>
      <c r="E31" s="28">
        <v>51897</v>
      </c>
      <c r="F31" s="13">
        <v>543.77676600000007</v>
      </c>
      <c r="G31" s="14">
        <f t="shared" si="0"/>
        <v>1.8599999999999998E-2</v>
      </c>
      <c r="H31" s="15" t="s">
        <v>357</v>
      </c>
      <c r="I31" s="107"/>
      <c r="J31" s="14" t="s">
        <v>333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303</v>
      </c>
      <c r="C32" t="s">
        <v>66</v>
      </c>
      <c r="D32" t="s">
        <v>18</v>
      </c>
      <c r="E32" s="28">
        <v>361061</v>
      </c>
      <c r="F32" s="13">
        <v>511.8039675</v>
      </c>
      <c r="G32" s="14">
        <f t="shared" si="0"/>
        <v>1.7500000000000002E-2</v>
      </c>
      <c r="H32" s="15" t="s">
        <v>357</v>
      </c>
      <c r="I32" s="107"/>
      <c r="J32" s="14" t="s">
        <v>414</v>
      </c>
      <c r="K32" s="48">
        <f t="shared" si="1"/>
        <v>0</v>
      </c>
    </row>
    <row r="33" spans="1:11" ht="12.75" customHeight="1" x14ac:dyDescent="0.2">
      <c r="A33">
        <f>+MAX($A$8:A32)+1</f>
        <v>25</v>
      </c>
      <c r="B33" t="s">
        <v>201</v>
      </c>
      <c r="C33" t="s">
        <v>51</v>
      </c>
      <c r="D33" t="s">
        <v>40</v>
      </c>
      <c r="E33" s="28">
        <v>475000</v>
      </c>
      <c r="F33" s="13">
        <v>505.63749999999999</v>
      </c>
      <c r="G33" s="14">
        <f t="shared" si="0"/>
        <v>1.7299999999999999E-2</v>
      </c>
      <c r="H33" s="15" t="s">
        <v>357</v>
      </c>
      <c r="I33" s="107"/>
      <c r="J33" s="14" t="s">
        <v>63</v>
      </c>
      <c r="K33" s="48">
        <f>+SUMIFS($G$5:$G$997,$B$5:$B$997,"CBLO / Reverse Repo Investments")+SUMIFS($G$5:$G$997,$B$5:$B$997,"Net Receivable/Payable")</f>
        <v>2.6600000000000006E-2</v>
      </c>
    </row>
    <row r="34" spans="1:11" ht="12.75" customHeight="1" x14ac:dyDescent="0.2">
      <c r="A34">
        <f>+MAX($A$8:A33)+1</f>
        <v>26</v>
      </c>
      <c r="B34" t="s">
        <v>270</v>
      </c>
      <c r="C34" t="s">
        <v>144</v>
      </c>
      <c r="D34" t="s">
        <v>40</v>
      </c>
      <c r="E34" s="28">
        <v>71662</v>
      </c>
      <c r="F34" s="13">
        <v>503.53304299999996</v>
      </c>
      <c r="G34" s="14">
        <f t="shared" si="0"/>
        <v>1.7299999999999999E-2</v>
      </c>
      <c r="H34" s="15" t="s">
        <v>357</v>
      </c>
      <c r="I34" s="107"/>
    </row>
    <row r="35" spans="1:11" ht="12.75" customHeight="1" x14ac:dyDescent="0.2">
      <c r="A35">
        <f>+MAX($A$8:A34)+1</f>
        <v>27</v>
      </c>
      <c r="B35" t="s">
        <v>519</v>
      </c>
      <c r="C35" t="s">
        <v>520</v>
      </c>
      <c r="D35" t="s">
        <v>131</v>
      </c>
      <c r="E35" s="28">
        <v>130725</v>
      </c>
      <c r="F35" s="13">
        <v>489.7612125</v>
      </c>
      <c r="G35" s="14">
        <f t="shared" si="0"/>
        <v>1.6799999999999999E-2</v>
      </c>
      <c r="H35" s="15" t="s">
        <v>357</v>
      </c>
      <c r="I35" s="107"/>
    </row>
    <row r="36" spans="1:11" ht="12.75" customHeight="1" x14ac:dyDescent="0.2">
      <c r="A36">
        <f>+MAX($A$8:A35)+1</f>
        <v>28</v>
      </c>
      <c r="B36" t="s">
        <v>353</v>
      </c>
      <c r="C36" t="s">
        <v>354</v>
      </c>
      <c r="D36" t="s">
        <v>37</v>
      </c>
      <c r="E36" s="28">
        <v>579178</v>
      </c>
      <c r="F36" s="13">
        <v>453.78596299999998</v>
      </c>
      <c r="G36" s="14">
        <f t="shared" si="0"/>
        <v>1.5599999999999999E-2</v>
      </c>
      <c r="H36" s="15" t="s">
        <v>357</v>
      </c>
      <c r="I36" s="107"/>
    </row>
    <row r="37" spans="1:11" ht="12.75" customHeight="1" x14ac:dyDescent="0.2">
      <c r="A37">
        <f>+MAX($A$8:A36)+1</f>
        <v>29</v>
      </c>
      <c r="B37" t="s">
        <v>570</v>
      </c>
      <c r="C37" t="s">
        <v>391</v>
      </c>
      <c r="D37" t="s">
        <v>10</v>
      </c>
      <c r="E37" s="28">
        <v>422693</v>
      </c>
      <c r="F37" s="13">
        <v>424.59511850000001</v>
      </c>
      <c r="G37" s="14">
        <f t="shared" si="0"/>
        <v>1.46E-2</v>
      </c>
      <c r="H37" s="15" t="s">
        <v>357</v>
      </c>
      <c r="I37" s="107"/>
    </row>
    <row r="38" spans="1:11" ht="12.75" customHeight="1" x14ac:dyDescent="0.2">
      <c r="A38">
        <f>+MAX($A$8:A37)+1</f>
        <v>30</v>
      </c>
      <c r="B38" t="s">
        <v>223</v>
      </c>
      <c r="C38" t="s">
        <v>78</v>
      </c>
      <c r="D38" t="s">
        <v>50</v>
      </c>
      <c r="E38" s="28">
        <v>147233</v>
      </c>
      <c r="F38" s="13">
        <v>417.11108899999999</v>
      </c>
      <c r="G38" s="14">
        <f t="shared" si="0"/>
        <v>1.43E-2</v>
      </c>
      <c r="H38" s="15" t="s">
        <v>357</v>
      </c>
      <c r="I38" s="107"/>
    </row>
    <row r="39" spans="1:11" ht="12.75" customHeight="1" x14ac:dyDescent="0.2">
      <c r="A39">
        <f>+MAX($A$8:A38)+1</f>
        <v>31</v>
      </c>
      <c r="B39" t="s">
        <v>206</v>
      </c>
      <c r="C39" t="s">
        <v>73</v>
      </c>
      <c r="D39" t="s">
        <v>470</v>
      </c>
      <c r="E39" s="28">
        <v>312000</v>
      </c>
      <c r="F39" s="13">
        <v>403.72800000000001</v>
      </c>
      <c r="G39" s="14">
        <f t="shared" si="0"/>
        <v>1.38E-2</v>
      </c>
      <c r="H39" s="15" t="s">
        <v>357</v>
      </c>
      <c r="I39" s="107"/>
    </row>
    <row r="40" spans="1:11" ht="12.75" customHeight="1" x14ac:dyDescent="0.2">
      <c r="A40">
        <f>+MAX($A$8:A39)+1</f>
        <v>32</v>
      </c>
      <c r="B40" t="s">
        <v>200</v>
      </c>
      <c r="C40" t="s">
        <v>49</v>
      </c>
      <c r="D40" t="s">
        <v>22</v>
      </c>
      <c r="E40" s="28">
        <v>7253</v>
      </c>
      <c r="F40" s="13">
        <v>395.50246350000003</v>
      </c>
      <c r="G40" s="14">
        <f t="shared" si="0"/>
        <v>1.3599999999999999E-2</v>
      </c>
      <c r="H40" s="15" t="s">
        <v>357</v>
      </c>
      <c r="I40" s="107"/>
    </row>
    <row r="41" spans="1:11" ht="12.75" customHeight="1" x14ac:dyDescent="0.2">
      <c r="A41">
        <f>+MAX($A$8:A40)+1</f>
        <v>33</v>
      </c>
      <c r="B41" t="s">
        <v>473</v>
      </c>
      <c r="C41" t="s">
        <v>474</v>
      </c>
      <c r="D41" t="s">
        <v>23</v>
      </c>
      <c r="E41" s="28">
        <v>27011</v>
      </c>
      <c r="F41" s="13">
        <v>388.85035600000003</v>
      </c>
      <c r="G41" s="14">
        <f t="shared" ref="G41:G59" si="2">+ROUND(F41/VLOOKUP("Grand Total",$B$4:$F$298,5,0),4)</f>
        <v>1.3299999999999999E-2</v>
      </c>
      <c r="H41" s="15" t="s">
        <v>357</v>
      </c>
      <c r="I41" s="107"/>
    </row>
    <row r="42" spans="1:11" ht="12.75" customHeight="1" x14ac:dyDescent="0.2">
      <c r="A42">
        <f>+MAX($A$8:A41)+1</f>
        <v>34</v>
      </c>
      <c r="B42" t="s">
        <v>518</v>
      </c>
      <c r="C42" t="s">
        <v>452</v>
      </c>
      <c r="D42" t="s">
        <v>22</v>
      </c>
      <c r="E42" s="28">
        <v>120000</v>
      </c>
      <c r="F42" s="13">
        <v>384.42</v>
      </c>
      <c r="G42" s="14">
        <f t="shared" si="2"/>
        <v>1.32E-2</v>
      </c>
      <c r="H42" s="15" t="s">
        <v>357</v>
      </c>
      <c r="I42" s="107"/>
    </row>
    <row r="43" spans="1:11" ht="12.75" customHeight="1" x14ac:dyDescent="0.2">
      <c r="A43">
        <f>+MAX($A$8:A42)+1</f>
        <v>35</v>
      </c>
      <c r="B43" t="s">
        <v>415</v>
      </c>
      <c r="C43" t="s">
        <v>67</v>
      </c>
      <c r="D43" t="s">
        <v>22</v>
      </c>
      <c r="E43" s="28">
        <v>76911</v>
      </c>
      <c r="F43" s="13">
        <v>380.786361</v>
      </c>
      <c r="G43" s="14">
        <f t="shared" si="2"/>
        <v>1.3100000000000001E-2</v>
      </c>
      <c r="H43" s="15" t="s">
        <v>357</v>
      </c>
      <c r="I43" s="107"/>
    </row>
    <row r="44" spans="1:11" ht="12.75" customHeight="1" x14ac:dyDescent="0.2">
      <c r="A44">
        <f>+MAX($A$8:A43)+1</f>
        <v>36</v>
      </c>
      <c r="B44" t="s">
        <v>633</v>
      </c>
      <c r="C44" t="s">
        <v>634</v>
      </c>
      <c r="D44" t="s">
        <v>36</v>
      </c>
      <c r="E44" s="28">
        <v>29355</v>
      </c>
      <c r="F44" s="13">
        <v>378.8115975</v>
      </c>
      <c r="G44" s="14">
        <f t="shared" si="2"/>
        <v>1.2999999999999999E-2</v>
      </c>
      <c r="H44" s="15" t="s">
        <v>357</v>
      </c>
      <c r="I44" s="107"/>
    </row>
    <row r="45" spans="1:11" ht="12.75" customHeight="1" x14ac:dyDescent="0.2">
      <c r="A45">
        <f>+MAX($A$8:A44)+1</f>
        <v>37</v>
      </c>
      <c r="B45" t="s">
        <v>235</v>
      </c>
      <c r="C45" t="s">
        <v>99</v>
      </c>
      <c r="D45" t="s">
        <v>20</v>
      </c>
      <c r="E45" s="28">
        <v>50625</v>
      </c>
      <c r="F45" s="13">
        <v>374.06812500000001</v>
      </c>
      <c r="G45" s="14">
        <f t="shared" si="2"/>
        <v>1.2800000000000001E-2</v>
      </c>
      <c r="H45" s="15" t="s">
        <v>357</v>
      </c>
      <c r="I45" s="107"/>
    </row>
    <row r="46" spans="1:11" ht="12.75" customHeight="1" x14ac:dyDescent="0.2">
      <c r="A46">
        <f>+MAX($A$8:A45)+1</f>
        <v>38</v>
      </c>
      <c r="B46" t="s">
        <v>471</v>
      </c>
      <c r="C46" t="s">
        <v>472</v>
      </c>
      <c r="D46" t="s">
        <v>42</v>
      </c>
      <c r="E46" s="28">
        <v>39500</v>
      </c>
      <c r="F46" s="13">
        <v>354.61124999999998</v>
      </c>
      <c r="G46" s="14">
        <f t="shared" si="2"/>
        <v>1.2200000000000001E-2</v>
      </c>
      <c r="H46" s="15" t="s">
        <v>357</v>
      </c>
      <c r="I46" s="107"/>
    </row>
    <row r="47" spans="1:11" ht="12.75" customHeight="1" x14ac:dyDescent="0.2">
      <c r="A47">
        <f>+MAX($A$8:A46)+1</f>
        <v>39</v>
      </c>
      <c r="B47" t="s">
        <v>199</v>
      </c>
      <c r="C47" t="s">
        <v>52</v>
      </c>
      <c r="D47" t="s">
        <v>18</v>
      </c>
      <c r="E47" s="28">
        <v>8912</v>
      </c>
      <c r="F47" s="13">
        <v>352.024</v>
      </c>
      <c r="G47" s="14">
        <f t="shared" si="2"/>
        <v>1.21E-2</v>
      </c>
      <c r="H47" s="15" t="s">
        <v>357</v>
      </c>
      <c r="I47" s="107"/>
    </row>
    <row r="48" spans="1:11" ht="12.75" customHeight="1" x14ac:dyDescent="0.2">
      <c r="A48">
        <f>+MAX($A$8:A47)+1</f>
        <v>40</v>
      </c>
      <c r="B48" t="s">
        <v>191</v>
      </c>
      <c r="C48" t="s">
        <v>21</v>
      </c>
      <c r="D48" t="s">
        <v>20</v>
      </c>
      <c r="E48" s="28">
        <v>104112</v>
      </c>
      <c r="F48" s="13">
        <v>340.29007200000001</v>
      </c>
      <c r="G48" s="14">
        <f t="shared" si="2"/>
        <v>1.17E-2</v>
      </c>
      <c r="H48" s="15" t="s">
        <v>357</v>
      </c>
      <c r="I48" s="107"/>
    </row>
    <row r="49" spans="1:9" ht="12.75" customHeight="1" x14ac:dyDescent="0.2">
      <c r="A49">
        <f>+MAX($A$8:A48)+1</f>
        <v>41</v>
      </c>
      <c r="B49" t="s">
        <v>197</v>
      </c>
      <c r="C49" t="s">
        <v>43</v>
      </c>
      <c r="D49" t="s">
        <v>23</v>
      </c>
      <c r="E49" s="28">
        <v>63140</v>
      </c>
      <c r="F49" s="13">
        <v>322.10870999999997</v>
      </c>
      <c r="G49" s="14">
        <f t="shared" si="2"/>
        <v>1.0999999999999999E-2</v>
      </c>
      <c r="H49" s="15" t="s">
        <v>357</v>
      </c>
      <c r="I49" s="107"/>
    </row>
    <row r="50" spans="1:9" ht="12.75" customHeight="1" x14ac:dyDescent="0.2">
      <c r="A50">
        <f>+MAX($A$8:A49)+1</f>
        <v>42</v>
      </c>
      <c r="B50" t="s">
        <v>212</v>
      </c>
      <c r="C50" t="s">
        <v>28</v>
      </c>
      <c r="D50" t="s">
        <v>10</v>
      </c>
      <c r="E50" s="28">
        <v>62354</v>
      </c>
      <c r="F50" s="13">
        <v>318.31716999999998</v>
      </c>
      <c r="G50" s="14">
        <f t="shared" si="2"/>
        <v>1.09E-2</v>
      </c>
      <c r="H50" s="15" t="s">
        <v>357</v>
      </c>
      <c r="I50" s="107"/>
    </row>
    <row r="51" spans="1:9" ht="12.75" customHeight="1" x14ac:dyDescent="0.2">
      <c r="A51">
        <f>+MAX($A$8:A50)+1</f>
        <v>43</v>
      </c>
      <c r="B51" t="s">
        <v>210</v>
      </c>
      <c r="C51" t="s">
        <v>60</v>
      </c>
      <c r="D51" t="s">
        <v>22</v>
      </c>
      <c r="E51" s="28">
        <v>53638</v>
      </c>
      <c r="F51" s="13">
        <v>299.219583</v>
      </c>
      <c r="G51" s="14">
        <f t="shared" si="2"/>
        <v>1.03E-2</v>
      </c>
      <c r="H51" s="15" t="s">
        <v>357</v>
      </c>
      <c r="I51" s="107"/>
    </row>
    <row r="52" spans="1:9" ht="12.75" customHeight="1" x14ac:dyDescent="0.2">
      <c r="A52">
        <f>+MAX($A$8:A51)+1</f>
        <v>44</v>
      </c>
      <c r="B52" t="s">
        <v>218</v>
      </c>
      <c r="C52" t="s">
        <v>69</v>
      </c>
      <c r="D52" t="s">
        <v>10</v>
      </c>
      <c r="E52" s="28">
        <v>327366</v>
      </c>
      <c r="F52" s="13">
        <v>292.01047199999999</v>
      </c>
      <c r="G52" s="14">
        <f t="shared" si="2"/>
        <v>0.01</v>
      </c>
      <c r="H52" s="15" t="s">
        <v>357</v>
      </c>
      <c r="I52" s="107"/>
    </row>
    <row r="53" spans="1:9" ht="12.75" customHeight="1" x14ac:dyDescent="0.2">
      <c r="A53">
        <f>+MAX($A$8:A52)+1</f>
        <v>45</v>
      </c>
      <c r="B53" t="s">
        <v>523</v>
      </c>
      <c r="C53" t="s">
        <v>524</v>
      </c>
      <c r="D53" t="s">
        <v>10</v>
      </c>
      <c r="E53" s="28">
        <v>556534</v>
      </c>
      <c r="F53" s="13">
        <v>289.67594700000001</v>
      </c>
      <c r="G53" s="14">
        <f t="shared" si="2"/>
        <v>9.9000000000000008E-3</v>
      </c>
      <c r="H53" s="15" t="s">
        <v>357</v>
      </c>
      <c r="I53" s="107"/>
    </row>
    <row r="54" spans="1:9" ht="12.75" customHeight="1" x14ac:dyDescent="0.2">
      <c r="A54">
        <f>+MAX($A$8:A53)+1</f>
        <v>46</v>
      </c>
      <c r="B54" t="s">
        <v>521</v>
      </c>
      <c r="C54" t="s">
        <v>522</v>
      </c>
      <c r="D54" t="s">
        <v>44</v>
      </c>
      <c r="E54" s="28">
        <v>425975</v>
      </c>
      <c r="F54" s="13">
        <v>283.06038749999999</v>
      </c>
      <c r="G54" s="14">
        <f t="shared" si="2"/>
        <v>9.7000000000000003E-3</v>
      </c>
      <c r="H54" s="15" t="s">
        <v>357</v>
      </c>
      <c r="I54" s="107"/>
    </row>
    <row r="55" spans="1:9" ht="12.75" customHeight="1" x14ac:dyDescent="0.2">
      <c r="A55">
        <f>+MAX($A$8:A54)+1</f>
        <v>47</v>
      </c>
      <c r="B55" t="s">
        <v>326</v>
      </c>
      <c r="C55" t="s">
        <v>327</v>
      </c>
      <c r="D55" t="s">
        <v>18</v>
      </c>
      <c r="E55" s="28">
        <v>38680</v>
      </c>
      <c r="F55" s="13">
        <v>276.44596000000001</v>
      </c>
      <c r="G55" s="14">
        <f t="shared" si="2"/>
        <v>9.4999999999999998E-3</v>
      </c>
      <c r="H55" s="15" t="s">
        <v>357</v>
      </c>
      <c r="I55" s="107"/>
    </row>
    <row r="56" spans="1:9" ht="12.75" customHeight="1" x14ac:dyDescent="0.2">
      <c r="A56">
        <f>+MAX($A$8:A55)+1</f>
        <v>48</v>
      </c>
      <c r="B56" t="s">
        <v>39</v>
      </c>
      <c r="C56" t="s">
        <v>41</v>
      </c>
      <c r="D56" t="s">
        <v>10</v>
      </c>
      <c r="E56" s="28">
        <v>189657</v>
      </c>
      <c r="F56" s="13">
        <v>269.881911</v>
      </c>
      <c r="G56" s="14">
        <f t="shared" si="2"/>
        <v>9.2999999999999992E-3</v>
      </c>
      <c r="H56" s="15" t="s">
        <v>357</v>
      </c>
      <c r="I56" s="107"/>
    </row>
    <row r="57" spans="1:9" ht="12.75" customHeight="1" x14ac:dyDescent="0.2">
      <c r="A57">
        <f>+MAX($A$8:A56)+1</f>
        <v>49</v>
      </c>
      <c r="B57" t="s">
        <v>163</v>
      </c>
      <c r="C57" t="s">
        <v>177</v>
      </c>
      <c r="D57" t="s">
        <v>10</v>
      </c>
      <c r="E57" s="28">
        <v>99372</v>
      </c>
      <c r="F57" s="13">
        <v>262.24270799999999</v>
      </c>
      <c r="G57" s="14">
        <f t="shared" si="2"/>
        <v>8.9999999999999993E-3</v>
      </c>
      <c r="H57" s="15" t="s">
        <v>357</v>
      </c>
      <c r="I57" s="107"/>
    </row>
    <row r="58" spans="1:9" ht="12.75" customHeight="1" x14ac:dyDescent="0.2">
      <c r="A58">
        <f>+MAX($A$8:A57)+1</f>
        <v>50</v>
      </c>
      <c r="B58" t="s">
        <v>209</v>
      </c>
      <c r="C58" t="s">
        <v>64</v>
      </c>
      <c r="D58" t="s">
        <v>33</v>
      </c>
      <c r="E58" s="28">
        <v>65027</v>
      </c>
      <c r="F58" s="13">
        <v>259.26264900000001</v>
      </c>
      <c r="G58" s="14">
        <f t="shared" si="2"/>
        <v>8.8999999999999999E-3</v>
      </c>
      <c r="H58" s="15" t="s">
        <v>357</v>
      </c>
      <c r="I58" s="107"/>
    </row>
    <row r="59" spans="1:9" ht="12.75" customHeight="1" x14ac:dyDescent="0.2">
      <c r="A59">
        <f>+MAX($A$8:A58)+1</f>
        <v>51</v>
      </c>
      <c r="B59" t="s">
        <v>663</v>
      </c>
      <c r="C59" t="s">
        <v>664</v>
      </c>
      <c r="D59" t="s">
        <v>31</v>
      </c>
      <c r="E59" s="28">
        <v>118000</v>
      </c>
      <c r="F59" s="13">
        <v>237.06200000000001</v>
      </c>
      <c r="G59" s="14">
        <f t="shared" si="2"/>
        <v>8.0999999999999996E-3</v>
      </c>
      <c r="H59" s="15" t="s">
        <v>357</v>
      </c>
      <c r="I59" s="107"/>
    </row>
    <row r="60" spans="1:9" ht="12.75" customHeight="1" x14ac:dyDescent="0.2">
      <c r="A60">
        <f>+MAX($A$8:A59)+1</f>
        <v>52</v>
      </c>
      <c r="B60" t="s">
        <v>571</v>
      </c>
      <c r="C60" t="s">
        <v>572</v>
      </c>
      <c r="D60" t="s">
        <v>10</v>
      </c>
      <c r="E60" s="28">
        <v>390048</v>
      </c>
      <c r="F60" s="13">
        <v>216.28161600000001</v>
      </c>
      <c r="G60" s="14">
        <f t="shared" ref="G60:G62" si="3">+ROUND(F60/VLOOKUP("Grand Total",$B$4:$F$298,5,0),4)</f>
        <v>7.4000000000000003E-3</v>
      </c>
      <c r="H60" s="15" t="s">
        <v>357</v>
      </c>
      <c r="I60" s="107"/>
    </row>
    <row r="61" spans="1:9" ht="12.75" customHeight="1" x14ac:dyDescent="0.2">
      <c r="A61">
        <f>+MAX($A$8:A60)+1</f>
        <v>53</v>
      </c>
      <c r="B61" t="s">
        <v>310</v>
      </c>
      <c r="C61" t="s">
        <v>71</v>
      </c>
      <c r="D61" t="s">
        <v>27</v>
      </c>
      <c r="E61" s="28">
        <v>934500</v>
      </c>
      <c r="F61" s="13">
        <v>207.459</v>
      </c>
      <c r="G61" s="14">
        <f t="shared" si="3"/>
        <v>7.1000000000000004E-3</v>
      </c>
      <c r="H61" s="15" t="s">
        <v>357</v>
      </c>
      <c r="I61" s="107"/>
    </row>
    <row r="62" spans="1:9" ht="12.75" customHeight="1" x14ac:dyDescent="0.2">
      <c r="A62">
        <f>+MAX($A$8:A61)+1</f>
        <v>54</v>
      </c>
      <c r="B62" t="s">
        <v>416</v>
      </c>
      <c r="C62" t="s">
        <v>417</v>
      </c>
      <c r="D62" t="s">
        <v>418</v>
      </c>
      <c r="E62" s="28">
        <v>91300</v>
      </c>
      <c r="F62" s="13">
        <v>173.01349999999999</v>
      </c>
      <c r="G62" s="14">
        <f t="shared" si="3"/>
        <v>5.8999999999999999E-3</v>
      </c>
      <c r="H62" s="15" t="s">
        <v>357</v>
      </c>
      <c r="I62" s="107"/>
    </row>
    <row r="63" spans="1:9" ht="12.75" customHeight="1" x14ac:dyDescent="0.2">
      <c r="A63">
        <f>+MAX($A$8:A62)+1</f>
        <v>55</v>
      </c>
      <c r="B63" t="s">
        <v>440</v>
      </c>
      <c r="C63" s="121" t="s">
        <v>616</v>
      </c>
      <c r="D63" t="s">
        <v>37</v>
      </c>
      <c r="E63" s="28">
        <v>250</v>
      </c>
      <c r="F63" s="13">
        <v>0</v>
      </c>
      <c r="G63" s="108" t="s">
        <v>516</v>
      </c>
      <c r="H63" s="15" t="s">
        <v>357</v>
      </c>
      <c r="I63" s="107"/>
    </row>
    <row r="64" spans="1:9" ht="12.75" customHeight="1" x14ac:dyDescent="0.2">
      <c r="B64" s="18" t="s">
        <v>84</v>
      </c>
      <c r="C64" s="18"/>
      <c r="D64" s="18"/>
      <c r="E64" s="29"/>
      <c r="F64" s="19">
        <f>SUM(F9:F63)</f>
        <v>28388.982695500003</v>
      </c>
      <c r="G64" s="20">
        <f>SUM(G9:G63)</f>
        <v>0.97339999999999982</v>
      </c>
      <c r="H64" s="21"/>
      <c r="I64" s="49"/>
    </row>
    <row r="65" spans="1:9" ht="12.75" customHeight="1" x14ac:dyDescent="0.2">
      <c r="F65" s="86"/>
      <c r="G65" s="14"/>
      <c r="H65" s="15"/>
    </row>
    <row r="66" spans="1:9" ht="12.75" customHeight="1" x14ac:dyDescent="0.2">
      <c r="B66" s="16" t="s">
        <v>297</v>
      </c>
      <c r="C66" s="16"/>
      <c r="F66" s="13"/>
      <c r="G66" s="14"/>
      <c r="H66" s="15"/>
    </row>
    <row r="67" spans="1:9" ht="12.75" customHeight="1" x14ac:dyDescent="0.2">
      <c r="A67">
        <f>+MAX($A$8:A66)+1</f>
        <v>56</v>
      </c>
      <c r="B67" t="s">
        <v>282</v>
      </c>
      <c r="C67" t="s">
        <v>156</v>
      </c>
      <c r="D67" s="65" t="s">
        <v>333</v>
      </c>
      <c r="E67" s="28">
        <v>8600</v>
      </c>
      <c r="F67" s="13">
        <v>0</v>
      </c>
      <c r="G67" s="108" t="s">
        <v>516</v>
      </c>
      <c r="H67" s="15" t="s">
        <v>357</v>
      </c>
    </row>
    <row r="68" spans="1:9" ht="12.75" customHeight="1" x14ac:dyDescent="0.2">
      <c r="A68">
        <f>+MAX($A$8:A67)+1</f>
        <v>57</v>
      </c>
      <c r="B68" s="65" t="s">
        <v>233</v>
      </c>
      <c r="C68" s="65" t="s">
        <v>89</v>
      </c>
      <c r="D68" t="s">
        <v>414</v>
      </c>
      <c r="E68" s="28">
        <v>200000</v>
      </c>
      <c r="F68" s="13">
        <v>0</v>
      </c>
      <c r="G68" s="108" t="s">
        <v>516</v>
      </c>
      <c r="H68" s="15" t="s">
        <v>357</v>
      </c>
    </row>
    <row r="69" spans="1:9" ht="12.75" customHeight="1" x14ac:dyDescent="0.2">
      <c r="B69" s="18" t="s">
        <v>84</v>
      </c>
      <c r="C69" s="18"/>
      <c r="D69" s="18"/>
      <c r="E69" s="29"/>
      <c r="F69" s="19">
        <f>SUM(F67:F68)</f>
        <v>0</v>
      </c>
      <c r="G69" s="51" t="s">
        <v>516</v>
      </c>
      <c r="H69" s="21"/>
      <c r="I69" s="35"/>
    </row>
    <row r="70" spans="1:9" ht="12.75" customHeight="1" x14ac:dyDescent="0.2">
      <c r="F70" s="13"/>
      <c r="G70" s="14"/>
      <c r="H70" s="15"/>
    </row>
    <row r="71" spans="1:9" ht="12.75" customHeight="1" x14ac:dyDescent="0.2">
      <c r="A71" s="95" t="s">
        <v>356</v>
      </c>
      <c r="B71" s="16" t="s">
        <v>92</v>
      </c>
      <c r="C71" s="16"/>
      <c r="F71" s="13">
        <v>1155.1425647000001</v>
      </c>
      <c r="G71" s="14">
        <f>+ROUND(F71/VLOOKUP("Grand Total",$B$4:$F$298,5,0),4)</f>
        <v>3.9600000000000003E-2</v>
      </c>
      <c r="H71" s="15">
        <v>43193</v>
      </c>
    </row>
    <row r="72" spans="1:9" ht="12.75" customHeight="1" x14ac:dyDescent="0.2">
      <c r="B72" s="18" t="s">
        <v>84</v>
      </c>
      <c r="C72" s="18"/>
      <c r="D72" s="18"/>
      <c r="E72" s="29"/>
      <c r="F72" s="19">
        <f>SUM(F71)</f>
        <v>1155.1425647000001</v>
      </c>
      <c r="G72" s="20">
        <f>SUM(G71)</f>
        <v>3.9600000000000003E-2</v>
      </c>
      <c r="H72" s="21"/>
      <c r="I72" s="49"/>
    </row>
    <row r="73" spans="1:9" ht="12.75" customHeight="1" x14ac:dyDescent="0.2">
      <c r="F73" s="13"/>
      <c r="G73" s="14"/>
      <c r="H73" s="15"/>
    </row>
    <row r="74" spans="1:9" ht="12.75" customHeight="1" x14ac:dyDescent="0.2">
      <c r="B74" s="16" t="s">
        <v>93</v>
      </c>
      <c r="C74" s="16"/>
      <c r="F74" s="13"/>
      <c r="G74" s="14"/>
      <c r="H74" s="15"/>
    </row>
    <row r="75" spans="1:9" ht="12.75" customHeight="1" x14ac:dyDescent="0.2">
      <c r="B75" s="16" t="s">
        <v>94</v>
      </c>
      <c r="C75" s="16"/>
      <c r="F75" s="13">
        <v>-371.66246840000895</v>
      </c>
      <c r="G75" s="122">
        <f>+ROUND(F75/VLOOKUP("Grand Total",$B$4:$F$298,5,0),4)-0.03%</f>
        <v>-1.2999999999999999E-2</v>
      </c>
      <c r="H75" s="15"/>
    </row>
    <row r="76" spans="1:9" ht="12.75" customHeight="1" x14ac:dyDescent="0.2">
      <c r="B76" s="18" t="s">
        <v>84</v>
      </c>
      <c r="C76" s="18"/>
      <c r="D76" s="18"/>
      <c r="E76" s="29"/>
      <c r="F76" s="19">
        <f>SUM(F75)</f>
        <v>-371.66246840000895</v>
      </c>
      <c r="G76" s="123">
        <f>SUM(G75)</f>
        <v>-1.2999999999999999E-2</v>
      </c>
      <c r="H76" s="21"/>
      <c r="I76" s="49"/>
    </row>
    <row r="77" spans="1:9" ht="12.75" customHeight="1" x14ac:dyDescent="0.2">
      <c r="B77" s="22" t="s">
        <v>95</v>
      </c>
      <c r="C77" s="22"/>
      <c r="D77" s="22"/>
      <c r="E77" s="30"/>
      <c r="F77" s="23">
        <f>+SUMIF($B$5:B76,"Total",$F$5:F76)</f>
        <v>29172.462791799993</v>
      </c>
      <c r="G77" s="24">
        <f>+SUMIF($B$5:B76,"Total",$G$5:G76)</f>
        <v>0.99999999999999989</v>
      </c>
      <c r="H77" s="25"/>
      <c r="I77" s="35"/>
    </row>
    <row r="78" spans="1:9" ht="12.75" customHeight="1" x14ac:dyDescent="0.2"/>
    <row r="79" spans="1:9" ht="12.75" customHeight="1" x14ac:dyDescent="0.2">
      <c r="B79" s="16" t="s">
        <v>182</v>
      </c>
    </row>
    <row r="80" spans="1:9" ht="12.75" customHeight="1" x14ac:dyDescent="0.2">
      <c r="B80" s="16" t="s">
        <v>183</v>
      </c>
      <c r="C80" s="16"/>
    </row>
    <row r="81" spans="2:3" ht="12.75" customHeight="1" x14ac:dyDescent="0.2">
      <c r="B81" s="16" t="s">
        <v>184</v>
      </c>
      <c r="C81" s="16"/>
    </row>
    <row r="82" spans="2:3" ht="12.75" customHeight="1" x14ac:dyDescent="0.2">
      <c r="B82" s="16" t="s">
        <v>185</v>
      </c>
      <c r="C82" s="16"/>
    </row>
    <row r="83" spans="2:3" ht="12.75" customHeight="1" x14ac:dyDescent="0.2">
      <c r="B83" s="53"/>
      <c r="C83" s="16"/>
    </row>
    <row r="84" spans="2:3" ht="12.75" customHeight="1" x14ac:dyDescent="0.2">
      <c r="B84" s="16"/>
      <c r="C84" s="16"/>
    </row>
    <row r="85" spans="2:3" ht="12.75" customHeight="1" x14ac:dyDescent="0.2"/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/>
    <row r="108" spans="9:9" ht="12.75" customHeight="1" x14ac:dyDescent="0.2"/>
    <row r="109" spans="9:9" ht="12.75" customHeight="1" x14ac:dyDescent="0.2"/>
    <row r="110" spans="9:9" ht="12.75" customHeight="1" x14ac:dyDescent="0.2">
      <c r="I110" s="33" t="str">
        <f>IFERROR(IF(A110="CBLO",VLOOKUP($A$1&amp;A110,#REF!,23,0),IF(VLOOKUP($C110,#REF!,17,0)="","",VLOOKUP(C110,#REF!,17,0))),"")</f>
        <v/>
      </c>
    </row>
    <row r="111" spans="9:9" ht="12.75" customHeight="1" x14ac:dyDescent="0.2">
      <c r="I111" s="33" t="str">
        <f>IFERROR(IF(A111="CBLO",VLOOKUP($A$1&amp;A111,#REF!,23,0),IF(VLOOKUP($C111,#REF!,17,0)="","",VLOOKUP(C111,#REF!,17,0))),"")</f>
        <v/>
      </c>
    </row>
    <row r="112" spans="9:9" ht="12.75" customHeight="1" x14ac:dyDescent="0.2">
      <c r="I112" s="33" t="str">
        <f>IFERROR(IF(A112="CBLO",VLOOKUP($A$1&amp;A112,#REF!,23,0),IF(VLOOKUP($C112,#REF!,17,0)="","",VLOOKUP(C112,#REF!,17,0))),"")</f>
        <v/>
      </c>
    </row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/>
    <row r="117" spans="9:9" ht="12.75" customHeight="1" x14ac:dyDescent="0.2"/>
    <row r="118" spans="9:9" ht="12.75" customHeight="1" x14ac:dyDescent="0.2"/>
    <row r="119" spans="9:9" ht="12.75" customHeight="1" x14ac:dyDescent="0.2">
      <c r="I119" s="33" t="str">
        <f>IFERROR(IF(A119="CBLO",VLOOKUP($A$1&amp;A119,#REF!,23,0),IF(VLOOKUP($C119,#REF!,17,0)="","",VLOOKUP(C119,#REF!,17,0))),"")</f>
        <v/>
      </c>
    </row>
    <row r="120" spans="9:9" ht="12.75" customHeight="1" x14ac:dyDescent="0.2"/>
    <row r="121" spans="9:9" ht="12.75" customHeight="1" x14ac:dyDescent="0.2"/>
    <row r="122" spans="9:9" ht="12.75" customHeight="1" x14ac:dyDescent="0.2"/>
    <row r="123" spans="9:9" x14ac:dyDescent="0.2">
      <c r="I123" s="33" t="str">
        <f>IFERROR(IF(A123="CBLO",VLOOKUP($A$1&amp;A123,#REF!,23,0),IF(VLOOKUP($C123,#REF!,17,0)="","",VLOOKUP(C123,#REF!,17,0))),"")</f>
        <v/>
      </c>
    </row>
    <row r="124" spans="9:9" x14ac:dyDescent="0.2">
      <c r="I124" s="33" t="str">
        <f>IFERROR(IF(A124="CBLO",VLOOKUP($A$1&amp;A124,#REF!,23,0),IF(VLOOKUP($C124,#REF!,17,0)="","",VLOOKUP(C124,#REF!,17,0))),"")</f>
        <v/>
      </c>
    </row>
    <row r="129" spans="9:9" x14ac:dyDescent="0.2">
      <c r="I129" s="33" t="str">
        <f>IFERROR(IF(A129="CBLO",VLOOKUP($A$1&amp;A129,#REF!,23,0),IF(VLOOKUP($C129,#REF!,17,0)="","",VLOOKUP(C129,#REF!,17,0))),"")</f>
        <v/>
      </c>
    </row>
    <row r="130" spans="9:9" x14ac:dyDescent="0.2">
      <c r="I130" s="33" t="str">
        <f>IFERROR(IF(A130="CBLO",VLOOKUP($A$1&amp;A130,#REF!,23,0),IF(VLOOKUP($C130,#REF!,17,0)="","",VLOOKUP(C130,#REF!,17,0))),"")</f>
        <v/>
      </c>
    </row>
    <row r="134" spans="9:9" x14ac:dyDescent="0.2">
      <c r="I134" s="33" t="str">
        <f>IFERROR(IF(A134="CBLO",VLOOKUP($A$1&amp;A134,#REF!,23,0),IF(VLOOKUP($C134,#REF!,17,0)="","",VLOOKUP(C134,#REF!,17,0))),"")</f>
        <v/>
      </c>
    </row>
    <row r="138" spans="9:9" x14ac:dyDescent="0.2">
      <c r="I138" s="33" t="str">
        <f>IFERROR(IF(A138="CBLO",VLOOKUP($A$1&amp;A138,#REF!,23,0),IF(VLOOKUP($C138,#REF!,17,0)="","",VLOOKUP(C138,#REF!,17,0))),"")</f>
        <v/>
      </c>
    </row>
  </sheetData>
  <sheetProtection password="EDB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54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21.5703125" bestFit="1" customWidth="1"/>
    <col min="4" max="4" width="25.42578125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4" t="s">
        <v>363</v>
      </c>
      <c r="B1" s="126" t="s">
        <v>157</v>
      </c>
      <c r="C1" s="127"/>
      <c r="D1" s="127"/>
      <c r="E1" s="127"/>
      <c r="F1" s="127"/>
      <c r="G1" s="127"/>
      <c r="H1" s="127"/>
      <c r="I1" s="128"/>
    </row>
    <row r="2" spans="1:17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125" t="s">
        <v>741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392</v>
      </c>
      <c r="C8" s="16"/>
      <c r="F8" s="13"/>
      <c r="G8" s="14"/>
      <c r="H8" s="14"/>
      <c r="I8" s="60"/>
      <c r="K8" s="17" t="s">
        <v>632</v>
      </c>
      <c r="L8" s="102" t="s">
        <v>12</v>
      </c>
      <c r="Q8" s="65"/>
    </row>
    <row r="9" spans="1:17" s="65" customFormat="1" ht="12.75" customHeight="1" x14ac:dyDescent="0.2">
      <c r="A9" s="77">
        <f>+MAX($A$8:A8)+1</f>
        <v>1</v>
      </c>
      <c r="B9" s="77" t="s">
        <v>187</v>
      </c>
      <c r="C9" s="65" t="s">
        <v>13</v>
      </c>
      <c r="D9" s="77" t="s">
        <v>10</v>
      </c>
      <c r="E9" s="74">
        <v>18561</v>
      </c>
      <c r="F9" s="80">
        <v>350.07902100000001</v>
      </c>
      <c r="G9" s="76">
        <f t="shared" ref="G9:G34" si="0">+ROUND(F9/VLOOKUP("Grand Total",$B$4:$F$284,5,0),4)</f>
        <v>2.0199999999999999E-2</v>
      </c>
      <c r="H9" s="76"/>
      <c r="I9" s="91" t="s">
        <v>357</v>
      </c>
      <c r="J9" s="101"/>
      <c r="K9" s="14" t="s">
        <v>23</v>
      </c>
      <c r="L9" s="103">
        <f t="shared" ref="L9:L31" si="1">SUMIFS($G$5:$G$300,$D$5:$D$300,K9)</f>
        <v>0.1061</v>
      </c>
    </row>
    <row r="10" spans="1:17" s="65" customFormat="1" ht="12.75" customHeight="1" x14ac:dyDescent="0.2">
      <c r="A10" s="77">
        <f>+MAX($A$8:A9)+1</f>
        <v>2</v>
      </c>
      <c r="B10" s="77" t="s">
        <v>245</v>
      </c>
      <c r="C10" s="65" t="s">
        <v>114</v>
      </c>
      <c r="D10" s="77" t="s">
        <v>35</v>
      </c>
      <c r="E10" s="74">
        <v>155429</v>
      </c>
      <c r="F10" s="80">
        <v>263.763013</v>
      </c>
      <c r="G10" s="76">
        <f t="shared" si="0"/>
        <v>1.5299999999999999E-2</v>
      </c>
      <c r="H10" s="76"/>
      <c r="I10" s="91" t="s">
        <v>357</v>
      </c>
      <c r="J10" s="101"/>
      <c r="K10" s="65" t="s">
        <v>22</v>
      </c>
      <c r="L10" s="103">
        <f t="shared" si="1"/>
        <v>8.8899999999999993E-2</v>
      </c>
    </row>
    <row r="11" spans="1:17" s="65" customFormat="1" ht="12.75" customHeight="1" x14ac:dyDescent="0.2">
      <c r="A11" s="77">
        <f>+MAX($A$8:A10)+1</f>
        <v>3</v>
      </c>
      <c r="B11" s="77" t="s">
        <v>199</v>
      </c>
      <c r="C11" s="65" t="s">
        <v>52</v>
      </c>
      <c r="D11" s="77" t="s">
        <v>18</v>
      </c>
      <c r="E11" s="74">
        <v>6300</v>
      </c>
      <c r="F11" s="80">
        <v>248.85</v>
      </c>
      <c r="G11" s="76">
        <f t="shared" si="0"/>
        <v>1.44E-2</v>
      </c>
      <c r="H11" s="76"/>
      <c r="I11" s="91" t="s">
        <v>357</v>
      </c>
      <c r="J11" s="101"/>
      <c r="K11" s="90" t="s">
        <v>20</v>
      </c>
      <c r="L11" s="103">
        <f t="shared" si="1"/>
        <v>8.0500000000000002E-2</v>
      </c>
    </row>
    <row r="12" spans="1:17" s="65" customFormat="1" ht="12.75" customHeight="1" x14ac:dyDescent="0.2">
      <c r="A12" s="77">
        <f>+MAX($A$8:A11)+1</f>
        <v>4</v>
      </c>
      <c r="B12" s="77" t="s">
        <v>16</v>
      </c>
      <c r="C12" s="65" t="s">
        <v>17</v>
      </c>
      <c r="D12" s="77" t="s">
        <v>10</v>
      </c>
      <c r="E12" s="74">
        <v>99000</v>
      </c>
      <c r="F12" s="80">
        <v>247.40100000000001</v>
      </c>
      <c r="G12" s="76">
        <f t="shared" si="0"/>
        <v>1.43E-2</v>
      </c>
      <c r="H12" s="76"/>
      <c r="I12" s="91" t="s">
        <v>357</v>
      </c>
      <c r="J12" s="101"/>
      <c r="K12" s="65" t="s">
        <v>10</v>
      </c>
      <c r="L12" s="103">
        <f t="shared" si="1"/>
        <v>7.9399999999999998E-2</v>
      </c>
    </row>
    <row r="13" spans="1:17" s="65" customFormat="1" ht="12.75" customHeight="1" x14ac:dyDescent="0.2">
      <c r="A13" s="77">
        <f>+MAX($A$8:A12)+1</f>
        <v>5</v>
      </c>
      <c r="B13" s="77" t="s">
        <v>235</v>
      </c>
      <c r="C13" s="65" t="s">
        <v>99</v>
      </c>
      <c r="D13" s="77" t="s">
        <v>20</v>
      </c>
      <c r="E13" s="74">
        <v>31064</v>
      </c>
      <c r="F13" s="80">
        <v>229.53189600000002</v>
      </c>
      <c r="G13" s="76">
        <f t="shared" si="0"/>
        <v>1.3299999999999999E-2</v>
      </c>
      <c r="H13" s="76"/>
      <c r="I13" s="91" t="s">
        <v>357</v>
      </c>
      <c r="J13" s="101"/>
      <c r="K13" s="65" t="s">
        <v>29</v>
      </c>
      <c r="L13" s="103">
        <f t="shared" si="1"/>
        <v>7.4899999999999994E-2</v>
      </c>
    </row>
    <row r="14" spans="1:17" s="65" customFormat="1" ht="12.75" customHeight="1" x14ac:dyDescent="0.2">
      <c r="A14" s="77">
        <f>+MAX($A$8:A13)+1</f>
        <v>6</v>
      </c>
      <c r="B14" s="77" t="s">
        <v>211</v>
      </c>
      <c r="C14" s="65" t="s">
        <v>19</v>
      </c>
      <c r="D14" s="77" t="s">
        <v>14</v>
      </c>
      <c r="E14" s="74">
        <v>7945</v>
      </c>
      <c r="F14" s="80">
        <v>226.36496750000001</v>
      </c>
      <c r="G14" s="76">
        <f t="shared" si="0"/>
        <v>1.3100000000000001E-2</v>
      </c>
      <c r="H14" s="76"/>
      <c r="I14" s="91" t="s">
        <v>357</v>
      </c>
      <c r="J14" s="101"/>
      <c r="K14" s="90" t="s">
        <v>25</v>
      </c>
      <c r="L14" s="103">
        <f t="shared" si="1"/>
        <v>7.1300000000000002E-2</v>
      </c>
    </row>
    <row r="15" spans="1:17" s="65" customFormat="1" ht="12.75" customHeight="1" x14ac:dyDescent="0.2">
      <c r="A15" s="77">
        <f>+MAX($A$8:A14)+1</f>
        <v>7</v>
      </c>
      <c r="B15" s="77" t="s">
        <v>188</v>
      </c>
      <c r="C15" s="65" t="s">
        <v>15</v>
      </c>
      <c r="D15" s="77" t="s">
        <v>14</v>
      </c>
      <c r="E15" s="74">
        <v>19602</v>
      </c>
      <c r="F15" s="80">
        <v>221.85543600000003</v>
      </c>
      <c r="G15" s="76">
        <f t="shared" si="0"/>
        <v>1.2800000000000001E-2</v>
      </c>
      <c r="H15" s="76"/>
      <c r="I15" s="91" t="s">
        <v>357</v>
      </c>
      <c r="J15" s="101"/>
      <c r="K15" s="90" t="s">
        <v>35</v>
      </c>
      <c r="L15" s="103">
        <f t="shared" si="1"/>
        <v>4.1800000000000004E-2</v>
      </c>
    </row>
    <row r="16" spans="1:17" s="65" customFormat="1" ht="12.75" customHeight="1" x14ac:dyDescent="0.2">
      <c r="A16" s="77">
        <f>+MAX($A$8:A15)+1</f>
        <v>8</v>
      </c>
      <c r="B16" s="77" t="s">
        <v>198</v>
      </c>
      <c r="C16" s="65" t="s">
        <v>47</v>
      </c>
      <c r="D16" s="77" t="s">
        <v>25</v>
      </c>
      <c r="E16" s="74">
        <v>4269</v>
      </c>
      <c r="F16" s="80">
        <v>212.19491399999998</v>
      </c>
      <c r="G16" s="76">
        <f t="shared" si="0"/>
        <v>1.23E-2</v>
      </c>
      <c r="H16" s="76"/>
      <c r="I16" s="91" t="s">
        <v>357</v>
      </c>
      <c r="J16" s="101"/>
      <c r="K16" s="90" t="s">
        <v>18</v>
      </c>
      <c r="L16" s="103">
        <f t="shared" si="1"/>
        <v>3.9800000000000002E-2</v>
      </c>
    </row>
    <row r="17" spans="1:12" s="65" customFormat="1" ht="12.75" customHeight="1" x14ac:dyDescent="0.2">
      <c r="A17" s="77">
        <f>+MAX($A$8:A16)+1</f>
        <v>9</v>
      </c>
      <c r="B17" s="77" t="s">
        <v>226</v>
      </c>
      <c r="C17" s="65" t="s">
        <v>77</v>
      </c>
      <c r="D17" s="77" t="s">
        <v>25</v>
      </c>
      <c r="E17" s="74">
        <v>6693</v>
      </c>
      <c r="F17" s="80">
        <v>209.46747449999998</v>
      </c>
      <c r="G17" s="76">
        <f t="shared" si="0"/>
        <v>1.21E-2</v>
      </c>
      <c r="H17" s="76"/>
      <c r="I17" s="91" t="s">
        <v>357</v>
      </c>
      <c r="J17" s="101"/>
      <c r="K17" s="65" t="s">
        <v>542</v>
      </c>
      <c r="L17" s="103">
        <f t="shared" si="1"/>
        <v>3.9199999999999999E-2</v>
      </c>
    </row>
    <row r="18" spans="1:12" s="65" customFormat="1" ht="12.75" customHeight="1" x14ac:dyDescent="0.2">
      <c r="A18" s="77">
        <f>+MAX($A$8:A17)+1</f>
        <v>10</v>
      </c>
      <c r="B18" s="77" t="s">
        <v>242</v>
      </c>
      <c r="C18" s="65" t="s">
        <v>113</v>
      </c>
      <c r="D18" s="77" t="s">
        <v>35</v>
      </c>
      <c r="E18" s="74">
        <v>106893</v>
      </c>
      <c r="F18" s="80">
        <v>206.57072249999999</v>
      </c>
      <c r="G18" s="76">
        <f t="shared" si="0"/>
        <v>1.1900000000000001E-2</v>
      </c>
      <c r="H18" s="76"/>
      <c r="I18" s="91" t="s">
        <v>357</v>
      </c>
      <c r="J18" s="101"/>
      <c r="K18" s="14" t="s">
        <v>14</v>
      </c>
      <c r="L18" s="103">
        <f t="shared" si="1"/>
        <v>3.7699999999999997E-2</v>
      </c>
    </row>
    <row r="19" spans="1:12" s="65" customFormat="1" ht="12.75" customHeight="1" x14ac:dyDescent="0.2">
      <c r="A19" s="77">
        <f>+MAX($A$8:A18)+1</f>
        <v>11</v>
      </c>
      <c r="B19" s="77" t="s">
        <v>192</v>
      </c>
      <c r="C19" s="65" t="s">
        <v>24</v>
      </c>
      <c r="D19" s="77" t="s">
        <v>14</v>
      </c>
      <c r="E19" s="74">
        <v>21045</v>
      </c>
      <c r="F19" s="80">
        <v>203.84187</v>
      </c>
      <c r="G19" s="76">
        <f t="shared" si="0"/>
        <v>1.18E-2</v>
      </c>
      <c r="H19" s="76"/>
      <c r="I19" s="91" t="s">
        <v>357</v>
      </c>
      <c r="J19" s="101"/>
      <c r="K19" s="65" t="s">
        <v>283</v>
      </c>
      <c r="L19" s="103">
        <f t="shared" si="1"/>
        <v>2.87E-2</v>
      </c>
    </row>
    <row r="20" spans="1:12" s="65" customFormat="1" ht="12.75" customHeight="1" x14ac:dyDescent="0.2">
      <c r="A20" s="77">
        <f>+MAX($A$8:A19)+1</f>
        <v>12</v>
      </c>
      <c r="B20" s="77" t="s">
        <v>196</v>
      </c>
      <c r="C20" s="65" t="s">
        <v>45</v>
      </c>
      <c r="D20" s="77" t="s">
        <v>25</v>
      </c>
      <c r="E20" s="74">
        <v>79268</v>
      </c>
      <c r="F20" s="80">
        <v>202.52974</v>
      </c>
      <c r="G20" s="76">
        <f t="shared" si="0"/>
        <v>1.17E-2</v>
      </c>
      <c r="H20" s="76"/>
      <c r="I20" s="91" t="s">
        <v>357</v>
      </c>
      <c r="J20" s="101"/>
      <c r="K20" s="65" t="s">
        <v>535</v>
      </c>
      <c r="L20" s="103">
        <f t="shared" si="1"/>
        <v>2.8500000000000001E-2</v>
      </c>
    </row>
    <row r="21" spans="1:12" s="65" customFormat="1" ht="12.75" customHeight="1" x14ac:dyDescent="0.2">
      <c r="A21" s="77">
        <f>+MAX($A$8:A20)+1</f>
        <v>13</v>
      </c>
      <c r="B21" s="77" t="s">
        <v>193</v>
      </c>
      <c r="C21" s="65" t="s">
        <v>26</v>
      </c>
      <c r="D21" s="77" t="s">
        <v>23</v>
      </c>
      <c r="E21" s="74">
        <v>10944</v>
      </c>
      <c r="F21" s="80">
        <v>199.79366399999998</v>
      </c>
      <c r="G21" s="76">
        <f t="shared" si="0"/>
        <v>1.1599999999999999E-2</v>
      </c>
      <c r="H21" s="76"/>
      <c r="I21" s="91" t="s">
        <v>357</v>
      </c>
      <c r="J21" s="101"/>
      <c r="K21" s="65" t="s">
        <v>44</v>
      </c>
      <c r="L21" s="103">
        <f t="shared" si="1"/>
        <v>2.5600000000000001E-2</v>
      </c>
    </row>
    <row r="22" spans="1:12" s="65" customFormat="1" ht="12.75" customHeight="1" x14ac:dyDescent="0.2">
      <c r="A22" s="77">
        <f>+MAX($A$8:A21)+1</f>
        <v>14</v>
      </c>
      <c r="B22" s="77" t="s">
        <v>243</v>
      </c>
      <c r="C22" s="65" t="s">
        <v>111</v>
      </c>
      <c r="D22" s="77" t="s">
        <v>20</v>
      </c>
      <c r="E22" s="74">
        <v>5620</v>
      </c>
      <c r="F22" s="80">
        <v>199.10535999999999</v>
      </c>
      <c r="G22" s="76">
        <f t="shared" si="0"/>
        <v>1.15E-2</v>
      </c>
      <c r="H22" s="76"/>
      <c r="I22" s="91" t="s">
        <v>357</v>
      </c>
      <c r="J22" s="101"/>
      <c r="K22" s="14" t="s">
        <v>431</v>
      </c>
      <c r="L22" s="103">
        <f t="shared" si="1"/>
        <v>2.3E-2</v>
      </c>
    </row>
    <row r="23" spans="1:12" s="65" customFormat="1" ht="12.75" customHeight="1" x14ac:dyDescent="0.2">
      <c r="A23" s="77">
        <f>+MAX($A$8:A22)+1</f>
        <v>15</v>
      </c>
      <c r="B23" s="77" t="s">
        <v>220</v>
      </c>
      <c r="C23" s="65" t="s">
        <v>70</v>
      </c>
      <c r="D23" s="77" t="s">
        <v>27</v>
      </c>
      <c r="E23" s="74">
        <v>15146</v>
      </c>
      <c r="F23" s="80">
        <v>198.548914</v>
      </c>
      <c r="G23" s="76">
        <f t="shared" si="0"/>
        <v>1.15E-2</v>
      </c>
      <c r="H23" s="76"/>
      <c r="I23" s="91" t="s">
        <v>357</v>
      </c>
      <c r="J23" s="101"/>
      <c r="K23" s="65" t="s">
        <v>311</v>
      </c>
      <c r="L23" s="103">
        <f t="shared" si="1"/>
        <v>1.9800000000000002E-2</v>
      </c>
    </row>
    <row r="24" spans="1:12" s="65" customFormat="1" ht="12.75" customHeight="1" x14ac:dyDescent="0.2">
      <c r="A24" s="77">
        <f>+MAX($A$8:A23)+1</f>
        <v>16</v>
      </c>
      <c r="B24" s="77" t="s">
        <v>380</v>
      </c>
      <c r="C24" s="65" t="s">
        <v>379</v>
      </c>
      <c r="D24" s="77" t="s">
        <v>25</v>
      </c>
      <c r="E24" s="74">
        <v>60000</v>
      </c>
      <c r="F24" s="80">
        <v>197.04</v>
      </c>
      <c r="G24" s="76">
        <f t="shared" si="0"/>
        <v>1.14E-2</v>
      </c>
      <c r="H24" s="76"/>
      <c r="I24" s="91" t="s">
        <v>357</v>
      </c>
      <c r="J24" s="101"/>
      <c r="K24" s="65" t="s">
        <v>510</v>
      </c>
      <c r="L24" s="103">
        <f t="shared" si="1"/>
        <v>1.9199999999999998E-2</v>
      </c>
    </row>
    <row r="25" spans="1:12" s="65" customFormat="1" ht="12.75" customHeight="1" x14ac:dyDescent="0.2">
      <c r="A25" s="77">
        <f>+MAX($A$8:A24)+1</f>
        <v>17</v>
      </c>
      <c r="B25" s="77" t="s">
        <v>550</v>
      </c>
      <c r="C25" s="65" t="s">
        <v>551</v>
      </c>
      <c r="D25" s="77" t="s">
        <v>25</v>
      </c>
      <c r="E25" s="74">
        <v>3155</v>
      </c>
      <c r="F25" s="80">
        <v>192.458155</v>
      </c>
      <c r="G25" s="76">
        <f t="shared" si="0"/>
        <v>1.11E-2</v>
      </c>
      <c r="H25" s="76"/>
      <c r="I25" s="91" t="s">
        <v>357</v>
      </c>
      <c r="J25" s="101"/>
      <c r="K25" s="65" t="s">
        <v>285</v>
      </c>
      <c r="L25" s="103">
        <f t="shared" si="1"/>
        <v>1.7299999999999999E-2</v>
      </c>
    </row>
    <row r="26" spans="1:12" s="65" customFormat="1" ht="12.75" customHeight="1" x14ac:dyDescent="0.2">
      <c r="A26" s="77">
        <f>+MAX($A$8:A25)+1</f>
        <v>18</v>
      </c>
      <c r="B26" s="77" t="s">
        <v>190</v>
      </c>
      <c r="C26" s="65" t="s">
        <v>11</v>
      </c>
      <c r="D26" s="77" t="s">
        <v>10</v>
      </c>
      <c r="E26" s="74">
        <v>67617</v>
      </c>
      <c r="F26" s="80">
        <v>188.21191949999999</v>
      </c>
      <c r="G26" s="76">
        <f t="shared" si="0"/>
        <v>1.09E-2</v>
      </c>
      <c r="H26" s="76"/>
      <c r="I26" s="91" t="s">
        <v>357</v>
      </c>
      <c r="J26" s="101"/>
      <c r="K26" s="65" t="s">
        <v>349</v>
      </c>
      <c r="L26" s="103">
        <f t="shared" si="1"/>
        <v>1.3899999999999999E-2</v>
      </c>
    </row>
    <row r="27" spans="1:12" s="65" customFormat="1" ht="12.75" customHeight="1" x14ac:dyDescent="0.2">
      <c r="A27" s="77">
        <f>+MAX($A$8:A26)+1</f>
        <v>19</v>
      </c>
      <c r="B27" s="77" t="s">
        <v>234</v>
      </c>
      <c r="C27" s="65" t="s">
        <v>100</v>
      </c>
      <c r="D27" s="77" t="s">
        <v>25</v>
      </c>
      <c r="E27" s="74">
        <v>14096</v>
      </c>
      <c r="F27" s="80">
        <v>187.94901600000003</v>
      </c>
      <c r="G27" s="76">
        <f t="shared" si="0"/>
        <v>1.09E-2</v>
      </c>
      <c r="H27" s="76"/>
      <c r="I27" s="91" t="s">
        <v>357</v>
      </c>
      <c r="J27" s="101"/>
      <c r="K27" s="14" t="s">
        <v>27</v>
      </c>
      <c r="L27" s="103">
        <f t="shared" si="1"/>
        <v>1.15E-2</v>
      </c>
    </row>
    <row r="28" spans="1:12" s="65" customFormat="1" ht="12.75" customHeight="1" x14ac:dyDescent="0.2">
      <c r="A28" s="77">
        <f>+MAX($A$8:A27)+1</f>
        <v>20</v>
      </c>
      <c r="B28" s="77" t="s">
        <v>548</v>
      </c>
      <c r="C28" s="65" t="s">
        <v>549</v>
      </c>
      <c r="D28" s="77" t="s">
        <v>35</v>
      </c>
      <c r="E28" s="74">
        <v>236144</v>
      </c>
      <c r="F28" s="80">
        <v>186.55376000000001</v>
      </c>
      <c r="G28" s="76">
        <f t="shared" si="0"/>
        <v>1.0800000000000001E-2</v>
      </c>
      <c r="H28" s="76"/>
      <c r="I28" s="91" t="s">
        <v>357</v>
      </c>
      <c r="J28" s="101"/>
      <c r="K28" s="14" t="s">
        <v>50</v>
      </c>
      <c r="L28" s="103">
        <f t="shared" si="1"/>
        <v>1.04E-2</v>
      </c>
    </row>
    <row r="29" spans="1:12" s="65" customFormat="1" ht="12.75" customHeight="1" x14ac:dyDescent="0.2">
      <c r="A29" s="77">
        <f>+MAX($A$8:A28)+1</f>
        <v>21</v>
      </c>
      <c r="B29" s="77" t="s">
        <v>207</v>
      </c>
      <c r="C29" s="65" t="s">
        <v>97</v>
      </c>
      <c r="D29" s="77" t="s">
        <v>10</v>
      </c>
      <c r="E29" s="74">
        <v>17412</v>
      </c>
      <c r="F29" s="80">
        <v>182.442936</v>
      </c>
      <c r="G29" s="76">
        <f t="shared" si="0"/>
        <v>1.06E-2</v>
      </c>
      <c r="H29" s="76"/>
      <c r="I29" s="91" t="s">
        <v>357</v>
      </c>
      <c r="J29" s="101"/>
      <c r="K29" s="14" t="s">
        <v>36</v>
      </c>
      <c r="L29" s="103">
        <f t="shared" si="1"/>
        <v>9.5999999999999992E-3</v>
      </c>
    </row>
    <row r="30" spans="1:12" s="65" customFormat="1" ht="12.75" customHeight="1" x14ac:dyDescent="0.2">
      <c r="A30" s="77">
        <f>+MAX($A$8:A29)+1</f>
        <v>22</v>
      </c>
      <c r="B30" s="77" t="s">
        <v>223</v>
      </c>
      <c r="C30" s="65" t="s">
        <v>78</v>
      </c>
      <c r="D30" s="77" t="s">
        <v>50</v>
      </c>
      <c r="E30" s="74">
        <v>63647</v>
      </c>
      <c r="F30" s="80">
        <v>180.31195100000002</v>
      </c>
      <c r="G30" s="76">
        <f t="shared" si="0"/>
        <v>1.04E-2</v>
      </c>
      <c r="H30" s="76"/>
      <c r="I30" s="91" t="s">
        <v>357</v>
      </c>
      <c r="J30" s="101"/>
      <c r="K30" s="65" t="s">
        <v>107</v>
      </c>
      <c r="L30" s="103">
        <f t="shared" si="1"/>
        <v>5.8999999999999999E-3</v>
      </c>
    </row>
    <row r="31" spans="1:12" s="65" customFormat="1" ht="12.75" customHeight="1" x14ac:dyDescent="0.2">
      <c r="A31" s="77">
        <f>+MAX($A$8:A30)+1</f>
        <v>23</v>
      </c>
      <c r="B31" s="77" t="s">
        <v>189</v>
      </c>
      <c r="C31" s="65" t="s">
        <v>30</v>
      </c>
      <c r="D31" s="77" t="s">
        <v>29</v>
      </c>
      <c r="E31" s="74">
        <v>19599</v>
      </c>
      <c r="F31" s="80">
        <v>173.000373</v>
      </c>
      <c r="G31" s="76">
        <f t="shared" si="0"/>
        <v>0.01</v>
      </c>
      <c r="H31" s="76"/>
      <c r="I31" s="91" t="s">
        <v>357</v>
      </c>
      <c r="J31" s="101"/>
      <c r="K31" s="65" t="s">
        <v>389</v>
      </c>
      <c r="L31" s="103">
        <f t="shared" si="1"/>
        <v>4.8999999999999998E-3</v>
      </c>
    </row>
    <row r="32" spans="1:12" s="65" customFormat="1" ht="12.75" customHeight="1" x14ac:dyDescent="0.2">
      <c r="A32" s="77">
        <f>+MAX($A$8:A31)+1</f>
        <v>24</v>
      </c>
      <c r="B32" s="77" t="s">
        <v>633</v>
      </c>
      <c r="C32" s="65" t="s">
        <v>634</v>
      </c>
      <c r="D32" s="77" t="s">
        <v>36</v>
      </c>
      <c r="E32" s="74">
        <v>12900</v>
      </c>
      <c r="F32" s="80">
        <v>166.46805000000001</v>
      </c>
      <c r="G32" s="76">
        <f t="shared" si="0"/>
        <v>9.5999999999999992E-3</v>
      </c>
      <c r="H32" s="76"/>
      <c r="I32" s="91" t="s">
        <v>357</v>
      </c>
      <c r="J32" s="101"/>
      <c r="K32" s="14" t="s">
        <v>63</v>
      </c>
      <c r="L32" s="48">
        <f>+SUMIFS($G$5:$G$997,$B$5:$B$997,"CBLO / Reverse Repo Investments")+SUMIFS($G$5:$G$997,$B$5:$B$997,"Net Receivable/Payable")</f>
        <v>0.1221</v>
      </c>
    </row>
    <row r="33" spans="1:14" s="65" customFormat="1" ht="12.75" customHeight="1" x14ac:dyDescent="0.2">
      <c r="A33" s="77">
        <f>+MAX($A$8:A32)+1</f>
        <v>25</v>
      </c>
      <c r="B33" s="77" t="s">
        <v>210</v>
      </c>
      <c r="C33" s="65" t="s">
        <v>60</v>
      </c>
      <c r="D33" s="77" t="s">
        <v>22</v>
      </c>
      <c r="E33" s="74">
        <v>28300</v>
      </c>
      <c r="F33" s="80">
        <v>157.87155000000001</v>
      </c>
      <c r="G33" s="76">
        <f t="shared" si="0"/>
        <v>9.1000000000000004E-3</v>
      </c>
      <c r="H33" s="76"/>
      <c r="I33" s="91" t="s">
        <v>357</v>
      </c>
      <c r="J33" s="101"/>
      <c r="K33" s="14"/>
      <c r="L33" s="48"/>
    </row>
    <row r="34" spans="1:14" s="65" customFormat="1" ht="12.75" customHeight="1" x14ac:dyDescent="0.2">
      <c r="A34" s="77">
        <f>+MAX($A$8:A33)+1</f>
        <v>26</v>
      </c>
      <c r="B34" s="77" t="s">
        <v>415</v>
      </c>
      <c r="C34" s="65" t="s">
        <v>67</v>
      </c>
      <c r="D34" s="77" t="s">
        <v>22</v>
      </c>
      <c r="E34" s="74">
        <v>18016</v>
      </c>
      <c r="F34" s="80">
        <v>89.197215999999997</v>
      </c>
      <c r="G34" s="76">
        <f t="shared" si="0"/>
        <v>5.1999999999999998E-3</v>
      </c>
      <c r="H34" s="76"/>
      <c r="I34" s="91" t="s">
        <v>357</v>
      </c>
      <c r="J34" s="101"/>
      <c r="L34" s="103"/>
    </row>
    <row r="35" spans="1:14" ht="12.75" customHeight="1" x14ac:dyDescent="0.2">
      <c r="B35" s="18" t="s">
        <v>84</v>
      </c>
      <c r="C35" s="18"/>
      <c r="D35" s="18"/>
      <c r="E35" s="19"/>
      <c r="F35" s="19">
        <f>SUM(F9:F34)</f>
        <v>5321.4029189999992</v>
      </c>
      <c r="G35" s="20">
        <f>SUM(G9:G34)</f>
        <v>0.30780000000000002</v>
      </c>
      <c r="H35" s="20"/>
      <c r="I35" s="21"/>
      <c r="K35" s="65"/>
      <c r="L35" s="103"/>
    </row>
    <row r="36" spans="1:14" ht="12.75" customHeight="1" x14ac:dyDescent="0.2">
      <c r="F36" s="44"/>
      <c r="G36" s="14"/>
      <c r="H36" s="14"/>
      <c r="I36" s="15"/>
      <c r="K36" s="90"/>
      <c r="L36" s="103"/>
    </row>
    <row r="37" spans="1:14" s="65" customFormat="1" ht="12.75" customHeight="1" x14ac:dyDescent="0.2">
      <c r="A37"/>
      <c r="B37" s="16" t="s">
        <v>647</v>
      </c>
      <c r="C37" s="16"/>
      <c r="D37"/>
      <c r="E37" s="38"/>
      <c r="F37" s="44"/>
      <c r="G37" s="45"/>
      <c r="H37" s="45"/>
      <c r="I37" s="47"/>
      <c r="J37" s="77"/>
      <c r="K37" s="14"/>
      <c r="L37" s="103"/>
      <c r="N37" s="75"/>
    </row>
    <row r="38" spans="1:14" s="65" customFormat="1" ht="12.75" customHeight="1" x14ac:dyDescent="0.2">
      <c r="A38" s="77">
        <f>+MAX($A$8:A37)+1</f>
        <v>27</v>
      </c>
      <c r="B38" s="77" t="s">
        <v>197</v>
      </c>
      <c r="C38" s="65" t="s">
        <v>43</v>
      </c>
      <c r="D38" s="77" t="s">
        <v>23</v>
      </c>
      <c r="E38" s="74">
        <v>237000</v>
      </c>
      <c r="F38" s="80">
        <v>1209.0554999999999</v>
      </c>
      <c r="G38" s="76">
        <f>+ROUND(F38/VLOOKUP("Grand Total",$B$4:$F$284,5,0),4)</f>
        <v>6.9900000000000004E-2</v>
      </c>
      <c r="H38" s="76"/>
      <c r="I38" s="91" t="s">
        <v>357</v>
      </c>
      <c r="J38" s="101"/>
      <c r="K38" s="90"/>
      <c r="L38" s="103"/>
    </row>
    <row r="39" spans="1:14" s="65" customFormat="1" ht="12.75" customHeight="1" x14ac:dyDescent="0.2">
      <c r="A39" s="77"/>
      <c r="B39" s="77" t="s">
        <v>197</v>
      </c>
      <c r="C39" s="121" t="s">
        <v>616</v>
      </c>
      <c r="D39" s="77" t="s">
        <v>314</v>
      </c>
      <c r="E39" s="74">
        <v>-237000</v>
      </c>
      <c r="F39" s="80">
        <v>-1216.4024999999999</v>
      </c>
      <c r="G39" s="76"/>
      <c r="H39" s="76">
        <f>+ROUND(F39/VLOOKUP("Grand Total",$B$4:$F$284,5,0),4)</f>
        <v>-7.0300000000000001E-2</v>
      </c>
      <c r="I39" s="104">
        <v>43216</v>
      </c>
      <c r="J39" s="101"/>
      <c r="K39" s="90"/>
      <c r="L39" s="103"/>
    </row>
    <row r="40" spans="1:14" s="65" customFormat="1" ht="12.75" customHeight="1" x14ac:dyDescent="0.2">
      <c r="A40" s="77">
        <f>+MAX($A$8:A39)+1</f>
        <v>28</v>
      </c>
      <c r="B40" s="77" t="s">
        <v>189</v>
      </c>
      <c r="C40" s="65" t="s">
        <v>30</v>
      </c>
      <c r="D40" s="77" t="s">
        <v>29</v>
      </c>
      <c r="E40" s="74">
        <v>111000</v>
      </c>
      <c r="F40" s="80">
        <v>979.79700000000003</v>
      </c>
      <c r="G40" s="76">
        <f>+ROUND(F40/VLOOKUP("Grand Total",$B$4:$F$284,5,0),4)</f>
        <v>5.67E-2</v>
      </c>
      <c r="H40" s="76"/>
      <c r="I40" s="91" t="s">
        <v>357</v>
      </c>
      <c r="J40" s="101"/>
      <c r="L40" s="103"/>
    </row>
    <row r="41" spans="1:14" s="65" customFormat="1" ht="12.75" customHeight="1" x14ac:dyDescent="0.2">
      <c r="A41" s="77"/>
      <c r="B41" s="77" t="s">
        <v>189</v>
      </c>
      <c r="C41" s="121" t="s">
        <v>616</v>
      </c>
      <c r="D41" s="77" t="s">
        <v>314</v>
      </c>
      <c r="E41" s="74">
        <v>-111000</v>
      </c>
      <c r="F41" s="80">
        <v>-984.73649999999998</v>
      </c>
      <c r="G41" s="76"/>
      <c r="H41" s="76">
        <f>+ROUND(F41/VLOOKUP("Grand Total",$B$4:$F$284,5,0),4)</f>
        <v>-5.7000000000000002E-2</v>
      </c>
      <c r="I41" s="104">
        <v>43216</v>
      </c>
      <c r="J41" s="101"/>
      <c r="K41" s="90"/>
      <c r="L41" s="103"/>
    </row>
    <row r="42" spans="1:14" s="65" customFormat="1" ht="12.75" customHeight="1" x14ac:dyDescent="0.2">
      <c r="A42" s="77">
        <f>+MAX($A$8:A41)+1</f>
        <v>29</v>
      </c>
      <c r="B42" s="77" t="s">
        <v>210</v>
      </c>
      <c r="C42" s="65" t="s">
        <v>60</v>
      </c>
      <c r="D42" s="77" t="s">
        <v>22</v>
      </c>
      <c r="E42" s="74">
        <v>174400</v>
      </c>
      <c r="F42" s="80">
        <v>972.8904</v>
      </c>
      <c r="G42" s="76">
        <f>+ROUND(F42/VLOOKUP("Grand Total",$B$4:$F$284,5,0),4)</f>
        <v>5.6300000000000003E-2</v>
      </c>
      <c r="H42" s="76"/>
      <c r="I42" s="91" t="s">
        <v>357</v>
      </c>
      <c r="J42" s="101"/>
      <c r="K42" s="90"/>
      <c r="L42" s="103"/>
    </row>
    <row r="43" spans="1:14" s="65" customFormat="1" ht="12.75" customHeight="1" x14ac:dyDescent="0.2">
      <c r="A43" s="77"/>
      <c r="B43" s="77" t="s">
        <v>210</v>
      </c>
      <c r="C43" s="121" t="s">
        <v>616</v>
      </c>
      <c r="D43" s="77" t="s">
        <v>314</v>
      </c>
      <c r="E43" s="74">
        <v>-174400</v>
      </c>
      <c r="F43" s="80">
        <v>-978.12239999999997</v>
      </c>
      <c r="G43" s="76"/>
      <c r="H43" s="76">
        <f>+ROUND(F43/VLOOKUP("Grand Total",$B$4:$F$284,5,0),4)</f>
        <v>-5.6599999999999998E-2</v>
      </c>
      <c r="I43" s="104">
        <v>43216</v>
      </c>
      <c r="J43" s="101"/>
      <c r="K43" s="90"/>
      <c r="L43" s="103"/>
    </row>
    <row r="44" spans="1:14" s="65" customFormat="1" ht="12.75" customHeight="1" x14ac:dyDescent="0.2">
      <c r="A44" s="77">
        <f>+MAX($A$8:A43)+1</f>
        <v>30</v>
      </c>
      <c r="B44" s="77" t="s">
        <v>204</v>
      </c>
      <c r="C44" s="65" t="s">
        <v>48</v>
      </c>
      <c r="D44" s="77" t="s">
        <v>20</v>
      </c>
      <c r="E44" s="74">
        <v>6000</v>
      </c>
      <c r="F44" s="80">
        <v>531.66600000000005</v>
      </c>
      <c r="G44" s="76">
        <f>+ROUND(F44/VLOOKUP("Grand Total",$B$4:$F$284,5,0),4)</f>
        <v>3.0700000000000002E-2</v>
      </c>
      <c r="H44" s="76"/>
      <c r="I44" s="91" t="s">
        <v>357</v>
      </c>
      <c r="J44" s="101"/>
      <c r="K44" s="90"/>
      <c r="L44" s="103"/>
    </row>
    <row r="45" spans="1:14" s="65" customFormat="1" ht="12.75" customHeight="1" x14ac:dyDescent="0.2">
      <c r="A45" s="77"/>
      <c r="B45" s="77" t="s">
        <v>204</v>
      </c>
      <c r="C45" s="121" t="s">
        <v>616</v>
      </c>
      <c r="D45" s="77" t="s">
        <v>314</v>
      </c>
      <c r="E45" s="74">
        <v>-6000</v>
      </c>
      <c r="F45" s="80">
        <v>-534.31200000000001</v>
      </c>
      <c r="G45" s="76"/>
      <c r="H45" s="76">
        <f>+ROUND(F45/VLOOKUP("Grand Total",$B$4:$F$284,5,0),4)</f>
        <v>-3.09E-2</v>
      </c>
      <c r="I45" s="104">
        <v>43216</v>
      </c>
      <c r="J45" s="101"/>
      <c r="K45" s="90"/>
      <c r="L45" s="103"/>
    </row>
    <row r="46" spans="1:14" s="65" customFormat="1" ht="12.75" customHeight="1" x14ac:dyDescent="0.2">
      <c r="A46" s="77">
        <f>+MAX($A$8:A45)+1</f>
        <v>31</v>
      </c>
      <c r="B46" s="77" t="s">
        <v>254</v>
      </c>
      <c r="C46" s="65" t="s">
        <v>122</v>
      </c>
      <c r="D46" s="77" t="s">
        <v>44</v>
      </c>
      <c r="E46" s="74">
        <v>206500</v>
      </c>
      <c r="F46" s="80">
        <v>443.04575</v>
      </c>
      <c r="G46" s="76">
        <f>+ROUND(F46/VLOOKUP("Grand Total",$B$4:$F$284,5,0),4)</f>
        <v>2.5600000000000001E-2</v>
      </c>
      <c r="H46" s="76"/>
      <c r="I46" s="91" t="s">
        <v>357</v>
      </c>
      <c r="J46" s="101"/>
      <c r="K46" s="90"/>
      <c r="L46" s="103"/>
    </row>
    <row r="47" spans="1:14" s="65" customFormat="1" ht="12.75" customHeight="1" x14ac:dyDescent="0.2">
      <c r="A47" s="77"/>
      <c r="B47" s="77" t="s">
        <v>254</v>
      </c>
      <c r="C47" s="121" t="s">
        <v>616</v>
      </c>
      <c r="D47" s="77" t="s">
        <v>314</v>
      </c>
      <c r="E47" s="74">
        <v>-206500</v>
      </c>
      <c r="F47" s="80">
        <v>-443.25225</v>
      </c>
      <c r="G47" s="76"/>
      <c r="H47" s="76">
        <f>+ROUND(F47/VLOOKUP("Grand Total",$B$4:$F$284,5,0),4)</f>
        <v>-2.5600000000000001E-2</v>
      </c>
      <c r="I47" s="104">
        <v>43216</v>
      </c>
      <c r="J47" s="101"/>
      <c r="K47" s="90"/>
      <c r="L47" s="103"/>
    </row>
    <row r="48" spans="1:14" s="65" customFormat="1" ht="12.75" customHeight="1" x14ac:dyDescent="0.2">
      <c r="A48" s="77">
        <f>+MAX($A$8:A47)+1</f>
        <v>32</v>
      </c>
      <c r="B48" s="77" t="s">
        <v>195</v>
      </c>
      <c r="C48" s="65" t="s">
        <v>34</v>
      </c>
      <c r="D48" s="77" t="s">
        <v>18</v>
      </c>
      <c r="E48" s="74">
        <v>38500</v>
      </c>
      <c r="F48" s="80">
        <v>439.90100000000001</v>
      </c>
      <c r="G48" s="76">
        <f>+ROUND(F48/VLOOKUP("Grand Total",$B$4:$F$284,5,0),4)</f>
        <v>2.5399999999999999E-2</v>
      </c>
      <c r="H48" s="76"/>
      <c r="I48" s="91" t="s">
        <v>357</v>
      </c>
      <c r="J48" s="101"/>
      <c r="K48" s="90"/>
      <c r="L48" s="103"/>
    </row>
    <row r="49" spans="1:12" s="65" customFormat="1" ht="12.75" customHeight="1" x14ac:dyDescent="0.2">
      <c r="A49" s="77"/>
      <c r="B49" s="77" t="s">
        <v>195</v>
      </c>
      <c r="C49" s="121" t="s">
        <v>616</v>
      </c>
      <c r="D49" s="77" t="s">
        <v>314</v>
      </c>
      <c r="E49" s="74">
        <v>-38500</v>
      </c>
      <c r="F49" s="80">
        <v>-441.34474999999998</v>
      </c>
      <c r="G49" s="76"/>
      <c r="H49" s="76">
        <f>+ROUND(F49/VLOOKUP("Grand Total",$B$4:$F$284,5,0),4)</f>
        <v>-2.5499999999999998E-2</v>
      </c>
      <c r="I49" s="104">
        <v>43216</v>
      </c>
      <c r="J49" s="101"/>
      <c r="K49" s="90"/>
      <c r="L49" s="103"/>
    </row>
    <row r="50" spans="1:12" s="65" customFormat="1" ht="12.75" customHeight="1" x14ac:dyDescent="0.2">
      <c r="A50" s="77">
        <f>+MAX($A$8:A49)+1</f>
        <v>33</v>
      </c>
      <c r="B50" s="77" t="s">
        <v>336</v>
      </c>
      <c r="C50" s="65" t="s">
        <v>337</v>
      </c>
      <c r="D50" s="77" t="s">
        <v>23</v>
      </c>
      <c r="E50" s="74">
        <v>34400</v>
      </c>
      <c r="F50" s="80">
        <v>425.61399999999998</v>
      </c>
      <c r="G50" s="76">
        <f>+ROUND(F50/VLOOKUP("Grand Total",$B$4:$F$284,5,0),4)</f>
        <v>2.46E-2</v>
      </c>
      <c r="H50" s="76"/>
      <c r="I50" s="91" t="s">
        <v>357</v>
      </c>
      <c r="J50" s="101"/>
      <c r="K50" s="90"/>
      <c r="L50" s="103"/>
    </row>
    <row r="51" spans="1:12" s="65" customFormat="1" ht="12.75" customHeight="1" x14ac:dyDescent="0.2">
      <c r="A51" s="77"/>
      <c r="B51" s="77" t="s">
        <v>336</v>
      </c>
      <c r="C51" s="121" t="s">
        <v>616</v>
      </c>
      <c r="D51" s="77" t="s">
        <v>314</v>
      </c>
      <c r="E51" s="74">
        <v>-34400</v>
      </c>
      <c r="F51" s="80">
        <v>-427.59199999999998</v>
      </c>
      <c r="G51" s="76"/>
      <c r="H51" s="76">
        <f>+ROUND(F51/VLOOKUP("Grand Total",$B$4:$F$284,5,0),4)</f>
        <v>-2.47E-2</v>
      </c>
      <c r="I51" s="104">
        <v>43216</v>
      </c>
      <c r="J51" s="101"/>
      <c r="K51" s="90"/>
      <c r="L51" s="103"/>
    </row>
    <row r="52" spans="1:12" s="65" customFormat="1" ht="12.75" customHeight="1" x14ac:dyDescent="0.2">
      <c r="A52" s="77">
        <f>+MAX($A$8:A51)+1</f>
        <v>34</v>
      </c>
      <c r="B52" s="77" t="s">
        <v>16</v>
      </c>
      <c r="C52" s="65" t="s">
        <v>17</v>
      </c>
      <c r="D52" s="77" t="s">
        <v>10</v>
      </c>
      <c r="E52" s="74">
        <v>162000</v>
      </c>
      <c r="F52" s="80">
        <v>404.83800000000002</v>
      </c>
      <c r="G52" s="76">
        <f>+ROUND(F52/VLOOKUP("Grand Total",$B$4:$F$284,5,0),4)</f>
        <v>2.3400000000000001E-2</v>
      </c>
      <c r="H52" s="76"/>
      <c r="I52" s="91" t="s">
        <v>357</v>
      </c>
      <c r="J52" s="101"/>
      <c r="K52" s="90"/>
      <c r="L52" s="103"/>
    </row>
    <row r="53" spans="1:12" s="65" customFormat="1" ht="12.75" customHeight="1" x14ac:dyDescent="0.2">
      <c r="A53" s="77"/>
      <c r="B53" s="77" t="s">
        <v>16</v>
      </c>
      <c r="C53" s="121" t="s">
        <v>616</v>
      </c>
      <c r="D53" s="77" t="s">
        <v>314</v>
      </c>
      <c r="E53" s="74">
        <v>-162000</v>
      </c>
      <c r="F53" s="80">
        <v>-406.94400000000002</v>
      </c>
      <c r="G53" s="76"/>
      <c r="H53" s="76">
        <f>+ROUND(F53/VLOOKUP("Grand Total",$B$4:$F$284,5,0),4)</f>
        <v>-2.35E-2</v>
      </c>
      <c r="I53" s="104">
        <v>43216</v>
      </c>
      <c r="J53" s="101"/>
      <c r="K53" s="90"/>
      <c r="L53" s="103"/>
    </row>
    <row r="54" spans="1:12" s="65" customFormat="1" ht="12.75" customHeight="1" x14ac:dyDescent="0.2">
      <c r="A54" s="77">
        <f>+MAX($A$8:A53)+1</f>
        <v>35</v>
      </c>
      <c r="B54" s="77" t="s">
        <v>415</v>
      </c>
      <c r="C54" s="65" t="s">
        <v>67</v>
      </c>
      <c r="D54" s="77" t="s">
        <v>22</v>
      </c>
      <c r="E54" s="74">
        <v>63800</v>
      </c>
      <c r="F54" s="80">
        <v>315.87380000000002</v>
      </c>
      <c r="G54" s="76">
        <f>+ROUND(F54/VLOOKUP("Grand Total",$B$4:$F$284,5,0),4)</f>
        <v>1.83E-2</v>
      </c>
      <c r="H54" s="76"/>
      <c r="I54" s="91" t="s">
        <v>357</v>
      </c>
      <c r="J54" s="101"/>
      <c r="K54" s="90"/>
      <c r="L54" s="103"/>
    </row>
    <row r="55" spans="1:12" s="65" customFormat="1" ht="12.75" customHeight="1" x14ac:dyDescent="0.2">
      <c r="A55" s="77"/>
      <c r="B55" s="77" t="s">
        <v>415</v>
      </c>
      <c r="C55" s="121" t="s">
        <v>616</v>
      </c>
      <c r="D55" s="77" t="s">
        <v>314</v>
      </c>
      <c r="E55" s="74">
        <v>-63800</v>
      </c>
      <c r="F55" s="80">
        <v>-317.37310000000002</v>
      </c>
      <c r="G55" s="76"/>
      <c r="H55" s="76">
        <f>+ROUND(F55/VLOOKUP("Grand Total",$B$4:$F$284,5,0),4)</f>
        <v>-1.84E-2</v>
      </c>
      <c r="I55" s="104">
        <v>43216</v>
      </c>
      <c r="J55" s="101"/>
      <c r="K55" s="90"/>
      <c r="L55" s="103"/>
    </row>
    <row r="56" spans="1:12" s="65" customFormat="1" ht="12.75" customHeight="1" x14ac:dyDescent="0.2">
      <c r="A56" s="77">
        <f>+MAX($A$8:A55)+1</f>
        <v>36</v>
      </c>
      <c r="B56" s="77" t="s">
        <v>460</v>
      </c>
      <c r="C56" s="65" t="s">
        <v>461</v>
      </c>
      <c r="D56" s="77" t="s">
        <v>20</v>
      </c>
      <c r="E56" s="74">
        <v>24200</v>
      </c>
      <c r="F56" s="80">
        <v>197.9802</v>
      </c>
      <c r="G56" s="76">
        <f>+ROUND(F56/VLOOKUP("Grand Total",$B$4:$F$284,5,0),4)</f>
        <v>1.14E-2</v>
      </c>
      <c r="H56" s="76"/>
      <c r="I56" s="91" t="s">
        <v>357</v>
      </c>
      <c r="J56" s="101"/>
      <c r="L56" s="103"/>
    </row>
    <row r="57" spans="1:12" s="65" customFormat="1" ht="12.75" customHeight="1" x14ac:dyDescent="0.2">
      <c r="A57" s="77"/>
      <c r="B57" s="77" t="s">
        <v>460</v>
      </c>
      <c r="C57" s="121" t="s">
        <v>616</v>
      </c>
      <c r="D57" s="77" t="s">
        <v>314</v>
      </c>
      <c r="E57" s="74">
        <v>-24200</v>
      </c>
      <c r="F57" s="80">
        <v>-199.29910000000001</v>
      </c>
      <c r="G57" s="76"/>
      <c r="H57" s="76">
        <f>+ROUND(F57/VLOOKUP("Grand Total",$B$4:$F$284,5,0),4)</f>
        <v>-1.15E-2</v>
      </c>
      <c r="I57" s="104">
        <v>43216</v>
      </c>
      <c r="J57" s="101"/>
      <c r="K57" s="90"/>
      <c r="L57" s="103"/>
    </row>
    <row r="58" spans="1:12" s="65" customFormat="1" ht="12.75" customHeight="1" x14ac:dyDescent="0.2">
      <c r="A58" s="77">
        <f>+MAX($A$8:A57)+1</f>
        <v>37</v>
      </c>
      <c r="B58" s="77" t="s">
        <v>194</v>
      </c>
      <c r="C58" s="65" t="s">
        <v>38</v>
      </c>
      <c r="D58" s="77" t="s">
        <v>20</v>
      </c>
      <c r="E58" s="74">
        <v>6250</v>
      </c>
      <c r="F58" s="80">
        <v>171.54374999999999</v>
      </c>
      <c r="G58" s="76">
        <f>+ROUND(F58/VLOOKUP("Grand Total",$B$4:$F$284,5,0),4)</f>
        <v>9.9000000000000008E-3</v>
      </c>
      <c r="H58" s="76"/>
      <c r="I58" s="91" t="s">
        <v>357</v>
      </c>
      <c r="J58" s="101"/>
      <c r="L58" s="103"/>
    </row>
    <row r="59" spans="1:12" s="65" customFormat="1" ht="12.75" customHeight="1" x14ac:dyDescent="0.2">
      <c r="A59" s="77"/>
      <c r="B59" s="77" t="s">
        <v>194</v>
      </c>
      <c r="C59" s="121" t="s">
        <v>616</v>
      </c>
      <c r="D59" s="77" t="s">
        <v>314</v>
      </c>
      <c r="E59" s="74">
        <v>-6250</v>
      </c>
      <c r="F59" s="80">
        <v>-172.546875</v>
      </c>
      <c r="G59" s="76"/>
      <c r="H59" s="76">
        <f>+ROUND(F59/VLOOKUP("Grand Total",$B$4:$F$284,5,0),4)</f>
        <v>-0.01</v>
      </c>
      <c r="I59" s="104">
        <v>43216</v>
      </c>
      <c r="J59" s="101"/>
      <c r="K59" s="90"/>
      <c r="L59" s="103"/>
    </row>
    <row r="60" spans="1:12" s="65" customFormat="1" ht="12.75" customHeight="1" x14ac:dyDescent="0.2">
      <c r="A60" s="77">
        <f>+MAX($A$8:A59)+1</f>
        <v>38</v>
      </c>
      <c r="B60" s="77" t="s">
        <v>530</v>
      </c>
      <c r="C60" s="65" t="s">
        <v>531</v>
      </c>
      <c r="D60" s="77" t="s">
        <v>29</v>
      </c>
      <c r="E60" s="74">
        <v>43500</v>
      </c>
      <c r="F60" s="80">
        <v>142.39725000000001</v>
      </c>
      <c r="G60" s="76">
        <f>+ROUND(F60/VLOOKUP("Grand Total",$B$4:$F$284,5,0),4)</f>
        <v>8.2000000000000007E-3</v>
      </c>
      <c r="H60" s="76"/>
      <c r="I60" s="91" t="s">
        <v>357</v>
      </c>
      <c r="J60" s="101"/>
      <c r="L60" s="103"/>
    </row>
    <row r="61" spans="1:12" s="65" customFormat="1" ht="12.75" customHeight="1" x14ac:dyDescent="0.2">
      <c r="A61" s="77"/>
      <c r="B61" s="77" t="s">
        <v>530</v>
      </c>
      <c r="C61" s="121" t="s">
        <v>616</v>
      </c>
      <c r="D61" s="77" t="s">
        <v>314</v>
      </c>
      <c r="E61" s="74">
        <v>-43500</v>
      </c>
      <c r="F61" s="80">
        <v>-143.22375</v>
      </c>
      <c r="G61" s="76"/>
      <c r="H61" s="76">
        <f>+ROUND(F61/VLOOKUP("Grand Total",$B$4:$F$284,5,0),4)</f>
        <v>-8.3000000000000001E-3</v>
      </c>
      <c r="I61" s="104">
        <v>43216</v>
      </c>
      <c r="J61" s="101"/>
      <c r="K61" s="90"/>
      <c r="L61" s="103"/>
    </row>
    <row r="62" spans="1:12" s="65" customFormat="1" ht="12.75" customHeight="1" x14ac:dyDescent="0.2">
      <c r="A62" s="77">
        <f>+MAX($A$8:A61)+1</f>
        <v>39</v>
      </c>
      <c r="B62" s="77" t="s">
        <v>291</v>
      </c>
      <c r="C62" s="65" t="s">
        <v>178</v>
      </c>
      <c r="D62" s="77" t="s">
        <v>35</v>
      </c>
      <c r="E62" s="74">
        <v>182000</v>
      </c>
      <c r="F62" s="80">
        <v>65.701999999999998</v>
      </c>
      <c r="G62" s="76">
        <f>+ROUND(F62/VLOOKUP("Grand Total",$B$4:$F$284,5,0),4)</f>
        <v>3.8E-3</v>
      </c>
      <c r="H62" s="76"/>
      <c r="I62" s="91" t="s">
        <v>357</v>
      </c>
      <c r="J62" s="101"/>
      <c r="L62" s="103"/>
    </row>
    <row r="63" spans="1:12" s="65" customFormat="1" ht="12.75" customHeight="1" x14ac:dyDescent="0.2">
      <c r="A63" s="77"/>
      <c r="B63" s="77" t="s">
        <v>291</v>
      </c>
      <c r="C63" s="121" t="s">
        <v>616</v>
      </c>
      <c r="D63" s="77" t="s">
        <v>314</v>
      </c>
      <c r="E63" s="74">
        <v>-182000</v>
      </c>
      <c r="F63" s="80">
        <v>-66.066000000000003</v>
      </c>
      <c r="G63" s="76"/>
      <c r="H63" s="76">
        <f>+ROUND(F63/VLOOKUP("Grand Total",$B$4:$F$284,5,0),4)</f>
        <v>-3.8E-3</v>
      </c>
      <c r="I63" s="104">
        <v>43216</v>
      </c>
      <c r="J63" s="101"/>
      <c r="K63" s="90"/>
      <c r="L63" s="103"/>
    </row>
    <row r="64" spans="1:12" s="65" customFormat="1" ht="12.75" customHeight="1" x14ac:dyDescent="0.2">
      <c r="A64" s="77">
        <f>+MAX($A$8:A63)+1</f>
        <v>40</v>
      </c>
      <c r="B64" s="77" t="s">
        <v>382</v>
      </c>
      <c r="C64" s="65" t="s">
        <v>127</v>
      </c>
      <c r="D64" s="77" t="s">
        <v>20</v>
      </c>
      <c r="E64" s="74">
        <v>35000</v>
      </c>
      <c r="F64" s="80">
        <v>64.155000000000001</v>
      </c>
      <c r="G64" s="76">
        <f>+ROUND(F64/VLOOKUP("Grand Total",$B$4:$F$284,5,0),4)</f>
        <v>3.7000000000000002E-3</v>
      </c>
      <c r="H64" s="76"/>
      <c r="I64" s="91" t="s">
        <v>357</v>
      </c>
      <c r="J64" s="101"/>
      <c r="L64" s="103"/>
    </row>
    <row r="65" spans="1:13" s="65" customFormat="1" ht="12.75" customHeight="1" x14ac:dyDescent="0.2">
      <c r="A65" s="77"/>
      <c r="B65" s="77" t="s">
        <v>382</v>
      </c>
      <c r="C65" s="121" t="s">
        <v>616</v>
      </c>
      <c r="D65" s="77" t="s">
        <v>314</v>
      </c>
      <c r="E65" s="74">
        <v>-35000</v>
      </c>
      <c r="F65" s="80">
        <v>-64.452500000000001</v>
      </c>
      <c r="G65" s="76"/>
      <c r="H65" s="76">
        <f>+ROUND(F65/VLOOKUP("Grand Total",$B$4:$F$284,5,0),4)</f>
        <v>-3.7000000000000002E-3</v>
      </c>
      <c r="I65" s="104">
        <v>43216</v>
      </c>
      <c r="J65" s="101"/>
      <c r="K65" s="90"/>
      <c r="L65" s="103"/>
    </row>
    <row r="66" spans="1:13" s="65" customFormat="1" ht="12.75" customHeight="1" x14ac:dyDescent="0.2">
      <c r="A66" s="77">
        <f>+MAX($A$8:A65)+1</f>
        <v>41</v>
      </c>
      <c r="B66" s="77" t="s">
        <v>507</v>
      </c>
      <c r="C66" s="65" t="s">
        <v>508</v>
      </c>
      <c r="D66" s="77" t="s">
        <v>25</v>
      </c>
      <c r="E66" s="74">
        <v>42000</v>
      </c>
      <c r="F66" s="80">
        <v>31.773</v>
      </c>
      <c r="G66" s="76">
        <f>+ROUND(F66/VLOOKUP("Grand Total",$B$4:$F$284,5,0),4)</f>
        <v>1.8E-3</v>
      </c>
      <c r="H66" s="76"/>
      <c r="I66" s="91" t="s">
        <v>357</v>
      </c>
      <c r="J66" s="101"/>
      <c r="L66" s="103"/>
    </row>
    <row r="67" spans="1:13" s="65" customFormat="1" ht="12.75" customHeight="1" x14ac:dyDescent="0.2">
      <c r="A67" s="77"/>
      <c r="B67" s="77" t="s">
        <v>507</v>
      </c>
      <c r="C67" s="121" t="s">
        <v>616</v>
      </c>
      <c r="D67" s="77" t="s">
        <v>314</v>
      </c>
      <c r="E67" s="74">
        <v>-42000</v>
      </c>
      <c r="F67" s="80">
        <v>-32.024999999999999</v>
      </c>
      <c r="G67" s="76"/>
      <c r="H67" s="76">
        <f>+ROUND(F67/VLOOKUP("Grand Total",$B$4:$F$284,5,0),4)</f>
        <v>-1.9E-3</v>
      </c>
      <c r="I67" s="104">
        <v>43216</v>
      </c>
      <c r="J67" s="101"/>
      <c r="K67" s="90"/>
      <c r="L67" s="103"/>
    </row>
    <row r="68" spans="1:13" s="46" customFormat="1" ht="12.75" customHeight="1" x14ac:dyDescent="0.2">
      <c r="A68"/>
      <c r="B68" s="18" t="s">
        <v>84</v>
      </c>
      <c r="C68" s="18"/>
      <c r="D68" s="18"/>
      <c r="E68" s="19"/>
      <c r="F68" s="19">
        <f>+F38+F40+F42+F44+F46+F48+F50+F52+F54+F56+F58+F60+F62+F64+F66</f>
        <v>6396.2326499999999</v>
      </c>
      <c r="G68" s="79">
        <f>+G38+G40+G42+G44+G46+G48+G50+G52+G54+G56+G58+G60+G62+G64+G66</f>
        <v>0.36970000000000003</v>
      </c>
      <c r="H68" s="79">
        <f>SUM(H39:H67)</f>
        <v>-0.37170000000000003</v>
      </c>
      <c r="I68" s="21"/>
      <c r="J68" s="56"/>
      <c r="L68" s="48"/>
    </row>
    <row r="69" spans="1:13" ht="12.75" customHeight="1" x14ac:dyDescent="0.2">
      <c r="F69" s="28"/>
      <c r="G69" s="28"/>
      <c r="H69" s="28"/>
      <c r="I69" s="15"/>
      <c r="J69" s="56"/>
    </row>
    <row r="70" spans="1:13" s="46" customFormat="1" ht="12.75" customHeight="1" x14ac:dyDescent="0.2">
      <c r="A70"/>
      <c r="B70" s="16" t="s">
        <v>90</v>
      </c>
      <c r="C70" s="16"/>
      <c r="D70"/>
      <c r="E70" s="28"/>
      <c r="F70" s="28"/>
      <c r="G70" s="28"/>
      <c r="H70" s="14"/>
      <c r="I70" s="15"/>
      <c r="J70" s="56"/>
      <c r="L70" s="48"/>
    </row>
    <row r="71" spans="1:13" s="46" customFormat="1" ht="12.75" customHeight="1" x14ac:dyDescent="0.2">
      <c r="A71"/>
      <c r="B71" s="16" t="s">
        <v>299</v>
      </c>
      <c r="C71" s="16"/>
      <c r="D71"/>
      <c r="E71" s="28"/>
      <c r="F71" s="13"/>
      <c r="G71" s="14"/>
      <c r="H71" s="14"/>
      <c r="I71" s="15"/>
      <c r="J71" s="56"/>
      <c r="K71"/>
      <c r="L71" s="36"/>
    </row>
    <row r="72" spans="1:13" s="46" customFormat="1" ht="12.75" customHeight="1" x14ac:dyDescent="0.2">
      <c r="A72" s="77">
        <f>+MAX($A$8:A71)+1</f>
        <v>42</v>
      </c>
      <c r="B72" t="s">
        <v>638</v>
      </c>
      <c r="C72" t="s">
        <v>639</v>
      </c>
      <c r="D72" t="s">
        <v>283</v>
      </c>
      <c r="E72" s="28">
        <v>100</v>
      </c>
      <c r="F72" s="13">
        <v>496.20800000000003</v>
      </c>
      <c r="G72" s="76">
        <f>+ROUND(F72/VLOOKUP("Grand Total",$B$4:$F$284,5,0),4)</f>
        <v>2.87E-2</v>
      </c>
      <c r="H72" s="76"/>
      <c r="I72" s="15">
        <v>43228</v>
      </c>
      <c r="J72" s="56"/>
      <c r="K72"/>
      <c r="L72" s="36"/>
    </row>
    <row r="73" spans="1:13" s="46" customFormat="1" ht="12.75" customHeight="1" x14ac:dyDescent="0.2">
      <c r="A73" s="77">
        <f>+MAX($A$8:A72)+1</f>
        <v>43</v>
      </c>
      <c r="B73" t="s">
        <v>284</v>
      </c>
      <c r="C73" t="s">
        <v>640</v>
      </c>
      <c r="D73" t="s">
        <v>542</v>
      </c>
      <c r="E73" s="28">
        <v>100</v>
      </c>
      <c r="F73" s="13">
        <v>494.66500000000002</v>
      </c>
      <c r="G73" s="76">
        <f>+ROUND(F73/VLOOKUP("Grand Total",$B$4:$F$284,5,0),4)</f>
        <v>2.86E-2</v>
      </c>
      <c r="H73" s="76"/>
      <c r="I73" s="15">
        <v>43241</v>
      </c>
      <c r="J73" s="56"/>
      <c r="K73"/>
      <c r="L73" s="36"/>
    </row>
    <row r="74" spans="1:13" s="46" customFormat="1" ht="12.75" customHeight="1" x14ac:dyDescent="0.2">
      <c r="A74" s="77">
        <f>+MAX($A$8:A73)+1</f>
        <v>44</v>
      </c>
      <c r="B74" t="s">
        <v>534</v>
      </c>
      <c r="C74" t="s">
        <v>641</v>
      </c>
      <c r="D74" t="s">
        <v>535</v>
      </c>
      <c r="E74" s="28">
        <v>100</v>
      </c>
      <c r="F74" s="13">
        <v>492.27800000000002</v>
      </c>
      <c r="G74" s="76">
        <f>+ROUND(F74/VLOOKUP("Grand Total",$B$4:$F$284,5,0),4)</f>
        <v>2.8500000000000001E-2</v>
      </c>
      <c r="H74" s="76"/>
      <c r="I74" s="15">
        <v>43245</v>
      </c>
      <c r="J74" s="56"/>
      <c r="K74"/>
      <c r="L74" s="36"/>
    </row>
    <row r="75" spans="1:13" s="46" customFormat="1" ht="12.75" customHeight="1" x14ac:dyDescent="0.2">
      <c r="A75" s="77">
        <f>+MAX($A$8:A74)+1</f>
        <v>45</v>
      </c>
      <c r="B75" t="s">
        <v>284</v>
      </c>
      <c r="C75" t="s">
        <v>532</v>
      </c>
      <c r="D75" t="s">
        <v>542</v>
      </c>
      <c r="E75" s="28">
        <v>38</v>
      </c>
      <c r="F75" s="13">
        <v>183.37013999999999</v>
      </c>
      <c r="G75" s="76">
        <f>+ROUND(F75/VLOOKUP("Grand Total",$B$4:$F$284,5,0),4)</f>
        <v>1.06E-2</v>
      </c>
      <c r="H75" s="76"/>
      <c r="I75" s="15">
        <v>43350</v>
      </c>
      <c r="J75" s="56"/>
      <c r="K75"/>
      <c r="L75" s="36"/>
    </row>
    <row r="76" spans="1:13" ht="12.75" customHeight="1" x14ac:dyDescent="0.2">
      <c r="B76" s="18" t="s">
        <v>84</v>
      </c>
      <c r="C76" s="18"/>
      <c r="D76" s="18"/>
      <c r="E76" s="29"/>
      <c r="F76" s="19">
        <f>SUM(F72:F75)</f>
        <v>1666.5211400000001</v>
      </c>
      <c r="G76" s="20">
        <f>SUM(G72:G75)</f>
        <v>9.64E-2</v>
      </c>
      <c r="H76" s="20"/>
      <c r="I76" s="21"/>
      <c r="J76" s="56"/>
    </row>
    <row r="77" spans="1:13" ht="12.75" customHeight="1" x14ac:dyDescent="0.2">
      <c r="F77" s="44"/>
      <c r="G77" s="14"/>
      <c r="H77" s="14"/>
      <c r="I77" s="15"/>
      <c r="J77" s="56"/>
    </row>
    <row r="78" spans="1:13" ht="12.75" customHeight="1" x14ac:dyDescent="0.2">
      <c r="B78" s="16" t="s">
        <v>165</v>
      </c>
      <c r="F78" s="13"/>
      <c r="G78" s="14"/>
      <c r="H78" s="14"/>
      <c r="I78" s="15"/>
      <c r="J78" s="56"/>
    </row>
    <row r="79" spans="1:13" ht="12.75" customHeight="1" x14ac:dyDescent="0.2">
      <c r="A79" s="77">
        <f>+MAX($A$8:A78)+1</f>
        <v>46</v>
      </c>
      <c r="B79" t="s">
        <v>545</v>
      </c>
      <c r="C79" t="s">
        <v>667</v>
      </c>
      <c r="D79" t="s">
        <v>389</v>
      </c>
      <c r="E79" s="28">
        <v>85000</v>
      </c>
      <c r="F79" s="13">
        <v>84.066360000000003</v>
      </c>
      <c r="G79" s="76">
        <f>+ROUND(F79/VLOOKUP("Grand Total",$B$4:$F$284,5,0),4)</f>
        <v>4.8999999999999998E-3</v>
      </c>
      <c r="H79" s="76"/>
      <c r="I79" s="15">
        <v>43258</v>
      </c>
      <c r="J79" s="55"/>
    </row>
    <row r="80" spans="1:13" s="46" customFormat="1" ht="12.75" customHeight="1" x14ac:dyDescent="0.2">
      <c r="A80"/>
      <c r="B80" s="18" t="s">
        <v>84</v>
      </c>
      <c r="C80" s="18"/>
      <c r="D80" s="18"/>
      <c r="E80" s="29"/>
      <c r="F80" s="19">
        <f>SUM(F79)</f>
        <v>84.066360000000003</v>
      </c>
      <c r="G80" s="20">
        <f>SUM(G79)</f>
        <v>4.8999999999999998E-3</v>
      </c>
      <c r="H80" s="20"/>
      <c r="I80" s="21"/>
      <c r="J80" s="55"/>
      <c r="K80" s="36"/>
      <c r="L80"/>
      <c r="M80"/>
    </row>
    <row r="81" spans="1:13" s="46" customFormat="1" ht="12.75" customHeight="1" x14ac:dyDescent="0.2">
      <c r="B81" s="67"/>
      <c r="C81" s="67"/>
      <c r="D81" s="67"/>
      <c r="E81" s="68"/>
      <c r="F81" s="69"/>
      <c r="G81" s="70"/>
      <c r="H81" s="70"/>
      <c r="I81" s="71"/>
      <c r="J81" s="55"/>
      <c r="K81" s="48"/>
    </row>
    <row r="82" spans="1:13" ht="12.75" customHeight="1" x14ac:dyDescent="0.2">
      <c r="B82" s="16" t="s">
        <v>123</v>
      </c>
      <c r="F82" s="44"/>
      <c r="G82" s="14"/>
      <c r="H82" s="14"/>
      <c r="I82" s="15"/>
      <c r="J82" s="56"/>
      <c r="K82" s="36"/>
      <c r="L82"/>
    </row>
    <row r="83" spans="1:13" s="46" customFormat="1" ht="12.75" customHeight="1" x14ac:dyDescent="0.2">
      <c r="B83" s="31" t="s">
        <v>298</v>
      </c>
      <c r="C83" s="16"/>
      <c r="D83"/>
      <c r="E83" s="28"/>
      <c r="F83" s="13"/>
      <c r="G83" s="14"/>
      <c r="H83" s="14"/>
      <c r="I83" s="71"/>
      <c r="J83" s="55"/>
      <c r="K83" s="48"/>
    </row>
    <row r="84" spans="1:13" s="46" customFormat="1" ht="12.75" customHeight="1" x14ac:dyDescent="0.2">
      <c r="A84" s="77">
        <f>+MAX($A$8:A83)+1</f>
        <v>47</v>
      </c>
      <c r="B84" s="65" t="s">
        <v>509</v>
      </c>
      <c r="C84" s="93" t="s">
        <v>490</v>
      </c>
      <c r="D84" t="s">
        <v>431</v>
      </c>
      <c r="E84" s="28">
        <v>40</v>
      </c>
      <c r="F84" s="13">
        <v>398.3664</v>
      </c>
      <c r="G84" s="76">
        <f t="shared" ref="G84:G89" si="2">+ROUND(F84/VLOOKUP("Grand Total",$B$4:$F$284,5,0),4)</f>
        <v>2.3E-2</v>
      </c>
      <c r="H84" s="76"/>
      <c r="I84" s="64">
        <v>43671</v>
      </c>
      <c r="J84" s="55"/>
      <c r="K84" s="48"/>
    </row>
    <row r="85" spans="1:13" s="46" customFormat="1" ht="12.75" customHeight="1" x14ac:dyDescent="0.2">
      <c r="A85" s="77">
        <f>+MAX($A$8:A84)+1</f>
        <v>48</v>
      </c>
      <c r="B85" s="65" t="s">
        <v>338</v>
      </c>
      <c r="C85" s="93" t="s">
        <v>339</v>
      </c>
      <c r="D85" t="s">
        <v>510</v>
      </c>
      <c r="E85" s="28">
        <v>33</v>
      </c>
      <c r="F85" s="13">
        <v>331.7226</v>
      </c>
      <c r="G85" s="76">
        <f t="shared" si="2"/>
        <v>1.9199999999999998E-2</v>
      </c>
      <c r="H85" s="76"/>
      <c r="I85" s="64">
        <v>43309</v>
      </c>
      <c r="J85" s="55"/>
      <c r="K85" s="48"/>
    </row>
    <row r="86" spans="1:13" s="46" customFormat="1" ht="12.75" customHeight="1" x14ac:dyDescent="0.2">
      <c r="A86" s="77">
        <f>+MAX($A$8:A85)+1</f>
        <v>49</v>
      </c>
      <c r="B86" s="65" t="s">
        <v>464</v>
      </c>
      <c r="C86" s="93" t="s">
        <v>465</v>
      </c>
      <c r="D86" t="s">
        <v>285</v>
      </c>
      <c r="E86" s="28">
        <v>30</v>
      </c>
      <c r="F86" s="13">
        <v>299.76209999999998</v>
      </c>
      <c r="G86" s="76">
        <f t="shared" si="2"/>
        <v>1.7299999999999999E-2</v>
      </c>
      <c r="H86" s="76"/>
      <c r="I86" s="64">
        <v>43630</v>
      </c>
      <c r="J86" s="55"/>
      <c r="K86" s="48"/>
    </row>
    <row r="87" spans="1:13" s="46" customFormat="1" ht="12.75" customHeight="1" x14ac:dyDescent="0.2">
      <c r="A87" s="77">
        <f>+MAX($A$8:A86)+1</f>
        <v>50</v>
      </c>
      <c r="B87" s="65" t="s">
        <v>347</v>
      </c>
      <c r="C87" s="93" t="s">
        <v>511</v>
      </c>
      <c r="D87" t="s">
        <v>349</v>
      </c>
      <c r="E87" s="28">
        <v>20000</v>
      </c>
      <c r="F87" s="13">
        <v>201.28020000000001</v>
      </c>
      <c r="G87" s="76">
        <f t="shared" si="2"/>
        <v>1.1599999999999999E-2</v>
      </c>
      <c r="H87" s="76"/>
      <c r="I87" s="64">
        <v>43717</v>
      </c>
      <c r="J87" s="55"/>
      <c r="K87" s="48"/>
    </row>
    <row r="88" spans="1:13" s="46" customFormat="1" ht="12.75" customHeight="1" x14ac:dyDescent="0.2">
      <c r="A88" s="77">
        <f>+MAX($A$8:A87)+1</f>
        <v>51</v>
      </c>
      <c r="B88" s="65" t="s">
        <v>488</v>
      </c>
      <c r="C88" s="93" t="s">
        <v>489</v>
      </c>
      <c r="D88" t="s">
        <v>107</v>
      </c>
      <c r="E88" s="28">
        <v>8</v>
      </c>
      <c r="F88" s="13">
        <v>101.9247</v>
      </c>
      <c r="G88" s="76">
        <f t="shared" si="2"/>
        <v>5.8999999999999999E-3</v>
      </c>
      <c r="H88" s="76"/>
      <c r="I88" s="64">
        <v>43757</v>
      </c>
      <c r="J88" s="55"/>
      <c r="K88" s="48"/>
    </row>
    <row r="89" spans="1:13" s="46" customFormat="1" ht="12.75" customHeight="1" x14ac:dyDescent="0.2">
      <c r="A89" s="77">
        <f>+MAX($A$8:A88)+1</f>
        <v>52</v>
      </c>
      <c r="B89" s="65" t="s">
        <v>405</v>
      </c>
      <c r="C89" s="93" t="s">
        <v>406</v>
      </c>
      <c r="D89" t="s">
        <v>349</v>
      </c>
      <c r="E89" s="28">
        <v>4</v>
      </c>
      <c r="F89" s="13">
        <v>40.09216</v>
      </c>
      <c r="G89" s="76">
        <f t="shared" si="2"/>
        <v>2.3E-3</v>
      </c>
      <c r="H89" s="76"/>
      <c r="I89" s="64">
        <v>43322</v>
      </c>
      <c r="J89" s="55"/>
      <c r="K89" s="48"/>
    </row>
    <row r="90" spans="1:13" ht="12.75" customHeight="1" x14ac:dyDescent="0.2">
      <c r="A90" s="46"/>
      <c r="B90" s="18" t="s">
        <v>84</v>
      </c>
      <c r="C90" s="18"/>
      <c r="D90" s="18"/>
      <c r="E90" s="29"/>
      <c r="F90" s="19">
        <f>SUM(F84:F89)</f>
        <v>1373.1481599999997</v>
      </c>
      <c r="G90" s="20">
        <f>SUM(G84:G89)</f>
        <v>7.9299999999999995E-2</v>
      </c>
      <c r="H90" s="20"/>
      <c r="I90" s="63"/>
      <c r="J90" s="56"/>
      <c r="K90" s="48"/>
      <c r="L90" s="46"/>
      <c r="M90" s="46"/>
    </row>
    <row r="91" spans="1:13" ht="12.75" customHeight="1" x14ac:dyDescent="0.2">
      <c r="F91" s="44"/>
      <c r="G91" s="14"/>
      <c r="H91" s="14"/>
      <c r="I91" s="15"/>
      <c r="J91" s="56"/>
      <c r="K91" s="36"/>
      <c r="L91"/>
    </row>
    <row r="92" spans="1:13" ht="12.75" customHeight="1" x14ac:dyDescent="0.2">
      <c r="B92" s="16" t="s">
        <v>91</v>
      </c>
      <c r="C92" s="16"/>
      <c r="F92" s="13"/>
      <c r="G92" s="14"/>
      <c r="H92" s="14"/>
      <c r="I92" s="73"/>
      <c r="J92"/>
      <c r="K92" s="36"/>
      <c r="L92"/>
    </row>
    <row r="93" spans="1:13" ht="12.75" customHeight="1" x14ac:dyDescent="0.2">
      <c r="A93" s="77">
        <f>+MAX($A$8:A92)+1</f>
        <v>53</v>
      </c>
      <c r="B93" t="s">
        <v>430</v>
      </c>
      <c r="C93" t="s">
        <v>341</v>
      </c>
      <c r="D93" t="s">
        <v>311</v>
      </c>
      <c r="E93" s="28">
        <v>20340.004499999999</v>
      </c>
      <c r="F93" s="13">
        <v>342.8087069</v>
      </c>
      <c r="G93" s="76">
        <f>+ROUND(F93/VLOOKUP("Grand Total",$B$4:$F$284,5,0),4)</f>
        <v>1.9800000000000002E-2</v>
      </c>
      <c r="H93" s="76"/>
      <c r="I93" s="73" t="s">
        <v>357</v>
      </c>
      <c r="J93"/>
      <c r="K93" s="36"/>
      <c r="L93"/>
    </row>
    <row r="94" spans="1:13" ht="12.75" customHeight="1" x14ac:dyDescent="0.2">
      <c r="B94" s="18" t="s">
        <v>84</v>
      </c>
      <c r="C94" s="18"/>
      <c r="D94" s="18"/>
      <c r="E94" s="29"/>
      <c r="F94" s="19">
        <f>SUM(F93:F93)</f>
        <v>342.8087069</v>
      </c>
      <c r="G94" s="20">
        <f>SUM(G93)</f>
        <v>1.9800000000000002E-2</v>
      </c>
      <c r="H94" s="20"/>
      <c r="I94" s="21"/>
      <c r="J94"/>
      <c r="K94" s="36"/>
      <c r="L94"/>
    </row>
    <row r="95" spans="1:13" s="46" customFormat="1" ht="12.75" customHeight="1" x14ac:dyDescent="0.2">
      <c r="B95" s="67"/>
      <c r="C95" s="67"/>
      <c r="D95" s="67"/>
      <c r="E95" s="68"/>
      <c r="F95" s="69"/>
      <c r="G95" s="70"/>
      <c r="H95" s="70"/>
      <c r="K95" s="48"/>
    </row>
    <row r="96" spans="1:13" ht="12.75" customHeight="1" x14ac:dyDescent="0.2">
      <c r="A96" s="95" t="s">
        <v>356</v>
      </c>
      <c r="B96" s="16" t="s">
        <v>92</v>
      </c>
      <c r="C96" s="16"/>
      <c r="F96" s="13">
        <v>335.83316860000002</v>
      </c>
      <c r="G96" s="76">
        <f>+ROUND(F96/VLOOKUP("Grand Total",$B$4:$F$284,5,0),4)</f>
        <v>1.9400000000000001E-2</v>
      </c>
      <c r="H96" s="76"/>
      <c r="I96" s="15">
        <v>43193</v>
      </c>
      <c r="J96" s="55"/>
    </row>
    <row r="97" spans="2:12" ht="12.75" customHeight="1" x14ac:dyDescent="0.2">
      <c r="B97" s="18" t="s">
        <v>84</v>
      </c>
      <c r="C97" s="18"/>
      <c r="D97" s="18"/>
      <c r="E97" s="29"/>
      <c r="F97" s="19">
        <f>SUM(F96)</f>
        <v>335.83316860000002</v>
      </c>
      <c r="G97" s="20">
        <f>SUM(G96)</f>
        <v>1.9400000000000001E-2</v>
      </c>
      <c r="H97" s="20"/>
      <c r="I97" s="21"/>
      <c r="J97" s="56"/>
    </row>
    <row r="98" spans="2:12" ht="12.75" customHeight="1" x14ac:dyDescent="0.2">
      <c r="F98" s="13"/>
      <c r="G98" s="14"/>
      <c r="H98" s="14"/>
      <c r="I98" s="15"/>
      <c r="J98" s="56"/>
    </row>
    <row r="99" spans="2:12" ht="12.75" customHeight="1" x14ac:dyDescent="0.2">
      <c r="B99" s="16" t="s">
        <v>93</v>
      </c>
      <c r="C99" s="16"/>
      <c r="F99" s="13"/>
      <c r="G99" s="14"/>
      <c r="H99" s="14"/>
      <c r="I99" s="15"/>
      <c r="J99" s="56"/>
    </row>
    <row r="100" spans="2:12" ht="12.75" customHeight="1" x14ac:dyDescent="0.2">
      <c r="B100" s="16" t="s">
        <v>94</v>
      </c>
      <c r="C100" s="16"/>
      <c r="F100" s="44">
        <f>+F102-SUMIF($B$5:B99,"Total",$F$5:F99)</f>
        <v>1771.0203164000031</v>
      </c>
      <c r="G100" s="14">
        <f>+ROUND(F100/VLOOKUP("Grand Total",$B$4:$F$265,5,0),4)+0.03%</f>
        <v>0.1027</v>
      </c>
      <c r="H100" s="14"/>
      <c r="I100" s="15"/>
      <c r="J100" s="55"/>
    </row>
    <row r="101" spans="2:12" ht="12.75" customHeight="1" x14ac:dyDescent="0.2">
      <c r="B101" s="18" t="s">
        <v>84</v>
      </c>
      <c r="C101" s="18"/>
      <c r="D101" s="18"/>
      <c r="E101" s="29"/>
      <c r="F101" s="19">
        <f>SUM(F100)</f>
        <v>1771.0203164000031</v>
      </c>
      <c r="G101" s="20">
        <f>SUM(G100)</f>
        <v>0.1027</v>
      </c>
      <c r="H101" s="20"/>
      <c r="I101" s="21"/>
      <c r="J101" s="39"/>
    </row>
    <row r="102" spans="2:12" ht="12.75" customHeight="1" x14ac:dyDescent="0.2">
      <c r="B102" s="22" t="s">
        <v>95</v>
      </c>
      <c r="C102" s="22"/>
      <c r="D102" s="22"/>
      <c r="E102" s="30"/>
      <c r="F102" s="23">
        <v>17291.033420900003</v>
      </c>
      <c r="G102" s="24">
        <f>+SUMIF($B$5:B101,"Total",$G$5:G101)</f>
        <v>1</v>
      </c>
      <c r="H102" s="24"/>
      <c r="I102" s="25"/>
      <c r="L102"/>
    </row>
    <row r="103" spans="2:12" ht="12.75" customHeight="1" x14ac:dyDescent="0.2">
      <c r="F103" s="40"/>
      <c r="L103"/>
    </row>
    <row r="104" spans="2:12" ht="12.75" customHeight="1" x14ac:dyDescent="0.2">
      <c r="B104" s="16" t="s">
        <v>592</v>
      </c>
      <c r="C104" s="16"/>
      <c r="F104" s="42"/>
      <c r="L104"/>
    </row>
    <row r="105" spans="2:12" ht="12.75" customHeight="1" x14ac:dyDescent="0.2">
      <c r="B105" s="16" t="s">
        <v>182</v>
      </c>
      <c r="C105" s="16"/>
      <c r="G105" s="14"/>
      <c r="H105" s="14"/>
      <c r="L105"/>
    </row>
    <row r="106" spans="2:12" ht="12.75" customHeight="1" x14ac:dyDescent="0.2">
      <c r="B106" s="16"/>
      <c r="C106" s="16"/>
      <c r="L106"/>
    </row>
    <row r="107" spans="2:12" ht="12.75" customHeight="1" x14ac:dyDescent="0.2">
      <c r="L107"/>
    </row>
    <row r="108" spans="2:12" ht="12.75" customHeight="1" x14ac:dyDescent="0.2">
      <c r="L108"/>
    </row>
    <row r="109" spans="2:12" ht="12.75" customHeight="1" x14ac:dyDescent="0.2">
      <c r="L109"/>
    </row>
    <row r="110" spans="2:12" ht="12.75" customHeight="1" x14ac:dyDescent="0.2">
      <c r="L110"/>
    </row>
    <row r="111" spans="2:12" ht="12.75" customHeight="1" x14ac:dyDescent="0.2">
      <c r="L111"/>
    </row>
    <row r="112" spans="2:12" ht="12.75" customHeight="1" x14ac:dyDescent="0.2">
      <c r="L112"/>
    </row>
    <row r="113" spans="5:12" ht="12.75" customHeight="1" x14ac:dyDescent="0.2">
      <c r="L113"/>
    </row>
    <row r="114" spans="5:12" ht="12.75" customHeight="1" x14ac:dyDescent="0.2">
      <c r="L114"/>
    </row>
    <row r="115" spans="5:12" ht="12.75" customHeight="1" x14ac:dyDescent="0.2">
      <c r="J115"/>
      <c r="L115"/>
    </row>
    <row r="116" spans="5:12" ht="12.75" customHeight="1" x14ac:dyDescent="0.2">
      <c r="E116"/>
      <c r="J116"/>
      <c r="L116"/>
    </row>
    <row r="117" spans="5:12" ht="12.75" customHeight="1" x14ac:dyDescent="0.2">
      <c r="E117"/>
      <c r="J117"/>
      <c r="L117"/>
    </row>
    <row r="118" spans="5:12" ht="12.75" customHeight="1" x14ac:dyDescent="0.2">
      <c r="E118"/>
      <c r="J118"/>
      <c r="L118"/>
    </row>
    <row r="119" spans="5:12" ht="12.75" customHeight="1" x14ac:dyDescent="0.2">
      <c r="E119"/>
      <c r="J119"/>
      <c r="L119"/>
    </row>
    <row r="120" spans="5:12" ht="12.75" customHeight="1" x14ac:dyDescent="0.2">
      <c r="E120"/>
      <c r="J120"/>
      <c r="L120"/>
    </row>
    <row r="121" spans="5:12" ht="12.75" customHeight="1" x14ac:dyDescent="0.2">
      <c r="E121"/>
      <c r="J121"/>
      <c r="L121"/>
    </row>
    <row r="122" spans="5:12" ht="12.75" customHeight="1" x14ac:dyDescent="0.2">
      <c r="E122"/>
      <c r="J122"/>
      <c r="L122"/>
    </row>
    <row r="123" spans="5:12" ht="12.75" customHeight="1" x14ac:dyDescent="0.2">
      <c r="E123"/>
      <c r="J123"/>
      <c r="L123"/>
    </row>
    <row r="124" spans="5:12" ht="12.75" customHeight="1" x14ac:dyDescent="0.2">
      <c r="E124"/>
      <c r="J124"/>
      <c r="L124"/>
    </row>
    <row r="125" spans="5:12" ht="12.75" customHeight="1" x14ac:dyDescent="0.2">
      <c r="E125"/>
      <c r="J125"/>
      <c r="L125"/>
    </row>
    <row r="126" spans="5:12" ht="12.75" customHeight="1" x14ac:dyDescent="0.2">
      <c r="E126"/>
      <c r="J126"/>
      <c r="L126"/>
    </row>
    <row r="127" spans="5:12" ht="12.75" customHeight="1" x14ac:dyDescent="0.2">
      <c r="E127"/>
      <c r="J127"/>
      <c r="L127"/>
    </row>
    <row r="128" spans="5:12" ht="12.75" customHeight="1" x14ac:dyDescent="0.2">
      <c r="E128"/>
      <c r="J128"/>
      <c r="L128"/>
    </row>
    <row r="129" spans="5:12" ht="12.75" customHeight="1" x14ac:dyDescent="0.2">
      <c r="E129"/>
      <c r="J129"/>
      <c r="L129"/>
    </row>
    <row r="130" spans="5:12" ht="12.75" customHeight="1" x14ac:dyDescent="0.2">
      <c r="E130"/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</row>
  </sheetData>
  <sheetProtection password="EDB3" sheet="1" objects="1" scenarios="1"/>
  <sortState ref="K9:L32">
    <sortCondition descending="1" ref="L9:L32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364</v>
      </c>
      <c r="B1" s="126" t="s">
        <v>160</v>
      </c>
      <c r="C1" s="127"/>
      <c r="D1" s="127"/>
      <c r="E1" s="127"/>
      <c r="F1" s="127"/>
      <c r="G1" s="127"/>
      <c r="H1" s="128"/>
    </row>
    <row r="2" spans="1:16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392</v>
      </c>
      <c r="C8" s="16"/>
      <c r="F8" s="13"/>
      <c r="G8" s="14"/>
      <c r="H8" s="15"/>
      <c r="J8" s="17" t="s">
        <v>632</v>
      </c>
      <c r="K8" s="37" t="s">
        <v>12</v>
      </c>
    </row>
    <row r="9" spans="1:16" ht="12.75" customHeight="1" x14ac:dyDescent="0.2">
      <c r="A9">
        <f>+MAX($A$8:A8)+1</f>
        <v>1</v>
      </c>
      <c r="B9" t="s">
        <v>187</v>
      </c>
      <c r="C9" t="s">
        <v>13</v>
      </c>
      <c r="D9" t="s">
        <v>10</v>
      </c>
      <c r="E9" s="28">
        <v>89534</v>
      </c>
      <c r="F9" s="13">
        <v>1688.7007740000001</v>
      </c>
      <c r="G9" s="14">
        <f t="shared" ref="G9:G40" si="0">+ROUND(F9/VLOOKUP("Grand Total",$B$4:$F$276,5,0),4)</f>
        <v>4.4999999999999998E-2</v>
      </c>
      <c r="H9" s="15" t="s">
        <v>357</v>
      </c>
      <c r="J9" s="14" t="s">
        <v>10</v>
      </c>
      <c r="K9" s="48">
        <f t="shared" ref="K9:K32" si="1">SUMIFS($G$5:$G$313,$D$5:$D$313,J9)</f>
        <v>0.1898</v>
      </c>
    </row>
    <row r="10" spans="1:16" ht="12.75" customHeight="1" x14ac:dyDescent="0.2">
      <c r="A10">
        <f>+MAX($A$8:A9)+1</f>
        <v>2</v>
      </c>
      <c r="B10" t="s">
        <v>190</v>
      </c>
      <c r="C10" t="s">
        <v>11</v>
      </c>
      <c r="D10" t="s">
        <v>10</v>
      </c>
      <c r="E10" s="28">
        <v>477443</v>
      </c>
      <c r="F10" s="13">
        <v>1328.9625905</v>
      </c>
      <c r="G10" s="14">
        <f t="shared" si="0"/>
        <v>3.5400000000000001E-2</v>
      </c>
      <c r="H10" s="15" t="s">
        <v>357</v>
      </c>
      <c r="J10" s="14" t="s">
        <v>25</v>
      </c>
      <c r="K10" s="48">
        <f t="shared" si="1"/>
        <v>0.11990000000000001</v>
      </c>
    </row>
    <row r="11" spans="1:16" ht="12.75" customHeight="1" x14ac:dyDescent="0.2">
      <c r="A11">
        <f>+MAX($A$8:A10)+1</f>
        <v>3</v>
      </c>
      <c r="B11" t="s">
        <v>188</v>
      </c>
      <c r="C11" t="s">
        <v>15</v>
      </c>
      <c r="D11" t="s">
        <v>14</v>
      </c>
      <c r="E11" s="28">
        <v>103297</v>
      </c>
      <c r="F11" s="13">
        <v>1169.115446</v>
      </c>
      <c r="G11" s="14">
        <f t="shared" si="0"/>
        <v>3.1099999999999999E-2</v>
      </c>
      <c r="H11" s="15" t="s">
        <v>357</v>
      </c>
      <c r="J11" s="14" t="s">
        <v>14</v>
      </c>
      <c r="K11" s="48">
        <f t="shared" si="1"/>
        <v>7.4300000000000005E-2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220</v>
      </c>
      <c r="C12" t="s">
        <v>70</v>
      </c>
      <c r="D12" t="s">
        <v>27</v>
      </c>
      <c r="E12" s="28">
        <v>85362</v>
      </c>
      <c r="F12" s="13">
        <v>1119.010458</v>
      </c>
      <c r="G12" s="14">
        <f t="shared" si="0"/>
        <v>2.98E-2</v>
      </c>
      <c r="H12" s="15" t="s">
        <v>357</v>
      </c>
      <c r="J12" s="14" t="s">
        <v>35</v>
      </c>
      <c r="K12" s="48">
        <f t="shared" si="1"/>
        <v>5.5500000000000001E-2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189</v>
      </c>
      <c r="C13" t="s">
        <v>30</v>
      </c>
      <c r="D13" t="s">
        <v>29</v>
      </c>
      <c r="E13" s="28">
        <v>125452</v>
      </c>
      <c r="F13" s="13">
        <v>1107.364804</v>
      </c>
      <c r="G13" s="14">
        <f t="shared" si="0"/>
        <v>2.9499999999999998E-2</v>
      </c>
      <c r="H13" s="15" t="s">
        <v>357</v>
      </c>
      <c r="J13" s="14" t="s">
        <v>27</v>
      </c>
      <c r="K13" s="48">
        <f t="shared" si="1"/>
        <v>5.5399999999999998E-2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193</v>
      </c>
      <c r="C14" t="s">
        <v>26</v>
      </c>
      <c r="D14" t="s">
        <v>23</v>
      </c>
      <c r="E14" s="28">
        <v>58670</v>
      </c>
      <c r="F14" s="13">
        <v>1071.07952</v>
      </c>
      <c r="G14" s="14">
        <f t="shared" si="0"/>
        <v>2.8500000000000001E-2</v>
      </c>
      <c r="H14" s="15" t="s">
        <v>357</v>
      </c>
      <c r="J14" s="14" t="s">
        <v>20</v>
      </c>
      <c r="K14" s="48">
        <f t="shared" si="1"/>
        <v>5.28E-2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308</v>
      </c>
      <c r="C15" t="s">
        <v>309</v>
      </c>
      <c r="D15" t="s">
        <v>141</v>
      </c>
      <c r="E15" s="28">
        <v>166066</v>
      </c>
      <c r="F15" s="13">
        <v>936.77830599999993</v>
      </c>
      <c r="G15" s="14">
        <f t="shared" si="0"/>
        <v>2.5000000000000001E-2</v>
      </c>
      <c r="H15" s="15" t="s">
        <v>357</v>
      </c>
      <c r="J15" s="14" t="s">
        <v>23</v>
      </c>
      <c r="K15" s="48">
        <f t="shared" si="1"/>
        <v>5.0200000000000009E-2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196</v>
      </c>
      <c r="C16" t="s">
        <v>45</v>
      </c>
      <c r="D16" t="s">
        <v>25</v>
      </c>
      <c r="E16" s="28">
        <v>361866</v>
      </c>
      <c r="F16" s="13">
        <v>924.56763000000001</v>
      </c>
      <c r="G16" s="14">
        <f t="shared" si="0"/>
        <v>2.46E-2</v>
      </c>
      <c r="H16" s="15" t="s">
        <v>357</v>
      </c>
      <c r="J16" s="14" t="s">
        <v>18</v>
      </c>
      <c r="K16" s="48">
        <f t="shared" si="1"/>
        <v>4.6300000000000001E-2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192</v>
      </c>
      <c r="C17" t="s">
        <v>24</v>
      </c>
      <c r="D17" t="s">
        <v>14</v>
      </c>
      <c r="E17" s="28">
        <v>90069</v>
      </c>
      <c r="F17" s="13">
        <v>872.40833400000008</v>
      </c>
      <c r="G17" s="14">
        <f t="shared" si="0"/>
        <v>2.3199999999999998E-2</v>
      </c>
      <c r="H17" s="15" t="s">
        <v>357</v>
      </c>
      <c r="J17" s="14" t="s">
        <v>131</v>
      </c>
      <c r="K17" s="48">
        <f t="shared" si="1"/>
        <v>4.1099999999999998E-2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16</v>
      </c>
      <c r="C18" t="s">
        <v>17</v>
      </c>
      <c r="D18" t="s">
        <v>10</v>
      </c>
      <c r="E18" s="28">
        <v>333301</v>
      </c>
      <c r="F18" s="13">
        <v>832.91919900000005</v>
      </c>
      <c r="G18" s="14">
        <f t="shared" si="0"/>
        <v>2.2200000000000001E-2</v>
      </c>
      <c r="H18" s="15" t="s">
        <v>357</v>
      </c>
      <c r="J18" s="14" t="s">
        <v>22</v>
      </c>
      <c r="K18" s="48">
        <f t="shared" si="1"/>
        <v>4.1100000000000005E-2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226</v>
      </c>
      <c r="C19" t="s">
        <v>77</v>
      </c>
      <c r="D19" t="s">
        <v>25</v>
      </c>
      <c r="E19" s="28">
        <v>26016</v>
      </c>
      <c r="F19" s="13">
        <v>814.20974400000011</v>
      </c>
      <c r="G19" s="14">
        <f t="shared" si="0"/>
        <v>2.1700000000000001E-2</v>
      </c>
      <c r="H19" s="15" t="s">
        <v>357</v>
      </c>
      <c r="J19" s="14" t="s">
        <v>37</v>
      </c>
      <c r="K19" s="48">
        <f t="shared" si="1"/>
        <v>3.27E-2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219</v>
      </c>
      <c r="C20" t="s">
        <v>65</v>
      </c>
      <c r="D20" t="s">
        <v>27</v>
      </c>
      <c r="E20" s="28">
        <v>198268</v>
      </c>
      <c r="F20" s="13">
        <v>772.74953000000005</v>
      </c>
      <c r="G20" s="14">
        <f t="shared" si="0"/>
        <v>2.06E-2</v>
      </c>
      <c r="H20" s="15" t="s">
        <v>357</v>
      </c>
      <c r="J20" s="14" t="s">
        <v>40</v>
      </c>
      <c r="K20" s="48">
        <f t="shared" si="1"/>
        <v>3.2299999999999995E-2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245</v>
      </c>
      <c r="C21" t="s">
        <v>114</v>
      </c>
      <c r="D21" t="s">
        <v>35</v>
      </c>
      <c r="E21" s="28">
        <v>447200</v>
      </c>
      <c r="F21" s="13">
        <v>758.89840000000004</v>
      </c>
      <c r="G21" s="14">
        <f t="shared" si="0"/>
        <v>2.0199999999999999E-2</v>
      </c>
      <c r="H21" s="15" t="s">
        <v>357</v>
      </c>
      <c r="J21" t="s">
        <v>29</v>
      </c>
      <c r="K21" s="48">
        <f t="shared" si="1"/>
        <v>2.9499999999999998E-2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211</v>
      </c>
      <c r="C22" t="s">
        <v>19</v>
      </c>
      <c r="D22" t="s">
        <v>14</v>
      </c>
      <c r="E22" s="28">
        <v>26320</v>
      </c>
      <c r="F22" s="13">
        <v>749.89628000000005</v>
      </c>
      <c r="G22" s="14">
        <f t="shared" si="0"/>
        <v>0.02</v>
      </c>
      <c r="H22" s="15" t="s">
        <v>357</v>
      </c>
      <c r="J22" s="14" t="s">
        <v>141</v>
      </c>
      <c r="K22" s="48">
        <f t="shared" si="1"/>
        <v>2.5000000000000001E-2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302</v>
      </c>
      <c r="C23" t="s">
        <v>75</v>
      </c>
      <c r="D23" t="s">
        <v>37</v>
      </c>
      <c r="E23" s="28">
        <v>224228</v>
      </c>
      <c r="F23" s="13">
        <v>744.43696</v>
      </c>
      <c r="G23" s="14">
        <f t="shared" si="0"/>
        <v>1.9800000000000002E-2</v>
      </c>
      <c r="H23" s="15" t="s">
        <v>357</v>
      </c>
      <c r="J23" s="14" t="s">
        <v>396</v>
      </c>
      <c r="K23" s="48">
        <f t="shared" si="1"/>
        <v>1.8599999999999998E-2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198</v>
      </c>
      <c r="C24" t="s">
        <v>47</v>
      </c>
      <c r="D24" t="s">
        <v>25</v>
      </c>
      <c r="E24" s="28">
        <v>14166</v>
      </c>
      <c r="F24" s="13">
        <v>704.13519599999995</v>
      </c>
      <c r="G24" s="14">
        <f t="shared" si="0"/>
        <v>1.8800000000000001E-2</v>
      </c>
      <c r="H24" s="15" t="s">
        <v>357</v>
      </c>
      <c r="J24" s="14" t="s">
        <v>44</v>
      </c>
      <c r="K24" s="48">
        <f t="shared" si="1"/>
        <v>1.8000000000000002E-2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334</v>
      </c>
      <c r="C25" t="s">
        <v>397</v>
      </c>
      <c r="D25" t="s">
        <v>131</v>
      </c>
      <c r="E25" s="28">
        <v>64462</v>
      </c>
      <c r="F25" s="13">
        <v>699.79947200000004</v>
      </c>
      <c r="G25" s="14">
        <f t="shared" si="0"/>
        <v>1.8599999999999998E-2</v>
      </c>
      <c r="H25" s="15" t="s">
        <v>357</v>
      </c>
      <c r="J25" s="14" t="s">
        <v>36</v>
      </c>
      <c r="K25" s="48">
        <f t="shared" si="1"/>
        <v>1.3299999999999999E-2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394</v>
      </c>
      <c r="C26" t="s">
        <v>395</v>
      </c>
      <c r="D26" t="s">
        <v>396</v>
      </c>
      <c r="E26" s="28">
        <v>424966</v>
      </c>
      <c r="F26" s="13">
        <v>699.70651900000007</v>
      </c>
      <c r="G26" s="14">
        <f t="shared" si="0"/>
        <v>1.8599999999999998E-2</v>
      </c>
      <c r="H26" s="15" t="s">
        <v>357</v>
      </c>
      <c r="J26" s="14" t="s">
        <v>50</v>
      </c>
      <c r="K26" s="48">
        <f t="shared" si="1"/>
        <v>1.2999999999999999E-2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550</v>
      </c>
      <c r="C27" t="s">
        <v>551</v>
      </c>
      <c r="D27" t="s">
        <v>25</v>
      </c>
      <c r="E27" s="28">
        <v>11310</v>
      </c>
      <c r="F27" s="13">
        <v>689.92130999999995</v>
      </c>
      <c r="G27" s="14">
        <f t="shared" si="0"/>
        <v>1.84E-2</v>
      </c>
      <c r="H27" s="15" t="s">
        <v>357</v>
      </c>
      <c r="J27" s="14" t="s">
        <v>470</v>
      </c>
      <c r="K27" s="48">
        <f t="shared" si="1"/>
        <v>1.26E-2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380</v>
      </c>
      <c r="C28" t="s">
        <v>379</v>
      </c>
      <c r="D28" t="s">
        <v>25</v>
      </c>
      <c r="E28" s="28">
        <v>208229</v>
      </c>
      <c r="F28" s="13">
        <v>683.82403599999998</v>
      </c>
      <c r="G28" s="14">
        <f t="shared" si="0"/>
        <v>1.8200000000000001E-2</v>
      </c>
      <c r="H28" s="15" t="s">
        <v>357</v>
      </c>
      <c r="J28" t="s">
        <v>42</v>
      </c>
      <c r="K28" s="48">
        <f t="shared" si="1"/>
        <v>9.7000000000000003E-3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301</v>
      </c>
      <c r="C29" t="s">
        <v>56</v>
      </c>
      <c r="D29" t="s">
        <v>25</v>
      </c>
      <c r="E29" s="28">
        <v>58253</v>
      </c>
      <c r="F29" s="13">
        <v>682.0261240000001</v>
      </c>
      <c r="G29" s="14">
        <f t="shared" si="0"/>
        <v>1.8200000000000001E-2</v>
      </c>
      <c r="H29" s="15" t="s">
        <v>357</v>
      </c>
      <c r="J29" s="14" t="s">
        <v>31</v>
      </c>
      <c r="K29" s="48">
        <f t="shared" si="1"/>
        <v>7.7999999999999996E-3</v>
      </c>
      <c r="L29" s="54">
        <f>+SUM($K$9:K27)</f>
        <v>0.9214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548</v>
      </c>
      <c r="C30" t="s">
        <v>549</v>
      </c>
      <c r="D30" t="s">
        <v>35</v>
      </c>
      <c r="E30" s="28">
        <v>855000</v>
      </c>
      <c r="F30" s="13">
        <v>675.45</v>
      </c>
      <c r="G30" s="14">
        <f t="shared" si="0"/>
        <v>1.7999999999999999E-2</v>
      </c>
      <c r="H30" s="15" t="s">
        <v>357</v>
      </c>
      <c r="J30" s="14" t="s">
        <v>33</v>
      </c>
      <c r="K30" s="48">
        <f t="shared" si="1"/>
        <v>6.7000000000000002E-3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201</v>
      </c>
      <c r="C31" t="s">
        <v>51</v>
      </c>
      <c r="D31" t="s">
        <v>40</v>
      </c>
      <c r="E31" s="28">
        <v>588703</v>
      </c>
      <c r="F31" s="13">
        <v>626.67434349999996</v>
      </c>
      <c r="G31" s="14">
        <f t="shared" si="0"/>
        <v>1.67E-2</v>
      </c>
      <c r="H31" s="15" t="s">
        <v>357</v>
      </c>
      <c r="J31" s="14" t="s">
        <v>418</v>
      </c>
      <c r="K31" s="48">
        <f t="shared" si="1"/>
        <v>6.0000000000000001E-3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303</v>
      </c>
      <c r="C32" t="s">
        <v>66</v>
      </c>
      <c r="D32" t="s">
        <v>18</v>
      </c>
      <c r="E32" s="28">
        <v>435230</v>
      </c>
      <c r="F32" s="13">
        <v>616.93852500000003</v>
      </c>
      <c r="G32" s="14">
        <f t="shared" si="0"/>
        <v>1.6400000000000001E-2</v>
      </c>
      <c r="H32" s="15" t="s">
        <v>357</v>
      </c>
      <c r="J32" s="14" t="s">
        <v>101</v>
      </c>
      <c r="K32" s="48">
        <f t="shared" si="1"/>
        <v>0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243</v>
      </c>
      <c r="C33" t="s">
        <v>111</v>
      </c>
      <c r="D33" t="s">
        <v>20</v>
      </c>
      <c r="E33" s="28">
        <v>16598</v>
      </c>
      <c r="F33" s="13">
        <v>588.03394400000002</v>
      </c>
      <c r="G33" s="14">
        <f t="shared" si="0"/>
        <v>1.5699999999999999E-2</v>
      </c>
      <c r="H33" s="15" t="s">
        <v>357</v>
      </c>
      <c r="J33" s="14" t="s">
        <v>63</v>
      </c>
      <c r="K33" s="48">
        <f>+SUMIFS($G$5:$G$997,$B$5:$B$997,"CBLO / Reverse Repo Investments")+SUMIFS($G$5:$G$997,$B$5:$B$997,"Net Receivable/Payable")</f>
        <v>4.8400000000000006E-2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270</v>
      </c>
      <c r="C34" t="s">
        <v>144</v>
      </c>
      <c r="D34" t="s">
        <v>40</v>
      </c>
      <c r="E34" s="28">
        <v>83088</v>
      </c>
      <c r="F34" s="13">
        <v>583.81783200000007</v>
      </c>
      <c r="G34" s="14">
        <f t="shared" si="0"/>
        <v>1.5599999999999999E-2</v>
      </c>
      <c r="H34" s="15" t="s">
        <v>357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204</v>
      </c>
      <c r="C35" t="s">
        <v>48</v>
      </c>
      <c r="D35" t="s">
        <v>20</v>
      </c>
      <c r="E35" s="28">
        <v>6577</v>
      </c>
      <c r="F35" s="13">
        <v>582.79454700000008</v>
      </c>
      <c r="G35" s="14">
        <f t="shared" si="0"/>
        <v>1.55E-2</v>
      </c>
      <c r="H35" s="15" t="s">
        <v>357</v>
      </c>
    </row>
    <row r="36" spans="1:16" ht="12.75" customHeight="1" x14ac:dyDescent="0.2">
      <c r="A36">
        <f>+MAX($A$8:A35)+1</f>
        <v>28</v>
      </c>
      <c r="B36" t="s">
        <v>207</v>
      </c>
      <c r="C36" t="s">
        <v>97</v>
      </c>
      <c r="D36" t="s">
        <v>10</v>
      </c>
      <c r="E36" s="28">
        <v>54915</v>
      </c>
      <c r="F36" s="13">
        <v>575.39936999999998</v>
      </c>
      <c r="G36" s="14">
        <f t="shared" si="0"/>
        <v>1.5299999999999999E-2</v>
      </c>
      <c r="H36" s="15" t="s">
        <v>357</v>
      </c>
    </row>
    <row r="37" spans="1:16" ht="12.75" customHeight="1" x14ac:dyDescent="0.2">
      <c r="A37">
        <f>+MAX($A$8:A36)+1</f>
        <v>29</v>
      </c>
      <c r="B37" t="s">
        <v>519</v>
      </c>
      <c r="C37" t="s">
        <v>520</v>
      </c>
      <c r="D37" t="s">
        <v>131</v>
      </c>
      <c r="E37" s="28">
        <v>151654</v>
      </c>
      <c r="F37" s="13">
        <v>568.17171099999996</v>
      </c>
      <c r="G37" s="14">
        <f t="shared" si="0"/>
        <v>1.5100000000000001E-2</v>
      </c>
      <c r="H37" s="15" t="s">
        <v>357</v>
      </c>
    </row>
    <row r="38" spans="1:16" ht="12.75" customHeight="1" x14ac:dyDescent="0.2">
      <c r="A38">
        <f>+MAX($A$8:A37)+1</f>
        <v>30</v>
      </c>
      <c r="B38" t="s">
        <v>215</v>
      </c>
      <c r="C38" t="s">
        <v>62</v>
      </c>
      <c r="D38" t="s">
        <v>35</v>
      </c>
      <c r="E38" s="28">
        <v>107294</v>
      </c>
      <c r="F38" s="13">
        <v>519.57119499999999</v>
      </c>
      <c r="G38" s="14">
        <f t="shared" si="0"/>
        <v>1.38E-2</v>
      </c>
      <c r="H38" s="15" t="s">
        <v>357</v>
      </c>
    </row>
    <row r="39" spans="1:16" ht="12.75" customHeight="1" x14ac:dyDescent="0.2">
      <c r="A39">
        <f>+MAX($A$8:A38)+1</f>
        <v>31</v>
      </c>
      <c r="B39" t="s">
        <v>633</v>
      </c>
      <c r="C39" t="s">
        <v>634</v>
      </c>
      <c r="D39" t="s">
        <v>36</v>
      </c>
      <c r="E39" s="28">
        <v>38581</v>
      </c>
      <c r="F39" s="13">
        <v>497.8685145</v>
      </c>
      <c r="G39" s="14">
        <f t="shared" si="0"/>
        <v>1.3299999999999999E-2</v>
      </c>
      <c r="H39" s="15" t="s">
        <v>357</v>
      </c>
    </row>
    <row r="40" spans="1:16" ht="12.75" customHeight="1" x14ac:dyDescent="0.2">
      <c r="A40">
        <f>+MAX($A$8:A39)+1</f>
        <v>32</v>
      </c>
      <c r="B40" t="s">
        <v>223</v>
      </c>
      <c r="C40" t="s">
        <v>78</v>
      </c>
      <c r="D40" t="s">
        <v>50</v>
      </c>
      <c r="E40" s="28">
        <v>172412</v>
      </c>
      <c r="F40" s="13">
        <v>488.443196</v>
      </c>
      <c r="G40" s="14">
        <f t="shared" si="0"/>
        <v>1.2999999999999999E-2</v>
      </c>
      <c r="H40" s="15" t="s">
        <v>357</v>
      </c>
    </row>
    <row r="41" spans="1:16" ht="12.75" customHeight="1" x14ac:dyDescent="0.2">
      <c r="A41">
        <f>+MAX($A$8:A40)+1</f>
        <v>33</v>
      </c>
      <c r="B41" t="s">
        <v>353</v>
      </c>
      <c r="C41" t="s">
        <v>354</v>
      </c>
      <c r="D41" t="s">
        <v>37</v>
      </c>
      <c r="E41" s="28">
        <v>616360</v>
      </c>
      <c r="F41" s="13">
        <v>482.91806000000003</v>
      </c>
      <c r="G41" s="14">
        <f t="shared" ref="G41:G68" si="2">+ROUND(F41/VLOOKUP("Grand Total",$B$4:$F$276,5,0),4)</f>
        <v>1.29E-2</v>
      </c>
      <c r="H41" s="15" t="s">
        <v>357</v>
      </c>
    </row>
    <row r="42" spans="1:16" ht="12.75" customHeight="1" x14ac:dyDescent="0.2">
      <c r="A42">
        <f>+MAX($A$8:A41)+1</f>
        <v>34</v>
      </c>
      <c r="B42" t="s">
        <v>206</v>
      </c>
      <c r="C42" t="s">
        <v>73</v>
      </c>
      <c r="D42" t="s">
        <v>470</v>
      </c>
      <c r="E42" s="28">
        <v>364687</v>
      </c>
      <c r="F42" s="13">
        <v>471.90497799999997</v>
      </c>
      <c r="G42" s="14">
        <f t="shared" si="2"/>
        <v>1.26E-2</v>
      </c>
      <c r="H42" s="15" t="s">
        <v>357</v>
      </c>
    </row>
    <row r="43" spans="1:16" ht="12.75" customHeight="1" x14ac:dyDescent="0.2">
      <c r="A43">
        <f>+MAX($A$8:A42)+1</f>
        <v>35</v>
      </c>
      <c r="B43" t="s">
        <v>235</v>
      </c>
      <c r="C43" t="s">
        <v>99</v>
      </c>
      <c r="D43" t="s">
        <v>20</v>
      </c>
      <c r="E43" s="28">
        <v>60750</v>
      </c>
      <c r="F43" s="13">
        <v>448.88175000000001</v>
      </c>
      <c r="G43" s="14">
        <f t="shared" si="2"/>
        <v>1.2E-2</v>
      </c>
      <c r="H43" s="15" t="s">
        <v>357</v>
      </c>
    </row>
    <row r="44" spans="1:16" ht="12.75" customHeight="1" x14ac:dyDescent="0.2">
      <c r="A44">
        <f>+MAX($A$8:A43)+1</f>
        <v>36</v>
      </c>
      <c r="B44" t="s">
        <v>473</v>
      </c>
      <c r="C44" t="s">
        <v>474</v>
      </c>
      <c r="D44" t="s">
        <v>23</v>
      </c>
      <c r="E44" s="28">
        <v>29674</v>
      </c>
      <c r="F44" s="13">
        <v>427.18690399999997</v>
      </c>
      <c r="G44" s="14">
        <f t="shared" si="2"/>
        <v>1.14E-2</v>
      </c>
      <c r="H44" s="15" t="s">
        <v>357</v>
      </c>
    </row>
    <row r="45" spans="1:16" ht="12.75" customHeight="1" x14ac:dyDescent="0.2">
      <c r="A45">
        <f>+MAX($A$8:A44)+1</f>
        <v>37</v>
      </c>
      <c r="B45" t="s">
        <v>518</v>
      </c>
      <c r="C45" t="s">
        <v>452</v>
      </c>
      <c r="D45" t="s">
        <v>22</v>
      </c>
      <c r="E45" s="28">
        <v>128801</v>
      </c>
      <c r="F45" s="13">
        <v>412.61400350000002</v>
      </c>
      <c r="G45" s="14">
        <f t="shared" si="2"/>
        <v>1.0999999999999999E-2</v>
      </c>
      <c r="H45" s="15" t="s">
        <v>357</v>
      </c>
    </row>
    <row r="46" spans="1:16" ht="12.75" customHeight="1" x14ac:dyDescent="0.2">
      <c r="A46">
        <f>+MAX($A$8:A45)+1</f>
        <v>38</v>
      </c>
      <c r="B46" t="s">
        <v>200</v>
      </c>
      <c r="C46" t="s">
        <v>49</v>
      </c>
      <c r="D46" t="s">
        <v>22</v>
      </c>
      <c r="E46" s="28">
        <v>7446</v>
      </c>
      <c r="F46" s="13">
        <v>406.02665700000006</v>
      </c>
      <c r="G46" s="14">
        <f t="shared" si="2"/>
        <v>1.0800000000000001E-2</v>
      </c>
      <c r="H46" s="15" t="s">
        <v>357</v>
      </c>
    </row>
    <row r="47" spans="1:16" ht="12.75" customHeight="1" x14ac:dyDescent="0.2">
      <c r="A47">
        <f>+MAX($A$8:A46)+1</f>
        <v>39</v>
      </c>
      <c r="B47" t="s">
        <v>570</v>
      </c>
      <c r="C47" t="s">
        <v>391</v>
      </c>
      <c r="D47" t="s">
        <v>10</v>
      </c>
      <c r="E47" s="28">
        <v>396203</v>
      </c>
      <c r="F47" s="13">
        <v>397.98591350000004</v>
      </c>
      <c r="G47" s="14">
        <f t="shared" si="2"/>
        <v>1.06E-2</v>
      </c>
      <c r="H47" s="15" t="s">
        <v>357</v>
      </c>
    </row>
    <row r="48" spans="1:16" ht="12.75" customHeight="1" x14ac:dyDescent="0.2">
      <c r="A48">
        <f>+MAX($A$8:A47)+1</f>
        <v>40</v>
      </c>
      <c r="B48" t="s">
        <v>312</v>
      </c>
      <c r="C48" t="s">
        <v>313</v>
      </c>
      <c r="D48" t="s">
        <v>10</v>
      </c>
      <c r="E48" s="28">
        <v>226331</v>
      </c>
      <c r="F48" s="13">
        <v>390.30780950000002</v>
      </c>
      <c r="G48" s="14">
        <f t="shared" si="2"/>
        <v>1.04E-2</v>
      </c>
      <c r="H48" s="15" t="s">
        <v>357</v>
      </c>
    </row>
    <row r="49" spans="1:8" ht="12.75" customHeight="1" x14ac:dyDescent="0.2">
      <c r="A49">
        <f>+MAX($A$8:A48)+1</f>
        <v>41</v>
      </c>
      <c r="B49" t="s">
        <v>39</v>
      </c>
      <c r="C49" t="s">
        <v>41</v>
      </c>
      <c r="D49" t="s">
        <v>10</v>
      </c>
      <c r="E49" s="28">
        <v>273565</v>
      </c>
      <c r="F49" s="13">
        <v>389.28299500000003</v>
      </c>
      <c r="G49" s="14">
        <f t="shared" si="2"/>
        <v>1.04E-2</v>
      </c>
      <c r="H49" s="15" t="s">
        <v>357</v>
      </c>
    </row>
    <row r="50" spans="1:8" ht="12.75" customHeight="1" x14ac:dyDescent="0.2">
      <c r="A50">
        <f>+MAX($A$8:A49)+1</f>
        <v>42</v>
      </c>
      <c r="B50" t="s">
        <v>197</v>
      </c>
      <c r="C50" t="s">
        <v>43</v>
      </c>
      <c r="D50" t="s">
        <v>23</v>
      </c>
      <c r="E50" s="28">
        <v>75858</v>
      </c>
      <c r="F50" s="13">
        <v>386.98958700000003</v>
      </c>
      <c r="G50" s="14">
        <f t="shared" si="2"/>
        <v>1.03E-2</v>
      </c>
      <c r="H50" s="15" t="s">
        <v>357</v>
      </c>
    </row>
    <row r="51" spans="1:8" ht="12.75" customHeight="1" x14ac:dyDescent="0.2">
      <c r="A51">
        <f>+MAX($A$8:A50)+1</f>
        <v>43</v>
      </c>
      <c r="B51" t="s">
        <v>199</v>
      </c>
      <c r="C51" t="s">
        <v>52</v>
      </c>
      <c r="D51" t="s">
        <v>18</v>
      </c>
      <c r="E51" s="28">
        <v>9782</v>
      </c>
      <c r="F51" s="13">
        <v>386.38900000000001</v>
      </c>
      <c r="G51" s="14">
        <f t="shared" si="2"/>
        <v>1.03E-2</v>
      </c>
      <c r="H51" s="15" t="s">
        <v>357</v>
      </c>
    </row>
    <row r="52" spans="1:8" ht="12.75" customHeight="1" x14ac:dyDescent="0.2">
      <c r="A52">
        <f>+MAX($A$8:A51)+1</f>
        <v>44</v>
      </c>
      <c r="B52" t="s">
        <v>202</v>
      </c>
      <c r="C52" t="s">
        <v>32</v>
      </c>
      <c r="D52" t="s">
        <v>18</v>
      </c>
      <c r="E52" s="28">
        <v>37195</v>
      </c>
      <c r="F52" s="13">
        <v>377.54784749999999</v>
      </c>
      <c r="G52" s="14">
        <f t="shared" si="2"/>
        <v>1.01E-2</v>
      </c>
      <c r="H52" s="15" t="s">
        <v>357</v>
      </c>
    </row>
    <row r="53" spans="1:8" ht="12.75" customHeight="1" x14ac:dyDescent="0.2">
      <c r="A53">
        <f>+MAX($A$8:A52)+1</f>
        <v>45</v>
      </c>
      <c r="B53" s="65" t="s">
        <v>225</v>
      </c>
      <c r="C53" s="65" t="s">
        <v>80</v>
      </c>
      <c r="D53" t="s">
        <v>44</v>
      </c>
      <c r="E53" s="28">
        <v>125426</v>
      </c>
      <c r="F53" s="13">
        <v>376.96784299999996</v>
      </c>
      <c r="G53" s="14">
        <f t="shared" si="2"/>
        <v>0.01</v>
      </c>
      <c r="H53" s="15" t="s">
        <v>357</v>
      </c>
    </row>
    <row r="54" spans="1:8" ht="12.75" customHeight="1" x14ac:dyDescent="0.2">
      <c r="A54">
        <f>+MAX($A$8:A53)+1</f>
        <v>46</v>
      </c>
      <c r="B54" t="s">
        <v>415</v>
      </c>
      <c r="C54" t="s">
        <v>67</v>
      </c>
      <c r="D54" t="s">
        <v>22</v>
      </c>
      <c r="E54" s="28">
        <v>74439</v>
      </c>
      <c r="F54" s="13">
        <v>368.54748899999998</v>
      </c>
      <c r="G54" s="14">
        <f t="shared" si="2"/>
        <v>9.7999999999999997E-3</v>
      </c>
      <c r="H54" s="15" t="s">
        <v>357</v>
      </c>
    </row>
    <row r="55" spans="1:8" ht="12.75" customHeight="1" x14ac:dyDescent="0.2">
      <c r="A55">
        <f>+MAX($A$8:A54)+1</f>
        <v>47</v>
      </c>
      <c r="B55" t="s">
        <v>218</v>
      </c>
      <c r="C55" t="s">
        <v>69</v>
      </c>
      <c r="D55" t="s">
        <v>10</v>
      </c>
      <c r="E55" s="28">
        <v>408135</v>
      </c>
      <c r="F55" s="13">
        <v>364.05642</v>
      </c>
      <c r="G55" s="14">
        <f t="shared" si="2"/>
        <v>9.7000000000000003E-3</v>
      </c>
      <c r="H55" s="15" t="s">
        <v>357</v>
      </c>
    </row>
    <row r="56" spans="1:8" ht="12.75" customHeight="1" x14ac:dyDescent="0.2">
      <c r="A56">
        <f>+MAX($A$8:A55)+1</f>
        <v>48</v>
      </c>
      <c r="B56" t="s">
        <v>471</v>
      </c>
      <c r="C56" t="s">
        <v>472</v>
      </c>
      <c r="D56" t="s">
        <v>42</v>
      </c>
      <c r="E56" s="28">
        <v>40485</v>
      </c>
      <c r="F56" s="13">
        <v>363.45408750000001</v>
      </c>
      <c r="G56" s="14">
        <f t="shared" si="2"/>
        <v>9.7000000000000003E-3</v>
      </c>
      <c r="H56" s="15" t="s">
        <v>357</v>
      </c>
    </row>
    <row r="57" spans="1:8" ht="12.75" customHeight="1" x14ac:dyDescent="0.2">
      <c r="A57">
        <f>+MAX($A$8:A56)+1</f>
        <v>49</v>
      </c>
      <c r="B57" t="s">
        <v>191</v>
      </c>
      <c r="C57" t="s">
        <v>21</v>
      </c>
      <c r="D57" t="s">
        <v>20</v>
      </c>
      <c r="E57" s="28">
        <v>110578</v>
      </c>
      <c r="F57" s="13">
        <v>361.42419299999995</v>
      </c>
      <c r="G57" s="14">
        <f t="shared" si="2"/>
        <v>9.5999999999999992E-3</v>
      </c>
      <c r="H57" s="15" t="s">
        <v>357</v>
      </c>
    </row>
    <row r="58" spans="1:8" ht="12.75" customHeight="1" x14ac:dyDescent="0.2">
      <c r="A58">
        <f>+MAX($A$8:A57)+1</f>
        <v>50</v>
      </c>
      <c r="B58" t="s">
        <v>210</v>
      </c>
      <c r="C58" t="s">
        <v>60</v>
      </c>
      <c r="D58" t="s">
        <v>22</v>
      </c>
      <c r="E58" s="28">
        <v>63656</v>
      </c>
      <c r="F58" s="13">
        <v>355.10499600000003</v>
      </c>
      <c r="G58" s="14">
        <f t="shared" si="2"/>
        <v>9.4999999999999998E-3</v>
      </c>
      <c r="H58" s="15" t="s">
        <v>357</v>
      </c>
    </row>
    <row r="59" spans="1:8" ht="12.75" customHeight="1" x14ac:dyDescent="0.2">
      <c r="A59">
        <f>+MAX($A$8:A58)+1</f>
        <v>51</v>
      </c>
      <c r="B59" t="s">
        <v>326</v>
      </c>
      <c r="C59" t="s">
        <v>327</v>
      </c>
      <c r="D59" t="s">
        <v>18</v>
      </c>
      <c r="E59" s="28">
        <v>49646</v>
      </c>
      <c r="F59" s="13">
        <v>354.81996200000003</v>
      </c>
      <c r="G59" s="14">
        <f t="shared" si="2"/>
        <v>9.4999999999999998E-3</v>
      </c>
      <c r="H59" s="15" t="s">
        <v>357</v>
      </c>
    </row>
    <row r="60" spans="1:8" ht="12.75" customHeight="1" x14ac:dyDescent="0.2">
      <c r="A60">
        <f>+MAX($A$8:A59)+1</f>
        <v>52</v>
      </c>
      <c r="B60" t="s">
        <v>212</v>
      </c>
      <c r="C60" t="s">
        <v>28</v>
      </c>
      <c r="D60" t="s">
        <v>10</v>
      </c>
      <c r="E60" s="28">
        <v>67240</v>
      </c>
      <c r="F60" s="13">
        <v>343.2602</v>
      </c>
      <c r="G60" s="14">
        <f t="shared" si="2"/>
        <v>9.1000000000000004E-3</v>
      </c>
      <c r="H60" s="15" t="s">
        <v>357</v>
      </c>
    </row>
    <row r="61" spans="1:8" ht="12.75" customHeight="1" x14ac:dyDescent="0.2">
      <c r="A61">
        <f>+MAX($A$8:A60)+1</f>
        <v>53</v>
      </c>
      <c r="B61" t="s">
        <v>523</v>
      </c>
      <c r="C61" t="s">
        <v>524</v>
      </c>
      <c r="D61" t="s">
        <v>10</v>
      </c>
      <c r="E61" s="28">
        <v>588497</v>
      </c>
      <c r="F61" s="13">
        <v>306.31268850000004</v>
      </c>
      <c r="G61" s="14">
        <f t="shared" si="2"/>
        <v>8.2000000000000007E-3</v>
      </c>
      <c r="H61" s="15" t="s">
        <v>357</v>
      </c>
    </row>
    <row r="62" spans="1:8" ht="12.75" customHeight="1" x14ac:dyDescent="0.2">
      <c r="A62">
        <f>+MAX($A$8:A61)+1</f>
        <v>54</v>
      </c>
      <c r="B62" t="s">
        <v>521</v>
      </c>
      <c r="C62" t="s">
        <v>522</v>
      </c>
      <c r="D62" t="s">
        <v>44</v>
      </c>
      <c r="E62" s="28">
        <v>454547</v>
      </c>
      <c r="F62" s="13">
        <v>302.04648149999997</v>
      </c>
      <c r="G62" s="14">
        <f t="shared" si="2"/>
        <v>8.0000000000000002E-3</v>
      </c>
      <c r="H62" s="15" t="s">
        <v>357</v>
      </c>
    </row>
    <row r="63" spans="1:8" ht="12.75" customHeight="1" x14ac:dyDescent="0.2">
      <c r="A63">
        <f>+MAX($A$8:A62)+1</f>
        <v>55</v>
      </c>
      <c r="B63" t="s">
        <v>663</v>
      </c>
      <c r="C63" t="s">
        <v>664</v>
      </c>
      <c r="D63" t="s">
        <v>31</v>
      </c>
      <c r="E63" s="28">
        <v>146000</v>
      </c>
      <c r="F63" s="13">
        <v>293.31400000000002</v>
      </c>
      <c r="G63" s="14">
        <f t="shared" si="2"/>
        <v>7.7999999999999996E-3</v>
      </c>
      <c r="H63" s="15" t="s">
        <v>357</v>
      </c>
    </row>
    <row r="64" spans="1:8" ht="12.75" customHeight="1" x14ac:dyDescent="0.2">
      <c r="A64">
        <f>+MAX($A$8:A63)+1</f>
        <v>56</v>
      </c>
      <c r="B64" t="s">
        <v>539</v>
      </c>
      <c r="C64" t="s">
        <v>540</v>
      </c>
      <c r="D64" t="s">
        <v>131</v>
      </c>
      <c r="E64" s="28">
        <v>76679</v>
      </c>
      <c r="F64" s="13">
        <v>279.07322049999999</v>
      </c>
      <c r="G64" s="14">
        <f t="shared" si="2"/>
        <v>7.4000000000000003E-3</v>
      </c>
      <c r="H64" s="15" t="s">
        <v>357</v>
      </c>
    </row>
    <row r="65" spans="1:9" ht="12.75" customHeight="1" x14ac:dyDescent="0.2">
      <c r="A65">
        <f>+MAX($A$8:A64)+1</f>
        <v>57</v>
      </c>
      <c r="B65" t="s">
        <v>163</v>
      </c>
      <c r="C65" t="s">
        <v>177</v>
      </c>
      <c r="D65" t="s">
        <v>10</v>
      </c>
      <c r="E65" s="28">
        <v>99524</v>
      </c>
      <c r="F65" s="13">
        <v>262.64383600000002</v>
      </c>
      <c r="G65" s="14">
        <f t="shared" si="2"/>
        <v>7.0000000000000001E-3</v>
      </c>
      <c r="H65" s="15" t="s">
        <v>357</v>
      </c>
    </row>
    <row r="66" spans="1:9" ht="12.75" customHeight="1" x14ac:dyDescent="0.2">
      <c r="A66">
        <f>+MAX($A$8:A65)+1</f>
        <v>58</v>
      </c>
      <c r="B66" t="s">
        <v>209</v>
      </c>
      <c r="C66" t="s">
        <v>64</v>
      </c>
      <c r="D66" t="s">
        <v>33</v>
      </c>
      <c r="E66" s="28">
        <v>63471</v>
      </c>
      <c r="F66" s="13">
        <v>253.058877</v>
      </c>
      <c r="G66" s="14">
        <f t="shared" si="2"/>
        <v>6.7000000000000002E-3</v>
      </c>
      <c r="H66" s="15" t="s">
        <v>357</v>
      </c>
    </row>
    <row r="67" spans="1:9" ht="12.75" customHeight="1" x14ac:dyDescent="0.2">
      <c r="A67">
        <f>+MAX($A$8:A66)+1</f>
        <v>59</v>
      </c>
      <c r="B67" t="s">
        <v>571</v>
      </c>
      <c r="C67" t="s">
        <v>572</v>
      </c>
      <c r="D67" t="s">
        <v>10</v>
      </c>
      <c r="E67" s="28">
        <v>442985</v>
      </c>
      <c r="F67" s="13">
        <v>245.63518250000001</v>
      </c>
      <c r="G67" s="14">
        <f t="shared" si="2"/>
        <v>6.4999999999999997E-3</v>
      </c>
      <c r="H67" s="15" t="s">
        <v>357</v>
      </c>
    </row>
    <row r="68" spans="1:9" ht="12.75" customHeight="1" x14ac:dyDescent="0.2">
      <c r="A68">
        <f>+MAX($A$8:A67)+1</f>
        <v>60</v>
      </c>
      <c r="B68" t="s">
        <v>416</v>
      </c>
      <c r="C68" t="s">
        <v>417</v>
      </c>
      <c r="D68" t="s">
        <v>418</v>
      </c>
      <c r="E68" s="28">
        <v>118442</v>
      </c>
      <c r="F68" s="13">
        <v>224.44758999999999</v>
      </c>
      <c r="G68" s="14">
        <f t="shared" si="2"/>
        <v>6.0000000000000001E-3</v>
      </c>
      <c r="H68" s="15" t="s">
        <v>357</v>
      </c>
    </row>
    <row r="69" spans="1:9" ht="12.75" customHeight="1" x14ac:dyDescent="0.2">
      <c r="A69">
        <f>+MAX($A$8:A68)+1</f>
        <v>61</v>
      </c>
      <c r="B69" t="s">
        <v>310</v>
      </c>
      <c r="C69" t="s">
        <v>71</v>
      </c>
      <c r="D69" t="s">
        <v>27</v>
      </c>
      <c r="E69" s="28">
        <v>838614</v>
      </c>
      <c r="F69" s="13">
        <v>186.17230800000002</v>
      </c>
      <c r="G69" s="14">
        <f t="shared" ref="G69:G70" si="3">+ROUND(F69/VLOOKUP("Grand Total",$B$4:$F$276,5,0),4)</f>
        <v>5.0000000000000001E-3</v>
      </c>
      <c r="H69" s="15" t="s">
        <v>357</v>
      </c>
    </row>
    <row r="70" spans="1:9" ht="12.75" customHeight="1" x14ac:dyDescent="0.2">
      <c r="A70">
        <f>+MAX($A$8:A69)+1</f>
        <v>62</v>
      </c>
      <c r="B70" t="s">
        <v>214</v>
      </c>
      <c r="C70" t="s">
        <v>74</v>
      </c>
      <c r="D70" t="s">
        <v>35</v>
      </c>
      <c r="E70" s="28">
        <v>2533170</v>
      </c>
      <c r="F70" s="13">
        <v>130.45825500000001</v>
      </c>
      <c r="G70" s="14">
        <f t="shared" si="3"/>
        <v>3.5000000000000001E-3</v>
      </c>
      <c r="H70" s="15" t="s">
        <v>357</v>
      </c>
    </row>
    <row r="71" spans="1:9" ht="12.75" customHeight="1" x14ac:dyDescent="0.2">
      <c r="A71">
        <f>+MAX($A$8:A70)+1</f>
        <v>63</v>
      </c>
      <c r="B71" t="s">
        <v>541</v>
      </c>
      <c r="C71" t="s">
        <v>83</v>
      </c>
      <c r="D71" t="s">
        <v>101</v>
      </c>
      <c r="E71" s="28">
        <v>374002</v>
      </c>
      <c r="F71" s="13">
        <v>0</v>
      </c>
      <c r="G71" s="108" t="s">
        <v>516</v>
      </c>
      <c r="H71" s="15" t="s">
        <v>357</v>
      </c>
    </row>
    <row r="72" spans="1:9" ht="12.75" customHeight="1" x14ac:dyDescent="0.2">
      <c r="A72">
        <f>+MAX($A$8:A71)+1</f>
        <v>64</v>
      </c>
      <c r="B72" t="s">
        <v>440</v>
      </c>
      <c r="C72" s="121" t="s">
        <v>616</v>
      </c>
      <c r="D72" t="s">
        <v>37</v>
      </c>
      <c r="E72" s="28">
        <v>2250</v>
      </c>
      <c r="F72" s="13">
        <v>0</v>
      </c>
      <c r="G72" s="108" t="s">
        <v>516</v>
      </c>
      <c r="H72" s="15" t="s">
        <v>357</v>
      </c>
    </row>
    <row r="73" spans="1:9" ht="12.75" customHeight="1" x14ac:dyDescent="0.2">
      <c r="B73" s="18" t="s">
        <v>84</v>
      </c>
      <c r="C73" s="18"/>
      <c r="D73" s="18"/>
      <c r="E73" s="29"/>
      <c r="F73" s="19">
        <f>SUM(F9:F72)</f>
        <v>35722.506945000016</v>
      </c>
      <c r="G73" s="20">
        <f>SUM(G9:G72)</f>
        <v>0.9516</v>
      </c>
      <c r="H73" s="21"/>
      <c r="I73" s="49"/>
    </row>
    <row r="74" spans="1:9" ht="12.75" customHeight="1" x14ac:dyDescent="0.2">
      <c r="F74" s="13"/>
      <c r="G74" s="14"/>
      <c r="H74" s="15"/>
    </row>
    <row r="75" spans="1:9" ht="12.75" customHeight="1" x14ac:dyDescent="0.2">
      <c r="A75" s="95" t="s">
        <v>356</v>
      </c>
      <c r="B75" s="16" t="s">
        <v>92</v>
      </c>
      <c r="C75" s="16"/>
      <c r="F75" s="13">
        <v>1794.3276263999999</v>
      </c>
      <c r="G75" s="14">
        <f>+ROUND(F75/VLOOKUP("Grand Total",$B$4:$F$276,5,0),4)</f>
        <v>4.7800000000000002E-2</v>
      </c>
      <c r="H75" s="15">
        <v>43193</v>
      </c>
    </row>
    <row r="76" spans="1:9" ht="12.75" customHeight="1" x14ac:dyDescent="0.2">
      <c r="B76" s="18" t="s">
        <v>84</v>
      </c>
      <c r="C76" s="18"/>
      <c r="D76" s="18"/>
      <c r="E76" s="29"/>
      <c r="F76" s="19">
        <f>SUM(F75)</f>
        <v>1794.3276263999999</v>
      </c>
      <c r="G76" s="20">
        <f>SUM(G75)</f>
        <v>4.7800000000000002E-2</v>
      </c>
      <c r="H76" s="21"/>
      <c r="I76" s="35"/>
    </row>
    <row r="77" spans="1:9" ht="12.75" customHeight="1" x14ac:dyDescent="0.2">
      <c r="F77" s="13"/>
      <c r="G77" s="14"/>
      <c r="H77" s="15"/>
    </row>
    <row r="78" spans="1:9" ht="12.75" customHeight="1" x14ac:dyDescent="0.2">
      <c r="B78" s="16" t="s">
        <v>93</v>
      </c>
      <c r="C78" s="16"/>
      <c r="F78" s="13"/>
      <c r="G78" s="14"/>
      <c r="H78" s="15"/>
    </row>
    <row r="79" spans="1:9" ht="12.75" customHeight="1" x14ac:dyDescent="0.2">
      <c r="B79" s="16" t="s">
        <v>94</v>
      </c>
      <c r="C79" s="16"/>
      <c r="F79" s="13">
        <v>25.971125299998675</v>
      </c>
      <c r="G79" s="14">
        <f>+ROUND(F79/VLOOKUP("Grand Total",$B$4:$F$276,5,0),4)-0.01%</f>
        <v>5.9999999999999995E-4</v>
      </c>
      <c r="H79" s="15"/>
    </row>
    <row r="80" spans="1:9" ht="12.75" customHeight="1" x14ac:dyDescent="0.2">
      <c r="B80" s="18" t="s">
        <v>84</v>
      </c>
      <c r="C80" s="18"/>
      <c r="D80" s="18"/>
      <c r="E80" s="29"/>
      <c r="F80" s="19">
        <f>SUM(F79)</f>
        <v>25.971125299998675</v>
      </c>
      <c r="G80" s="124">
        <f>SUM(G79)</f>
        <v>5.9999999999999995E-4</v>
      </c>
      <c r="H80" s="21"/>
      <c r="I80" s="35"/>
    </row>
    <row r="81" spans="2:9" ht="12.75" customHeight="1" x14ac:dyDescent="0.2">
      <c r="B81" s="22" t="s">
        <v>95</v>
      </c>
      <c r="C81" s="22"/>
      <c r="D81" s="22"/>
      <c r="E81" s="30"/>
      <c r="F81" s="23">
        <f>+SUMIF($B$5:B80,"Total",$F$5:F80)</f>
        <v>37542.805696700016</v>
      </c>
      <c r="G81" s="24">
        <f>+SUMIF($B$5:B80,"Total",$G$5:G80)</f>
        <v>1</v>
      </c>
      <c r="H81" s="25"/>
      <c r="I81" s="35"/>
    </row>
    <row r="82" spans="2:9" ht="12.75" customHeight="1" x14ac:dyDescent="0.2"/>
    <row r="83" spans="2:9" ht="12.75" customHeight="1" x14ac:dyDescent="0.2">
      <c r="B83" s="16" t="s">
        <v>183</v>
      </c>
      <c r="C83" s="16"/>
    </row>
    <row r="84" spans="2:9" ht="12.75" customHeight="1" x14ac:dyDescent="0.2">
      <c r="B84" s="16" t="s">
        <v>185</v>
      </c>
      <c r="C84" s="16"/>
      <c r="F84" s="43"/>
      <c r="G84" s="43"/>
    </row>
    <row r="85" spans="2:9" ht="12.75" customHeight="1" x14ac:dyDescent="0.2">
      <c r="B85" s="16" t="s">
        <v>182</v>
      </c>
      <c r="C85" s="16"/>
    </row>
    <row r="86" spans="2:9" ht="12.75" customHeight="1" x14ac:dyDescent="0.2">
      <c r="B86" s="53" t="s">
        <v>300</v>
      </c>
    </row>
    <row r="87" spans="2:9" ht="12.75" customHeight="1" x14ac:dyDescent="0.2"/>
    <row r="88" spans="2:9" ht="12.75" customHeight="1" x14ac:dyDescent="0.2"/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sheetProtection password="EDB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365</v>
      </c>
      <c r="B1" s="126" t="s">
        <v>161</v>
      </c>
      <c r="C1" s="127"/>
      <c r="D1" s="127"/>
      <c r="E1" s="127"/>
      <c r="F1" s="127"/>
      <c r="G1" s="127"/>
      <c r="H1" s="128"/>
    </row>
    <row r="2" spans="1:13" x14ac:dyDescent="0.2">
      <c r="A2" s="96" t="s">
        <v>1</v>
      </c>
      <c r="B2" s="3" t="s">
        <v>662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179</v>
      </c>
      <c r="F4" s="11" t="s">
        <v>5</v>
      </c>
      <c r="G4" s="12" t="s">
        <v>6</v>
      </c>
      <c r="H4" s="32" t="s">
        <v>7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180</v>
      </c>
      <c r="F7" s="13"/>
      <c r="G7" s="14"/>
      <c r="H7" s="15"/>
    </row>
    <row r="8" spans="1:13" ht="12.75" customHeight="1" x14ac:dyDescent="0.2">
      <c r="B8" s="31" t="s">
        <v>181</v>
      </c>
      <c r="C8" s="16"/>
      <c r="F8" s="13"/>
      <c r="G8" s="14"/>
      <c r="H8" s="15"/>
      <c r="J8" s="17" t="s">
        <v>632</v>
      </c>
      <c r="K8" s="37" t="s">
        <v>12</v>
      </c>
    </row>
    <row r="9" spans="1:13" ht="12.75" customHeight="1" x14ac:dyDescent="0.2">
      <c r="A9">
        <f>+MAX($A$8:A8)+1</f>
        <v>1</v>
      </c>
      <c r="B9" t="s">
        <v>162</v>
      </c>
      <c r="C9" s="121" t="s">
        <v>616</v>
      </c>
      <c r="D9" t="s">
        <v>311</v>
      </c>
      <c r="E9" s="28">
        <v>39643.476999999999</v>
      </c>
      <c r="F9" s="13">
        <v>1692.0604274000002</v>
      </c>
      <c r="G9" s="14">
        <f>+ROUND(F9/VLOOKUP("Grand Total",$B$4:$F$288,5,0),4)</f>
        <v>0.97799999999999998</v>
      </c>
      <c r="H9" s="15" t="s">
        <v>357</v>
      </c>
      <c r="J9" s="14" t="s">
        <v>311</v>
      </c>
      <c r="K9" s="48">
        <f>SUMIFS($G$5:$G$321,$D$5:$D$321,J9)</f>
        <v>0.97799999999999998</v>
      </c>
    </row>
    <row r="10" spans="1:13" ht="12.75" customHeight="1" x14ac:dyDescent="0.2">
      <c r="B10" s="18" t="s">
        <v>84</v>
      </c>
      <c r="C10" s="18"/>
      <c r="D10" s="18"/>
      <c r="E10" s="29"/>
      <c r="F10" s="19">
        <f>SUM(F9)</f>
        <v>1692.0604274000002</v>
      </c>
      <c r="G10" s="20">
        <f>SUM(G9)</f>
        <v>0.97799999999999998</v>
      </c>
      <c r="H10" s="21"/>
      <c r="I10" s="35"/>
      <c r="J10" s="14" t="s">
        <v>63</v>
      </c>
      <c r="K10" s="48">
        <f>+SUMIFS($G$5:$G$997,$B$5:$B$997,"CBLO / Reverse Repo Investments")+SUMIFS($G$5:$G$997,$B$5:$B$997,"Net Receivable/Payable")</f>
        <v>2.2000000000000002E-2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356</v>
      </c>
      <c r="B12" s="16" t="s">
        <v>92</v>
      </c>
      <c r="C12" s="16"/>
      <c r="F12" s="13">
        <v>76.511382999999995</v>
      </c>
      <c r="G12" s="14">
        <f>+ROUND(F12/VLOOKUP("Grand Total",$B$4:$F$288,5,0),4)</f>
        <v>4.4200000000000003E-2</v>
      </c>
      <c r="H12" s="15">
        <v>43193</v>
      </c>
      <c r="J12" s="14"/>
      <c r="L12" s="54"/>
      <c r="M12" s="62"/>
    </row>
    <row r="13" spans="1:13" ht="12.75" customHeight="1" x14ac:dyDescent="0.2">
      <c r="B13" s="18" t="s">
        <v>84</v>
      </c>
      <c r="C13" s="18"/>
      <c r="D13" s="18"/>
      <c r="E13" s="29"/>
      <c r="F13" s="19">
        <f>SUM(F12)</f>
        <v>76.511382999999995</v>
      </c>
      <c r="G13" s="20">
        <f>SUM(G12)</f>
        <v>4.4200000000000003E-2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93</v>
      </c>
      <c r="C15" s="16"/>
      <c r="F15" s="13"/>
      <c r="G15" s="14"/>
      <c r="H15" s="15"/>
    </row>
    <row r="16" spans="1:13" ht="12.75" customHeight="1" x14ac:dyDescent="0.2">
      <c r="B16" s="16" t="s">
        <v>94</v>
      </c>
      <c r="C16" s="16"/>
      <c r="F16" s="43">
        <v>-38.488194000000476</v>
      </c>
      <c r="G16" s="122">
        <f>+ROUND(F16/VLOOKUP("Grand Total",$B$4:$F$288,5,0),4)</f>
        <v>-2.2200000000000001E-2</v>
      </c>
      <c r="H16" s="15"/>
    </row>
    <row r="17" spans="2:9" ht="12.75" customHeight="1" x14ac:dyDescent="0.2">
      <c r="B17" s="18" t="s">
        <v>84</v>
      </c>
      <c r="C17" s="18"/>
      <c r="D17" s="18"/>
      <c r="E17" s="29"/>
      <c r="F17" s="50">
        <f>SUM(F16)</f>
        <v>-38.488194000000476</v>
      </c>
      <c r="G17" s="123">
        <f>SUM(G16)</f>
        <v>-2.2200000000000001E-2</v>
      </c>
      <c r="H17" s="21"/>
      <c r="I17" s="35"/>
    </row>
    <row r="18" spans="2:9" ht="12.75" customHeight="1" x14ac:dyDescent="0.2">
      <c r="B18" s="22" t="s">
        <v>95</v>
      </c>
      <c r="C18" s="22"/>
      <c r="D18" s="22"/>
      <c r="E18" s="30"/>
      <c r="F18" s="23">
        <f>+SUMIF($B$5:B17,"Total",$F$5:F17)</f>
        <v>1730.0836163999998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EDB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2018-04-10T09:51:49Z</dcterms:modified>
</cp:coreProperties>
</file>