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xl/charts/chart1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omments5.xml" ContentType="application/vnd.openxmlformats-officedocument.spreadsheetml.comments+xml"/>
  <Override PartName="/xl/charts/chart1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Z:\Private\jlmerino\simulador\"/>
    </mc:Choice>
  </mc:AlternateContent>
  <xr:revisionPtr revIDLastSave="0" documentId="13_ncr:1_{D3C665CC-751B-443D-BAB9-E494B08CF8F8}" xr6:coauthVersionLast="44" xr6:coauthVersionMax="44" xr10:uidLastSave="{00000000-0000-0000-0000-000000000000}"/>
  <bookViews>
    <workbookView xWindow="-120" yWindow="-120" windowWidth="20730" windowHeight="11160" tabRatio="785" firstSheet="4" activeTab="6" xr2:uid="{00000000-000D-0000-FFFF-FFFF00000000}"/>
  </bookViews>
  <sheets>
    <sheet name="Absorción" sheetId="6" state="hidden" r:id="rId1"/>
    <sheet name="Trane" sheetId="5" state="hidden" r:id="rId2"/>
    <sheet name="Trane II" sheetId="14" state="hidden" r:id="rId3"/>
    <sheet name="Auxiliares" sheetId="11" state="hidden" r:id="rId4"/>
    <sheet name="Balance" sheetId="30" r:id="rId5"/>
    <sheet name="Parametrización" sheetId="4" r:id="rId6"/>
    <sheet name="Parámetros Planta" sheetId="1" r:id="rId7"/>
    <sheet name="PPT" sheetId="25" state="hidden" r:id="rId8"/>
    <sheet name="Fórmulas" sheetId="18" state="hidden" r:id="rId9"/>
    <sheet name="POT" sheetId="29" state="hidden" r:id="rId10"/>
    <sheet name="Presentación ESCO" sheetId="23" state="hidden" r:id="rId11"/>
    <sheet name="Est Sensibilidad" sheetId="24" state="hidden" r:id="rId12"/>
    <sheet name="Resultados BP" sheetId="22" state="hidden" r:id="rId13"/>
    <sheet name="TF GNL" sheetId="20" state="hidden" r:id="rId14"/>
    <sheet name="TF POT" sheetId="28" state="hidden" r:id="rId15"/>
  </sheets>
  <externalReferences>
    <externalReference r:id="rId16"/>
  </externalReferences>
  <definedNames>
    <definedName name="__123Graph_AUNO" localSheetId="11" hidden="1">[1]ARIACOM!#REF!</definedName>
    <definedName name="__123Graph_AUNO" localSheetId="10" hidden="1">[1]ARIACOM!#REF!</definedName>
    <definedName name="__123Graph_AUNO" localSheetId="12" hidden="1">[1]ARIACOM!#REF!</definedName>
    <definedName name="__123Graph_AUNO" localSheetId="13" hidden="1">[1]ARIACOM!#REF!</definedName>
    <definedName name="__123Graph_AUNO" localSheetId="14" hidden="1">[1]ARIACOM!#REF!</definedName>
    <definedName name="__123Graph_AUNO" hidden="1">[1]ARIACOM!#REF!</definedName>
    <definedName name="__123Graph_BUNO" hidden="1">[1]ARIACOM!$E$8:$E$16</definedName>
    <definedName name="__123Graph_XUNO" localSheetId="11" hidden="1">[1]ARIACOM!#REF!</definedName>
    <definedName name="__123Graph_XUNO" localSheetId="10" hidden="1">[1]ARIACOM!#REF!</definedName>
    <definedName name="__123Graph_XUNO" localSheetId="12" hidden="1">[1]ARIACOM!#REF!</definedName>
    <definedName name="__123Graph_XUNO" localSheetId="13" hidden="1">[1]ARIACOM!#REF!</definedName>
    <definedName name="__123Graph_XUNO" localSheetId="14" hidden="1">[1]ARIACOM!#REF!</definedName>
    <definedName name="__123Graph_XUNO" hidden="1">[1]ARIACOM!#REF!</definedName>
    <definedName name="_2" localSheetId="0">Absorción!$A$1:$D$755</definedName>
    <definedName name="_4" localSheetId="3">Auxiliares!$A$2:$W$507</definedName>
    <definedName name="_Fill" localSheetId="11" hidden="1">#REF!</definedName>
    <definedName name="_Fill" localSheetId="10" hidden="1">#REF!</definedName>
    <definedName name="_Fill" localSheetId="12" hidden="1">#REF!</definedName>
    <definedName name="_Fill" localSheetId="13" hidden="1">#REF!</definedName>
    <definedName name="_Fill" localSheetId="14" hidden="1">#REF!</definedName>
    <definedName name="_Fill" hidden="1">#REF!</definedName>
    <definedName name="_Table1_In1" localSheetId="11" hidden="1">#REF!</definedName>
    <definedName name="_Table1_In1" localSheetId="12" hidden="1">#REF!</definedName>
    <definedName name="_Table1_In1" localSheetId="13" hidden="1">#REF!</definedName>
    <definedName name="_Table1_In1" localSheetId="14" hidden="1">#REF!</definedName>
    <definedName name="_Table1_In1" hidden="1">#REF!</definedName>
    <definedName name="_Table1_Out" localSheetId="11" hidden="1">#REF!</definedName>
    <definedName name="_Table1_Out" localSheetId="12" hidden="1">#REF!</definedName>
    <definedName name="_Table1_Out" localSheetId="13" hidden="1">#REF!</definedName>
    <definedName name="_Table1_Out" localSheetId="14" hidden="1">#REF!</definedName>
    <definedName name="_Table1_Out" hidden="1">#REF!</definedName>
    <definedName name="Aumento_ACS">#REF!</definedName>
    <definedName name="Aumento_Eléctrica_Total">#REF!</definedName>
    <definedName name="Aumento_Frio">#REF!</definedName>
    <definedName name="Aumento_Lavanderia">#REF!</definedName>
    <definedName name="Aumento_piscinas">#REF!</definedName>
    <definedName name="Autoconsumo_cogeneración">'Parámetros Planta'!$D$7</definedName>
    <definedName name="Carga_max_motor">'Parámetros Planta'!$D$6</definedName>
    <definedName name="Carga_min_centrif">'Parámetros Planta'!$H$27</definedName>
    <definedName name="Carga_min_motor_DO">'Parámetros Planta'!$D$20</definedName>
    <definedName name="Carga_min_motor_GN">'Parámetros Planta'!$D$5</definedName>
    <definedName name="Caudal_GE_x0">Parametrización!$F$56</definedName>
    <definedName name="Caudal_GE_x1">Parametrización!$E$56</definedName>
    <definedName name="Caudal_GE_x2">Parametrización!$D$56</definedName>
    <definedName name="Caudal_GE_x3">Parametrización!$C$56</definedName>
    <definedName name="Cons_DO_X0">Parametrización!$Y$46</definedName>
    <definedName name="Cons_DO_X1">Parametrización!$X$46</definedName>
    <definedName name="Cons_DO_X2">Parametrización!$W$46</definedName>
    <definedName name="Cons_DO_X3">Parametrización!$V$46</definedName>
    <definedName name="Cons_gas_x0">Parametrización!$F$23</definedName>
    <definedName name="Cons_gas_x1">Parametrización!$E$23</definedName>
    <definedName name="Cons_gas_x2">Parametrización!$D$23</definedName>
    <definedName name="Cons_gas_x3">Parametrización!$C$23</definedName>
    <definedName name="Consumo_aceite">'Parámetros Planta'!$D$14</definedName>
    <definedName name="COP" localSheetId="2">'Trane II'!$AA$22:$AE$32</definedName>
    <definedName name="COP">Trane!$AA$22:$AE$32</definedName>
    <definedName name="COP_ele_Absorción">'Parámetros Planta'!$H$20</definedName>
    <definedName name="COP_ele_bomba_tornillo">'Parámetros Planta'!$H$43</definedName>
    <definedName name="COP_ele_centrif">'Parámetros Planta'!$H$28</definedName>
    <definedName name="COPe_Absorcion_GE_x0">Parametrización!$N$35</definedName>
    <definedName name="COPe_Absorcion_GE_x1">Parametrización!$M$35</definedName>
    <definedName name="COPe_Absorcion_GE_x2">Parametrización!$L$35</definedName>
    <definedName name="COPe_Absorcion_GE_x3">Parametrización!$K$35</definedName>
    <definedName name="COPe_Absorcion_GE_x4">Parametrización!$J$35</definedName>
    <definedName name="COPe_absorcion_HT_x0">Parametrización!$N$46</definedName>
    <definedName name="COPe_absorcion_HT_x1">Parametrización!$M$46</definedName>
    <definedName name="COPe_absorcion_HT_x2">Parametrización!$L$46</definedName>
    <definedName name="COPe_absorcion_HT_x3">Parametrización!$K$46</definedName>
    <definedName name="COPe_absorcion_HT_x4">Parametrización!$J$46</definedName>
    <definedName name="COPe_Centrif_x0">Parametrización!$N$57</definedName>
    <definedName name="COPe_Centrif_x1">Parametrización!$M$57</definedName>
    <definedName name="COPe_Centrif_x2">Parametrización!$L$57</definedName>
    <definedName name="COPe_Centrif_x3">Parametrización!$K$57</definedName>
    <definedName name="COPe_Centrif_x4">Parametrización!$J$57</definedName>
    <definedName name="Densidad_DO">'Parámetros Planta'!$H$6</definedName>
    <definedName name="Densidad_GLP">'Parámetros Planta'!$H$12</definedName>
    <definedName name="Disponibilidad_CHP">'Parámetros Planta'!$Q$4</definedName>
    <definedName name="hab_BPJamaica">#REF!</definedName>
    <definedName name="hab_H10_FASE1">#REF!</definedName>
    <definedName name="hab_H10_FASE1y2">#REF!</definedName>
    <definedName name="Incr_Dem_ACS">#REF!</definedName>
    <definedName name="Incr_Dem_frio">#REF!</definedName>
    <definedName name="Incr_IPC" localSheetId="12">'Parámetros Planta'!#REF!</definedName>
    <definedName name="Incr_IPC" localSheetId="13">'Parámetros Planta'!#REF!</definedName>
    <definedName name="Incremento_caudal_GE">'Parámetros Planta'!$H$19</definedName>
    <definedName name="kW" localSheetId="2">'Trane II'!$AS$21:$AW$31</definedName>
    <definedName name="kW">Trane!$AS$21:$AW$31</definedName>
    <definedName name="Margen_min_entrada_motor">'Parámetros Planta'!$D$26</definedName>
    <definedName name="num_bombas_calor">'Parámetros Planta'!$L$19</definedName>
    <definedName name="num_calderas_ACS">'Parámetros Planta'!$L$12</definedName>
    <definedName name="num_calderas_THO">'Parámetros Planta'!$L$24</definedName>
    <definedName name="num_motores_GAS">'Parámetros Planta'!$D$4</definedName>
    <definedName name="PCI_DO_kWh_kg">'Parámetros Planta'!$H$5</definedName>
    <definedName name="PCI_DO_kWh_L">'Parámetros Planta'!$H$7</definedName>
    <definedName name="PCI_GLP_kWh_kg">'Parámetros Planta'!$H$11</definedName>
    <definedName name="PCI_GLP_kWh_L">'Parámetros Planta'!$H$13</definedName>
    <definedName name="PCI_HFO">'Parámetros Planta'!$H$9</definedName>
    <definedName name="PCI_PCS">'Parámetros Planta'!$H$4</definedName>
    <definedName name="PCS_DO">'Parámetros Planta'!$H$8</definedName>
    <definedName name="Pin_max_Chiller_abs_GE">Parametrización!$Q$32</definedName>
    <definedName name="Pin_max_chiller_abs_HT">Parametrización!$Q$43</definedName>
    <definedName name="Pot_ele_DO_X0">Parametrización!$Y$44</definedName>
    <definedName name="Pot_ele_DO_X1">Parametrización!$X$44</definedName>
    <definedName name="Pot_ele_DO_X2">Parametrización!$W$44</definedName>
    <definedName name="Pot_ele_DO_X3">Parametrización!$V$44</definedName>
    <definedName name="Pot_ele_GN_x0">Parametrización!$F$22</definedName>
    <definedName name="Pot_ele_GN_x1">Parametrización!$E$22</definedName>
    <definedName name="Pot_ele_GN_x2">Parametrización!$D$22</definedName>
    <definedName name="Pot_ele_GN_x3">Parametrización!$C$22</definedName>
    <definedName name="Pot_frio_absorción">'Parámetros Planta'!$H$19</definedName>
    <definedName name="Pot_frio_centrif_I">'Parámetros Planta'!$H$24</definedName>
    <definedName name="Pot_frio_centrif_II">'Parámetros Planta'!$H$25</definedName>
    <definedName name="Pot_frio_centrif_III">'Parámetros Planta'!$H$26</definedName>
    <definedName name="Pot_GE_x0">Parametrización!$F$46</definedName>
    <definedName name="Pot_GE_x1">Parametrización!$E$46</definedName>
    <definedName name="Pot_GE_x2">Parametrización!$D$46</definedName>
    <definedName name="Pot_GE_x3">Parametrización!$C$46</definedName>
    <definedName name="Pot_HT_x0">Parametrización!$F$47</definedName>
    <definedName name="Pot_HT_x1">Parametrización!$E$47</definedName>
    <definedName name="Pot_HT_x2">Parametrización!$D$47</definedName>
    <definedName name="Pot_HT_x3">Parametrización!$C$47</definedName>
    <definedName name="Pot_LT_x0">Parametrización!$F$48</definedName>
    <definedName name="Pot_LT_x1">Parametrización!$E$48</definedName>
    <definedName name="Pot_LT_x2">Parametrización!$D$48</definedName>
    <definedName name="Pot_LT_x3">Parametrización!$C$48</definedName>
    <definedName name="pot_max_bombas_cal">'Parámetros Planta'!$H$39</definedName>
    <definedName name="pot_max_caldera_ACS">'Parámetros Planta'!$L$13</definedName>
    <definedName name="pot_max_caldera_THO">'Parámetros Planta'!$L$25</definedName>
    <definedName name="pot_pico_FV">#REF!</definedName>
    <definedName name="Potencia_bruta_motor_612">'Parámetros Planta'!$D$30</definedName>
    <definedName name="Potencia_bruta_motor_DO">'Parámetros Planta'!$D$23</definedName>
    <definedName name="Potencia_bruta_motor_GN">'Parámetros Planta'!$D$8</definedName>
    <definedName name="Potencia_neta_motor_612">'Parámetros Planta'!$D$31</definedName>
    <definedName name="Potencia_neta_motor_DO">'Parámetros Planta'!$D$24</definedName>
    <definedName name="Potencia_Neta_Motor_GN">'Parámetros Planta'!$D$9</definedName>
    <definedName name="Precio_Aceite">#REF!</definedName>
    <definedName name="rend_cald_THO">'Parámetros Planta'!$L$26</definedName>
    <definedName name="rend_caldera_ACS">'Parámetros Planta'!$L$14</definedName>
    <definedName name="rend_CAT">'Parámetros Planta'!$D$21</definedName>
    <definedName name="rend_interc_HT_ACS">'Parámetros Planta'!$L$19</definedName>
    <definedName name="solver_adj" localSheetId="11" hidden="1">'Est Sensibilidad'!#REF!</definedName>
    <definedName name="solver_adj" localSheetId="12" hidden="1">'Resultados BP'!$H$37:$H$38</definedName>
    <definedName name="solver_adj" localSheetId="13" hidden="1">'TF GNL'!$E$6</definedName>
    <definedName name="solver_adj" localSheetId="14" hidden="1">'TF POT'!$E$6</definedName>
    <definedName name="solver_cvg" localSheetId="11" hidden="1">0.0001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drv" localSheetId="11" hidden="1">2</definedName>
    <definedName name="solver_drv" localSheetId="12" hidden="1">2</definedName>
    <definedName name="solver_drv" localSheetId="13" hidden="1">1</definedName>
    <definedName name="solver_drv" localSheetId="14" hidden="1">1</definedName>
    <definedName name="solver_eng" localSheetId="11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st" localSheetId="11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itr" localSheetId="11" hidden="1">2147483647</definedName>
    <definedName name="solver_itr" localSheetId="12" hidden="1">2147483647</definedName>
    <definedName name="solver_itr" localSheetId="13" hidden="1">2147483647</definedName>
    <definedName name="solver_itr" localSheetId="14" hidden="1">2147483647</definedName>
    <definedName name="solver_lhs1" localSheetId="11" hidden="1">'Est Sensibilidad'!#REF!</definedName>
    <definedName name="solver_lhs1" localSheetId="12" hidden="1">'Resultados BP'!$I$26</definedName>
    <definedName name="solver_lhs1" localSheetId="13" hidden="1">'TF GNL'!$C$9</definedName>
    <definedName name="solver_lhs1" localSheetId="14" hidden="1">'TF POT'!$C$9</definedName>
    <definedName name="solver_mip" localSheetId="11" hidden="1">2147483647</definedName>
    <definedName name="solver_mip" localSheetId="12" hidden="1">2147483647</definedName>
    <definedName name="solver_mip" localSheetId="13" hidden="1">2147483647</definedName>
    <definedName name="solver_mip" localSheetId="14" hidden="1">2147483647</definedName>
    <definedName name="solver_mni" localSheetId="11" hidden="1">30</definedName>
    <definedName name="solver_mni" localSheetId="12" hidden="1">30</definedName>
    <definedName name="solver_mni" localSheetId="13" hidden="1">30</definedName>
    <definedName name="solver_mni" localSheetId="14" hidden="1">30</definedName>
    <definedName name="solver_mrt" localSheetId="11" hidden="1">0.075</definedName>
    <definedName name="solver_mrt" localSheetId="12" hidden="1">0.075</definedName>
    <definedName name="solver_mrt" localSheetId="13" hidden="1">0.075</definedName>
    <definedName name="solver_mrt" localSheetId="14" hidden="1">0.075</definedName>
    <definedName name="solver_msl" localSheetId="11" hidden="1">2</definedName>
    <definedName name="solver_msl" localSheetId="12" hidden="1">2</definedName>
    <definedName name="solver_msl" localSheetId="13" hidden="1">2</definedName>
    <definedName name="solver_msl" localSheetId="14" hidden="1">2</definedName>
    <definedName name="solver_neg" localSheetId="11" hidden="1">1</definedName>
    <definedName name="solver_neg" localSheetId="12" hidden="1">1</definedName>
    <definedName name="solver_neg" localSheetId="13" hidden="1">1</definedName>
    <definedName name="solver_neg" localSheetId="14" hidden="1">1</definedName>
    <definedName name="solver_nod" localSheetId="11" hidden="1">2147483647</definedName>
    <definedName name="solver_nod" localSheetId="12" hidden="1">2147483647</definedName>
    <definedName name="solver_nod" localSheetId="13" hidden="1">2147483647</definedName>
    <definedName name="solver_nod" localSheetId="14" hidden="1">2147483647</definedName>
    <definedName name="solver_num" localSheetId="11" hidden="1">0</definedName>
    <definedName name="solver_num" localSheetId="12" hidden="1">0</definedName>
    <definedName name="solver_num" localSheetId="13" hidden="1">1</definedName>
    <definedName name="solver_num" localSheetId="14" hidden="1">1</definedName>
    <definedName name="solver_nwt" localSheetId="11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opt" localSheetId="11" hidden="1">'Est Sensibilidad'!#REF!</definedName>
    <definedName name="solver_opt" localSheetId="12" hidden="1">'Resultados BP'!$I$26</definedName>
    <definedName name="solver_opt" localSheetId="13" hidden="1">'TF GNL'!$C$9</definedName>
    <definedName name="solver_opt" localSheetId="14" hidden="1">'TF POT'!$C$9</definedName>
    <definedName name="solver_pre" localSheetId="11" hidden="1">0.000001</definedName>
    <definedName name="solver_pre" localSheetId="12" hidden="1">0.000001</definedName>
    <definedName name="solver_pre" localSheetId="13" hidden="1">0.000001</definedName>
    <definedName name="solver_pre" localSheetId="14" hidden="1">0.000001</definedName>
    <definedName name="solver_rbv" localSheetId="11" hidden="1">2</definedName>
    <definedName name="solver_rbv" localSheetId="12" hidden="1">2</definedName>
    <definedName name="solver_rbv" localSheetId="13" hidden="1">1</definedName>
    <definedName name="solver_rbv" localSheetId="14" hidden="1">1</definedName>
    <definedName name="solver_rel1" localSheetId="11" hidden="1">2</definedName>
    <definedName name="solver_rel1" localSheetId="12" hidden="1">2</definedName>
    <definedName name="solver_rel1" localSheetId="13" hidden="1">2</definedName>
    <definedName name="solver_rel1" localSheetId="14" hidden="1">2</definedName>
    <definedName name="solver_rhs1" localSheetId="11" hidden="1">0</definedName>
    <definedName name="solver_rhs1" localSheetId="12" hidden="1">0</definedName>
    <definedName name="solver_rhs1" localSheetId="13" hidden="1">0</definedName>
    <definedName name="solver_rhs1" localSheetId="14" hidden="1">0</definedName>
    <definedName name="solver_rlx" localSheetId="11" hidden="1">2</definedName>
    <definedName name="solver_rlx" localSheetId="12" hidden="1">2</definedName>
    <definedName name="solver_rlx" localSheetId="13" hidden="1">2</definedName>
    <definedName name="solver_rlx" localSheetId="14" hidden="1">2</definedName>
    <definedName name="solver_rsd" localSheetId="11" hidden="1">0</definedName>
    <definedName name="solver_rsd" localSheetId="12" hidden="1">0</definedName>
    <definedName name="solver_rsd" localSheetId="13" hidden="1">0</definedName>
    <definedName name="solver_rsd" localSheetId="14" hidden="1">0</definedName>
    <definedName name="solver_scl" localSheetId="11" hidden="1">2</definedName>
    <definedName name="solver_scl" localSheetId="12" hidden="1">2</definedName>
    <definedName name="solver_scl" localSheetId="13" hidden="1">1</definedName>
    <definedName name="solver_scl" localSheetId="14" hidden="1">1</definedName>
    <definedName name="solver_sho" localSheetId="11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sz" localSheetId="11" hidden="1">100</definedName>
    <definedName name="solver_ssz" localSheetId="12" hidden="1">100</definedName>
    <definedName name="solver_ssz" localSheetId="13" hidden="1">100</definedName>
    <definedName name="solver_ssz" localSheetId="14" hidden="1">100</definedName>
    <definedName name="solver_tim" localSheetId="11" hidden="1">2147483647</definedName>
    <definedName name="solver_tim" localSheetId="12" hidden="1">2147483647</definedName>
    <definedName name="solver_tim" localSheetId="13" hidden="1">2147483647</definedName>
    <definedName name="solver_tim" localSheetId="14" hidden="1">2147483647</definedName>
    <definedName name="solver_tol" localSheetId="11" hidden="1">0.01</definedName>
    <definedName name="solver_tol" localSheetId="12" hidden="1">0.01</definedName>
    <definedName name="solver_tol" localSheetId="13" hidden="1">0.01</definedName>
    <definedName name="solver_tol" localSheetId="14" hidden="1">1</definedName>
    <definedName name="solver_typ" localSheetId="11" hidden="1">3</definedName>
    <definedName name="solver_typ" localSheetId="12" hidden="1">3</definedName>
    <definedName name="solver_typ" localSheetId="13" hidden="1">1</definedName>
    <definedName name="solver_typ" localSheetId="14" hidden="1">3</definedName>
    <definedName name="solver_val" localSheetId="11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er" localSheetId="11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Temp_GE_x0">Parametrización!$F$57</definedName>
    <definedName name="Temp_GE_x1">Parametrización!$E$57</definedName>
    <definedName name="Temp_GE_x2">Parametrización!$D$57</definedName>
    <definedName name="Temp_GE_x3">Parametrización!$C$57</definedName>
    <definedName name="Termino_Fijo_I">#REF!</definedName>
    <definedName name="Termino_Fijo_II">#REF!</definedName>
    <definedName name="Termino_Fijo_III">#REF!</definedName>
    <definedName name="Termino_Fijo_IV">#REF!</definedName>
  </definedNames>
  <calcPr calcId="171027" calcMode="manual" iterate="1" iterateCount="4" calcCompleted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6" i="1" l="1"/>
  <c r="L13" i="1"/>
  <c r="AQ8" i="4" a="1"/>
  <c r="AQ8" i="4"/>
  <c r="AQ7" i="4" a="1"/>
  <c r="AQ7" i="4"/>
  <c r="AQ6" i="4" a="1"/>
  <c r="AQ6" i="4"/>
  <c r="AS6" i="4"/>
  <c r="AS7" i="4"/>
  <c r="AS8" i="4"/>
  <c r="AR6" i="4"/>
  <c r="AR7" i="4"/>
  <c r="AR8" i="4"/>
  <c r="AQ12" i="4" a="1"/>
  <c r="AQ12" i="4"/>
  <c r="AQ11" i="4" a="1"/>
  <c r="AQ11" i="4"/>
  <c r="C42" i="4"/>
  <c r="AO16" i="4"/>
  <c r="AN16" i="4"/>
  <c r="AJ22" i="4"/>
  <c r="AJ20" i="4"/>
  <c r="AP8" i="4"/>
  <c r="AP7" i="4"/>
  <c r="AJ21" i="4"/>
  <c r="AP6" i="4"/>
  <c r="AQ10" i="4" a="1"/>
  <c r="AQ4" i="4" a="1"/>
  <c r="AR4" i="4"/>
  <c r="D30" i="1"/>
  <c r="D31" i="1"/>
  <c r="D10" i="4"/>
  <c r="C10" i="4"/>
  <c r="D9" i="4"/>
  <c r="C9" i="4"/>
  <c r="D8" i="4"/>
  <c r="C8" i="4"/>
  <c r="AS11" i="4"/>
  <c r="AS12" i="4"/>
  <c r="AR11" i="4"/>
  <c r="AK24" i="4" a="1"/>
  <c r="AR12" i="4"/>
  <c r="AK25" i="4" a="1"/>
  <c r="AS4" i="4"/>
  <c r="AR10" i="4"/>
  <c r="AQ10" i="4"/>
  <c r="AS10" i="4"/>
  <c r="AM8" i="4"/>
  <c r="AQ4" i="4"/>
  <c r="AL24" i="4"/>
  <c r="AK24" i="4"/>
  <c r="AM24" i="4"/>
  <c r="AN24" i="4"/>
  <c r="AM25" i="4"/>
  <c r="AN25" i="4"/>
  <c r="AL25" i="4"/>
  <c r="AK25" i="4"/>
  <c r="AQ17" i="4"/>
  <c r="AK20" i="4" a="1"/>
  <c r="AK14" i="4" a="1"/>
  <c r="AP17" i="4"/>
  <c r="AL14" i="4"/>
  <c r="AM14" i="4"/>
  <c r="AN14" i="4"/>
  <c r="AK14" i="4"/>
  <c r="AO17" i="4"/>
  <c r="AL20" i="4"/>
  <c r="AM20" i="4"/>
  <c r="AK20" i="4"/>
  <c r="AN20" i="4"/>
  <c r="AK17" i="4"/>
  <c r="D19" i="1"/>
  <c r="E7" i="28"/>
  <c r="V35" i="4"/>
  <c r="W30" i="4"/>
  <c r="D23" i="1"/>
  <c r="D31" i="4"/>
  <c r="F33" i="4"/>
  <c r="F32" i="4"/>
  <c r="F31" i="4"/>
  <c r="D33" i="4"/>
  <c r="D32" i="4"/>
  <c r="C40" i="4" a="1"/>
  <c r="C31" i="4"/>
  <c r="D40" i="4"/>
  <c r="E40" i="4"/>
  <c r="C40" i="4"/>
  <c r="AD24" i="4"/>
  <c r="AD23" i="4"/>
  <c r="AD22" i="4"/>
  <c r="L17" i="4"/>
  <c r="E10" i="4"/>
  <c r="L16" i="4"/>
  <c r="E9" i="4"/>
  <c r="L15" i="4"/>
  <c r="E8" i="4"/>
  <c r="AK21" i="4" a="1"/>
  <c r="AE22" i="4"/>
  <c r="AE24" i="4"/>
  <c r="AE23" i="4"/>
  <c r="AG17" i="4"/>
  <c r="AG16" i="4"/>
  <c r="AF17" i="4"/>
  <c r="AF16" i="4"/>
  <c r="AD17" i="4"/>
  <c r="AE17" i="4"/>
  <c r="AD16" i="4"/>
  <c r="AE16" i="4"/>
  <c r="AD15" i="4"/>
  <c r="AE15" i="4"/>
  <c r="AM21" i="4"/>
  <c r="AN21" i="4"/>
  <c r="AL21" i="4"/>
  <c r="AK21" i="4"/>
  <c r="AL17" i="4"/>
  <c r="B9" i="4"/>
  <c r="B10" i="4"/>
  <c r="AF9" i="4"/>
  <c r="AF10" i="4"/>
  <c r="AD10" i="4"/>
  <c r="AE10" i="4"/>
  <c r="AD9" i="4"/>
  <c r="AE9" i="4"/>
  <c r="AD8" i="4"/>
  <c r="AE8" i="4"/>
  <c r="AA10" i="4"/>
  <c r="AA9" i="4"/>
  <c r="AA8" i="4"/>
  <c r="U17" i="4"/>
  <c r="V17" i="4"/>
  <c r="U16" i="4"/>
  <c r="V16" i="4"/>
  <c r="U15" i="4"/>
  <c r="W24" i="4"/>
  <c r="W23" i="4"/>
  <c r="U24" i="4"/>
  <c r="V24" i="4"/>
  <c r="U23" i="4"/>
  <c r="V23" i="4"/>
  <c r="U22" i="4"/>
  <c r="V22" i="4"/>
  <c r="W17" i="4"/>
  <c r="W16" i="4"/>
  <c r="V15" i="4"/>
  <c r="W10" i="4"/>
  <c r="AF24" i="4"/>
  <c r="AM10" i="4"/>
  <c r="U10" i="4"/>
  <c r="V10" i="4"/>
  <c r="W9" i="4"/>
  <c r="AF23" i="4"/>
  <c r="U9" i="4"/>
  <c r="V9" i="4"/>
  <c r="U8" i="4"/>
  <c r="V8" i="4"/>
  <c r="N23" i="4"/>
  <c r="N24" i="4"/>
  <c r="L24" i="4"/>
  <c r="M24" i="4"/>
  <c r="L23" i="4"/>
  <c r="M23" i="4"/>
  <c r="L22" i="4"/>
  <c r="M22" i="4"/>
  <c r="N17" i="4"/>
  <c r="C33" i="4"/>
  <c r="M17" i="4"/>
  <c r="F10" i="4"/>
  <c r="N16" i="4"/>
  <c r="C32" i="4"/>
  <c r="M16" i="4"/>
  <c r="F9" i="4"/>
  <c r="M15" i="4"/>
  <c r="F8" i="4"/>
  <c r="L10" i="4"/>
  <c r="M10" i="4"/>
  <c r="L9" i="4"/>
  <c r="M9" i="4"/>
  <c r="L8" i="4"/>
  <c r="M8" i="4"/>
  <c r="AK22" i="4" a="1"/>
  <c r="AM9" i="4"/>
  <c r="AQ9" i="4" a="1"/>
  <c r="C39" i="4" a="1"/>
  <c r="AN22" i="4"/>
  <c r="AK22" i="4"/>
  <c r="AM17" i="4"/>
  <c r="AM22" i="4"/>
  <c r="AL22" i="4"/>
  <c r="AR9" i="4"/>
  <c r="AQ9" i="4"/>
  <c r="AK13" i="4" a="1"/>
  <c r="AS9" i="4"/>
  <c r="D39" i="4"/>
  <c r="E39" i="4"/>
  <c r="C39" i="4"/>
  <c r="AK13" i="4"/>
  <c r="AL13" i="4"/>
  <c r="AN13" i="4"/>
  <c r="AM13" i="4"/>
  <c r="AN17" i="4"/>
  <c r="V33" i="4"/>
  <c r="W33" i="4"/>
  <c r="L21" i="29"/>
  <c r="N21" i="29"/>
  <c r="L20" i="29"/>
  <c r="N20" i="29"/>
  <c r="L19" i="29"/>
  <c r="N19" i="29"/>
  <c r="L18" i="29"/>
  <c r="N18" i="29"/>
  <c r="L17" i="29"/>
  <c r="N17" i="29"/>
  <c r="L16" i="29"/>
  <c r="N16" i="29"/>
  <c r="C35" i="29"/>
  <c r="L15" i="29"/>
  <c r="N15" i="29"/>
  <c r="D34" i="29"/>
  <c r="L14" i="29"/>
  <c r="N14" i="29"/>
  <c r="D33" i="29"/>
  <c r="L13" i="29"/>
  <c r="N13" i="29"/>
  <c r="D32" i="29"/>
  <c r="D31" i="29"/>
  <c r="D30" i="29"/>
  <c r="D29" i="29"/>
  <c r="D28" i="29"/>
  <c r="D27" i="29"/>
  <c r="H7" i="29"/>
  <c r="J7" i="29"/>
  <c r="N23" i="29"/>
  <c r="N24" i="29"/>
  <c r="H8" i="29"/>
  <c r="E23" i="29"/>
  <c r="D35" i="29"/>
  <c r="E31" i="29"/>
  <c r="E29" i="29"/>
  <c r="E32" i="29"/>
  <c r="E34" i="29"/>
  <c r="E28" i="29"/>
  <c r="E27" i="29"/>
  <c r="P24" i="29"/>
  <c r="C11" i="29"/>
  <c r="E33" i="29"/>
  <c r="E30" i="29"/>
  <c r="E35" i="29"/>
  <c r="C9" i="29"/>
  <c r="F6" i="28"/>
  <c r="F7" i="28"/>
  <c r="G6" i="28"/>
  <c r="H6" i="28"/>
  <c r="G7" i="28"/>
  <c r="I6" i="28"/>
  <c r="H7" i="28"/>
  <c r="J6" i="28"/>
  <c r="I7" i="28"/>
  <c r="K6" i="28"/>
  <c r="J7" i="28"/>
  <c r="D12" i="28"/>
  <c r="D13" i="28"/>
  <c r="D6" i="28"/>
  <c r="L6" i="28"/>
  <c r="K7" i="28"/>
  <c r="M6" i="28"/>
  <c r="L7" i="28"/>
  <c r="N6" i="28"/>
  <c r="M7" i="28"/>
  <c r="V52" i="30"/>
  <c r="V32" i="4"/>
  <c r="W32" i="4"/>
  <c r="V31" i="4"/>
  <c r="W31" i="4"/>
  <c r="X32" i="4"/>
  <c r="AA32" i="4"/>
  <c r="X31" i="4"/>
  <c r="X30" i="4"/>
  <c r="O6" i="28"/>
  <c r="N7" i="28"/>
  <c r="P6" i="28"/>
  <c r="O7" i="28"/>
  <c r="H13" i="1"/>
  <c r="H5" i="1"/>
  <c r="D24" i="1"/>
  <c r="J46" i="4" a="1"/>
  <c r="L46" i="4"/>
  <c r="R9" i="18"/>
  <c r="B21" i="18"/>
  <c r="E21" i="18"/>
  <c r="E110" i="18"/>
  <c r="D13" i="1"/>
  <c r="R8" i="4"/>
  <c r="R9" i="4"/>
  <c r="R10" i="4"/>
  <c r="J35" i="4" a="1"/>
  <c r="K35" i="4"/>
  <c r="J57" i="4" a="1"/>
  <c r="J57" i="4"/>
  <c r="R15" i="18"/>
  <c r="B22" i="18"/>
  <c r="I22" i="18"/>
  <c r="I111" i="18"/>
  <c r="D8" i="1"/>
  <c r="C12" i="24"/>
  <c r="G12" i="24"/>
  <c r="G15" i="24"/>
  <c r="B28" i="18"/>
  <c r="C28" i="18"/>
  <c r="C59" i="18"/>
  <c r="C35" i="4" a="1"/>
  <c r="D35" i="4"/>
  <c r="D76" i="4"/>
  <c r="C76" i="4"/>
  <c r="Q10" i="25"/>
  <c r="Y10" i="25"/>
  <c r="M11" i="25"/>
  <c r="I10" i="25"/>
  <c r="E11" i="25"/>
  <c r="Y9" i="25"/>
  <c r="Y8" i="25"/>
  <c r="Y7" i="25"/>
  <c r="Y6" i="25"/>
  <c r="R46" i="24"/>
  <c r="R45" i="24"/>
  <c r="R44" i="24"/>
  <c r="R43" i="24"/>
  <c r="R35" i="24"/>
  <c r="R37" i="24"/>
  <c r="R38" i="24"/>
  <c r="R36" i="24"/>
  <c r="C14" i="24"/>
  <c r="H14" i="24"/>
  <c r="H32" i="24"/>
  <c r="C17" i="24"/>
  <c r="C33" i="24"/>
  <c r="C16" i="24"/>
  <c r="C13" i="24"/>
  <c r="M13" i="24"/>
  <c r="H13" i="24"/>
  <c r="H16" i="24"/>
  <c r="F13" i="24"/>
  <c r="F17" i="24"/>
  <c r="F33" i="24"/>
  <c r="D12" i="24"/>
  <c r="D15" i="24"/>
  <c r="K13" i="24"/>
  <c r="K16" i="24"/>
  <c r="G13" i="24"/>
  <c r="G16" i="24"/>
  <c r="J13" i="24"/>
  <c r="J16" i="24"/>
  <c r="D13" i="24"/>
  <c r="D16" i="24"/>
  <c r="E13" i="24"/>
  <c r="E16" i="24"/>
  <c r="K12" i="24"/>
  <c r="K15" i="24"/>
  <c r="F16" i="24"/>
  <c r="D27" i="24"/>
  <c r="E27" i="24"/>
  <c r="F27" i="24"/>
  <c r="G27" i="24"/>
  <c r="H27" i="24"/>
  <c r="I27" i="24"/>
  <c r="J27" i="24"/>
  <c r="K27" i="24"/>
  <c r="L27" i="24"/>
  <c r="M27" i="24"/>
  <c r="I19" i="22"/>
  <c r="C15" i="24"/>
  <c r="D12" i="20"/>
  <c r="D13" i="20"/>
  <c r="D6" i="20"/>
  <c r="I21" i="22"/>
  <c r="I20" i="22"/>
  <c r="E26" i="22"/>
  <c r="E27" i="22"/>
  <c r="F6" i="20"/>
  <c r="G6" i="20"/>
  <c r="H6" i="20"/>
  <c r="I6" i="20"/>
  <c r="J6" i="20"/>
  <c r="K6" i="20"/>
  <c r="L6" i="20"/>
  <c r="M6" i="20"/>
  <c r="N6" i="20"/>
  <c r="O6" i="20"/>
  <c r="P6" i="20"/>
  <c r="D51" i="18"/>
  <c r="E51" i="18"/>
  <c r="F51" i="18"/>
  <c r="G51" i="18"/>
  <c r="H51" i="18"/>
  <c r="I51" i="18"/>
  <c r="J51" i="18"/>
  <c r="K51" i="18"/>
  <c r="L51" i="18"/>
  <c r="C51" i="18"/>
  <c r="Q6" i="1"/>
  <c r="Q7" i="1"/>
  <c r="R17" i="18"/>
  <c r="R16" i="18"/>
  <c r="L257" i="18"/>
  <c r="K257" i="18"/>
  <c r="J257" i="18"/>
  <c r="I257" i="18"/>
  <c r="H257" i="18"/>
  <c r="G257" i="18"/>
  <c r="F257" i="18"/>
  <c r="E257" i="18"/>
  <c r="D257" i="18"/>
  <c r="C257" i="18"/>
  <c r="B257" i="18"/>
  <c r="L245" i="18"/>
  <c r="K245" i="18"/>
  <c r="J245" i="18"/>
  <c r="I245" i="18"/>
  <c r="H245" i="18"/>
  <c r="G245" i="18"/>
  <c r="F245" i="18"/>
  <c r="E245" i="18"/>
  <c r="D245" i="18"/>
  <c r="C245" i="18"/>
  <c r="B245" i="18"/>
  <c r="L187" i="18"/>
  <c r="K187" i="18"/>
  <c r="J187" i="18"/>
  <c r="I187" i="18"/>
  <c r="H187" i="18"/>
  <c r="G187" i="18"/>
  <c r="F187" i="18"/>
  <c r="E187" i="18"/>
  <c r="D187" i="18"/>
  <c r="C187" i="18"/>
  <c r="L186" i="18"/>
  <c r="K186" i="18"/>
  <c r="J186" i="18"/>
  <c r="I186" i="18"/>
  <c r="H186" i="18"/>
  <c r="G186" i="18"/>
  <c r="F186" i="18"/>
  <c r="E186" i="18"/>
  <c r="D186" i="18"/>
  <c r="C186" i="18"/>
  <c r="L145" i="18"/>
  <c r="K145" i="18"/>
  <c r="J145" i="18"/>
  <c r="I145" i="18"/>
  <c r="H145" i="18"/>
  <c r="G145" i="18"/>
  <c r="F145" i="18"/>
  <c r="E145" i="18"/>
  <c r="D145" i="18"/>
  <c r="C145" i="18"/>
  <c r="L144" i="18"/>
  <c r="K144" i="18"/>
  <c r="J144" i="18"/>
  <c r="I144" i="18"/>
  <c r="H144" i="18"/>
  <c r="G144" i="18"/>
  <c r="F144" i="18"/>
  <c r="E144" i="18"/>
  <c r="D144" i="18"/>
  <c r="C144" i="18"/>
  <c r="B88" i="18"/>
  <c r="B16" i="18"/>
  <c r="B12" i="18"/>
  <c r="E10" i="22"/>
  <c r="E9" i="22"/>
  <c r="E21" i="22"/>
  <c r="H2267" i="14"/>
  <c r="H2266" i="14"/>
  <c r="H2265" i="14"/>
  <c r="H2264" i="14"/>
  <c r="H2263" i="14"/>
  <c r="H2262" i="14"/>
  <c r="H2261" i="14"/>
  <c r="H2260" i="14"/>
  <c r="H2259" i="14"/>
  <c r="H2258" i="14"/>
  <c r="H2257" i="14"/>
  <c r="H2256" i="14"/>
  <c r="H2255" i="14"/>
  <c r="H2254" i="14"/>
  <c r="H2253" i="14"/>
  <c r="H2252" i="14"/>
  <c r="H2251" i="14"/>
  <c r="H2250" i="14"/>
  <c r="H2249" i="14"/>
  <c r="H2248" i="14"/>
  <c r="H2247" i="14"/>
  <c r="H2246" i="14"/>
  <c r="H2245" i="14"/>
  <c r="H2244" i="14"/>
  <c r="H2243" i="14"/>
  <c r="H2242" i="14"/>
  <c r="H2241" i="14"/>
  <c r="H2240" i="14"/>
  <c r="H2239" i="14"/>
  <c r="H2238" i="14"/>
  <c r="H2237" i="14"/>
  <c r="H2236" i="14"/>
  <c r="H2235" i="14"/>
  <c r="H2234" i="14"/>
  <c r="H2233" i="14"/>
  <c r="H2232" i="14"/>
  <c r="H2231" i="14"/>
  <c r="H2230" i="14"/>
  <c r="H2229" i="14"/>
  <c r="H2228" i="14"/>
  <c r="H2227" i="14"/>
  <c r="H2226" i="14"/>
  <c r="H2225" i="14"/>
  <c r="H2224" i="14"/>
  <c r="H2223" i="14"/>
  <c r="H2222" i="14"/>
  <c r="H2221" i="14"/>
  <c r="H2220" i="14"/>
  <c r="H2219" i="14"/>
  <c r="H2218" i="14"/>
  <c r="H2217" i="14"/>
  <c r="H2216" i="14"/>
  <c r="H2215" i="14"/>
  <c r="H2214" i="14"/>
  <c r="H2213" i="14"/>
  <c r="H2212" i="14"/>
  <c r="H2211" i="14"/>
  <c r="H2210" i="14"/>
  <c r="H2209" i="14"/>
  <c r="H2208" i="14"/>
  <c r="H2207" i="14"/>
  <c r="H2206" i="14"/>
  <c r="H2205" i="14"/>
  <c r="H2204" i="14"/>
  <c r="H2203" i="14"/>
  <c r="H2202" i="14"/>
  <c r="H2201" i="14"/>
  <c r="H2200" i="14"/>
  <c r="H2199" i="14"/>
  <c r="H2198" i="14"/>
  <c r="H2197" i="14"/>
  <c r="H2196" i="14"/>
  <c r="H2195" i="14"/>
  <c r="H2194" i="14"/>
  <c r="H2193" i="14"/>
  <c r="H2192" i="14"/>
  <c r="H2191" i="14"/>
  <c r="H2190" i="14"/>
  <c r="H2189" i="14"/>
  <c r="H2188" i="14"/>
  <c r="H2187" i="14"/>
  <c r="H2186" i="14"/>
  <c r="H2185" i="14"/>
  <c r="H2184" i="14"/>
  <c r="H2183" i="14"/>
  <c r="H2182" i="14"/>
  <c r="H2181" i="14"/>
  <c r="H2180" i="14"/>
  <c r="H2179" i="14"/>
  <c r="H2178" i="14"/>
  <c r="H2177" i="14"/>
  <c r="H2176" i="14"/>
  <c r="H2175" i="14"/>
  <c r="H2174" i="14"/>
  <c r="H2173" i="14"/>
  <c r="H2172" i="14"/>
  <c r="H2171" i="14"/>
  <c r="H2170" i="14"/>
  <c r="H2169" i="14"/>
  <c r="H2168" i="14"/>
  <c r="H2167" i="14"/>
  <c r="H2166" i="14"/>
  <c r="H2165" i="14"/>
  <c r="H2164" i="14"/>
  <c r="H2163" i="14"/>
  <c r="H2162" i="14"/>
  <c r="H2161" i="14"/>
  <c r="H2160" i="14"/>
  <c r="H2159" i="14"/>
  <c r="H2158" i="14"/>
  <c r="H2157" i="14"/>
  <c r="H2156" i="14"/>
  <c r="H2155" i="14"/>
  <c r="H2154" i="14"/>
  <c r="H2153" i="14"/>
  <c r="H2152" i="14"/>
  <c r="H2151" i="14"/>
  <c r="H2150" i="14"/>
  <c r="H2149" i="14"/>
  <c r="H2148" i="14"/>
  <c r="H2147" i="14"/>
  <c r="H2146" i="14"/>
  <c r="H2145" i="14"/>
  <c r="H2144" i="14"/>
  <c r="H2143" i="14"/>
  <c r="H2142" i="14"/>
  <c r="H2141" i="14"/>
  <c r="H2140" i="14"/>
  <c r="H2139" i="14"/>
  <c r="H2138" i="14"/>
  <c r="H2137" i="14"/>
  <c r="H2136" i="14"/>
  <c r="H2135" i="14"/>
  <c r="H2134" i="14"/>
  <c r="H2133" i="14"/>
  <c r="H2132" i="14"/>
  <c r="H2131" i="14"/>
  <c r="H2130" i="14"/>
  <c r="H2129" i="14"/>
  <c r="H2128" i="14"/>
  <c r="H2127" i="14"/>
  <c r="H2126" i="14"/>
  <c r="H2125" i="14"/>
  <c r="H2124" i="14"/>
  <c r="H2123" i="14"/>
  <c r="H2122" i="14"/>
  <c r="H2121" i="14"/>
  <c r="H2120" i="14"/>
  <c r="H2119" i="14"/>
  <c r="H2118" i="14"/>
  <c r="H2117" i="14"/>
  <c r="H2116" i="14"/>
  <c r="H2115" i="14"/>
  <c r="H2114" i="14"/>
  <c r="H2113" i="14"/>
  <c r="H2112" i="14"/>
  <c r="H2111" i="14"/>
  <c r="H2110" i="14"/>
  <c r="H2109" i="14"/>
  <c r="H2108" i="14"/>
  <c r="H2107" i="14"/>
  <c r="H2106" i="14"/>
  <c r="H2105" i="14"/>
  <c r="H2104" i="14"/>
  <c r="H2103" i="14"/>
  <c r="H2102" i="14"/>
  <c r="H2101" i="14"/>
  <c r="H2100" i="14"/>
  <c r="H2099" i="14"/>
  <c r="H2098" i="14"/>
  <c r="H2097" i="14"/>
  <c r="H2096" i="14"/>
  <c r="H2095" i="14"/>
  <c r="H2094" i="14"/>
  <c r="H2093" i="14"/>
  <c r="H2092" i="14"/>
  <c r="H2091" i="14"/>
  <c r="H2090" i="14"/>
  <c r="H2089" i="14"/>
  <c r="H2088" i="14"/>
  <c r="H2087" i="14"/>
  <c r="H2086" i="14"/>
  <c r="H2085" i="14"/>
  <c r="H2084" i="14"/>
  <c r="H2083" i="14"/>
  <c r="H2082" i="14"/>
  <c r="H2081" i="14"/>
  <c r="H2080" i="14"/>
  <c r="H2079" i="14"/>
  <c r="H2078" i="14"/>
  <c r="H2077" i="14"/>
  <c r="H2076" i="14"/>
  <c r="H2075" i="14"/>
  <c r="H2074" i="14"/>
  <c r="H2073" i="14"/>
  <c r="H2072" i="14"/>
  <c r="H2071" i="14"/>
  <c r="H2070" i="14"/>
  <c r="H2069" i="14"/>
  <c r="H2068" i="14"/>
  <c r="H2067" i="14"/>
  <c r="H2066" i="14"/>
  <c r="H2065" i="14"/>
  <c r="H2064" i="14"/>
  <c r="H2063" i="14"/>
  <c r="H2062" i="14"/>
  <c r="H2061" i="14"/>
  <c r="H2060" i="14"/>
  <c r="H2059" i="14"/>
  <c r="H2058" i="14"/>
  <c r="H2057" i="14"/>
  <c r="H2056" i="14"/>
  <c r="H2055" i="14"/>
  <c r="H2054" i="14"/>
  <c r="H2053" i="14"/>
  <c r="H2052" i="14"/>
  <c r="H2051" i="14"/>
  <c r="H2050" i="14"/>
  <c r="H2049" i="14"/>
  <c r="H2048" i="14"/>
  <c r="H2047" i="14"/>
  <c r="H2046" i="14"/>
  <c r="H2045" i="14"/>
  <c r="H2044" i="14"/>
  <c r="H2043" i="14"/>
  <c r="H2042" i="14"/>
  <c r="H2041" i="14"/>
  <c r="H2040" i="14"/>
  <c r="H2039" i="14"/>
  <c r="H2038" i="14"/>
  <c r="H2037" i="14"/>
  <c r="H2036" i="14"/>
  <c r="H2035" i="14"/>
  <c r="H2034" i="14"/>
  <c r="H2033" i="14"/>
  <c r="H2032" i="14"/>
  <c r="H2031" i="14"/>
  <c r="H2030" i="14"/>
  <c r="H2029" i="14"/>
  <c r="H2028" i="14"/>
  <c r="H2027" i="14"/>
  <c r="H2026" i="14"/>
  <c r="H2025" i="14"/>
  <c r="H2024" i="14"/>
  <c r="H2023" i="14"/>
  <c r="H2022" i="14"/>
  <c r="H2021" i="14"/>
  <c r="H2020" i="14"/>
  <c r="H2019" i="14"/>
  <c r="H2018" i="14"/>
  <c r="H2017" i="14"/>
  <c r="H2016" i="14"/>
  <c r="H2015" i="14"/>
  <c r="H2014" i="14"/>
  <c r="H2013" i="14"/>
  <c r="H2012" i="14"/>
  <c r="H2011" i="14"/>
  <c r="H2010" i="14"/>
  <c r="H2009" i="14"/>
  <c r="H2008" i="14"/>
  <c r="H2007" i="14"/>
  <c r="H2006" i="14"/>
  <c r="H2005" i="14"/>
  <c r="H2004" i="14"/>
  <c r="H2003" i="14"/>
  <c r="H2002" i="14"/>
  <c r="H2001" i="14"/>
  <c r="H2000" i="14"/>
  <c r="H1999" i="14"/>
  <c r="H1998" i="14"/>
  <c r="H1997" i="14"/>
  <c r="H1996" i="14"/>
  <c r="H1995" i="14"/>
  <c r="H1994" i="14"/>
  <c r="H1993" i="14"/>
  <c r="H1992" i="14"/>
  <c r="H1991" i="14"/>
  <c r="H1990" i="14"/>
  <c r="H1989" i="14"/>
  <c r="H1988" i="14"/>
  <c r="H1987" i="14"/>
  <c r="H1986" i="14"/>
  <c r="H1985" i="14"/>
  <c r="H1984" i="14"/>
  <c r="H1983" i="14"/>
  <c r="H1982" i="14"/>
  <c r="H1981" i="14"/>
  <c r="H1980" i="14"/>
  <c r="H1979" i="14"/>
  <c r="H1978" i="14"/>
  <c r="H1977" i="14"/>
  <c r="H1976" i="14"/>
  <c r="H1975" i="14"/>
  <c r="H1974" i="14"/>
  <c r="H1973" i="14"/>
  <c r="H1972" i="14"/>
  <c r="H1971" i="14"/>
  <c r="H1970" i="14"/>
  <c r="H1969" i="14"/>
  <c r="H1968" i="14"/>
  <c r="H1967" i="14"/>
  <c r="H1966" i="14"/>
  <c r="H1965" i="14"/>
  <c r="H1964" i="14"/>
  <c r="H1963" i="14"/>
  <c r="H1962" i="14"/>
  <c r="H1961" i="14"/>
  <c r="H1960" i="14"/>
  <c r="H1959" i="14"/>
  <c r="H1958" i="14"/>
  <c r="H1957" i="14"/>
  <c r="H1956" i="14"/>
  <c r="H1955" i="14"/>
  <c r="H1954" i="14"/>
  <c r="H1953" i="14"/>
  <c r="H1952" i="14"/>
  <c r="H1951" i="14"/>
  <c r="H1950" i="14"/>
  <c r="H1949" i="14"/>
  <c r="H1948" i="14"/>
  <c r="H1947" i="14"/>
  <c r="H1946" i="14"/>
  <c r="H1945" i="14"/>
  <c r="H1944" i="14"/>
  <c r="H1943" i="14"/>
  <c r="H1942" i="14"/>
  <c r="H1941" i="14"/>
  <c r="H1940" i="14"/>
  <c r="H1939" i="14"/>
  <c r="H1938" i="14"/>
  <c r="H1937" i="14"/>
  <c r="H1936" i="14"/>
  <c r="H1935" i="14"/>
  <c r="H1934" i="14"/>
  <c r="H1933" i="14"/>
  <c r="H1932" i="14"/>
  <c r="H1931" i="14"/>
  <c r="H1930" i="14"/>
  <c r="H1929" i="14"/>
  <c r="H1928" i="14"/>
  <c r="H1927" i="14"/>
  <c r="H1926" i="14"/>
  <c r="H1925" i="14"/>
  <c r="H1924" i="14"/>
  <c r="H1923" i="14"/>
  <c r="H1922" i="14"/>
  <c r="H1921" i="14"/>
  <c r="H1920" i="14"/>
  <c r="H1919" i="14"/>
  <c r="H1918" i="14"/>
  <c r="H1917" i="14"/>
  <c r="H1916" i="14"/>
  <c r="H1915" i="14"/>
  <c r="H1914" i="14"/>
  <c r="H1913" i="14"/>
  <c r="H1912" i="14"/>
  <c r="H1911" i="14"/>
  <c r="H1910" i="14"/>
  <c r="H1909" i="14"/>
  <c r="H1908" i="14"/>
  <c r="H1907" i="14"/>
  <c r="H1906" i="14"/>
  <c r="H1905" i="14"/>
  <c r="H1904" i="14"/>
  <c r="H1903" i="14"/>
  <c r="H1902" i="14"/>
  <c r="H1901" i="14"/>
  <c r="H1900" i="14"/>
  <c r="H1899" i="14"/>
  <c r="H1898" i="14"/>
  <c r="H1897" i="14"/>
  <c r="H1896" i="14"/>
  <c r="H1895" i="14"/>
  <c r="H1894" i="14"/>
  <c r="H1893" i="14"/>
  <c r="H1892" i="14"/>
  <c r="H1891" i="14"/>
  <c r="H1890" i="14"/>
  <c r="H1889" i="14"/>
  <c r="H1888" i="14"/>
  <c r="H1887" i="14"/>
  <c r="H1886" i="14"/>
  <c r="H1885" i="14"/>
  <c r="H1884" i="14"/>
  <c r="H1883" i="14"/>
  <c r="H1882" i="14"/>
  <c r="H1881" i="14"/>
  <c r="H1880" i="14"/>
  <c r="H1879" i="14"/>
  <c r="H1878" i="14"/>
  <c r="H1877" i="14"/>
  <c r="H1876" i="14"/>
  <c r="H1875" i="14"/>
  <c r="H1874" i="14"/>
  <c r="H1873" i="14"/>
  <c r="H1872" i="14"/>
  <c r="H1871" i="14"/>
  <c r="H1870" i="14"/>
  <c r="H1869" i="14"/>
  <c r="H1868" i="14"/>
  <c r="H1867" i="14"/>
  <c r="H1866" i="14"/>
  <c r="H1865" i="14"/>
  <c r="H1864" i="14"/>
  <c r="H1863" i="14"/>
  <c r="H1862" i="14"/>
  <c r="H1861" i="14"/>
  <c r="H1860" i="14"/>
  <c r="H1859" i="14"/>
  <c r="H1858" i="14"/>
  <c r="H1857" i="14"/>
  <c r="H1856" i="14"/>
  <c r="H1855" i="14"/>
  <c r="H1854" i="14"/>
  <c r="H1853" i="14"/>
  <c r="H1852" i="14"/>
  <c r="H1851" i="14"/>
  <c r="H1850" i="14"/>
  <c r="H1849" i="14"/>
  <c r="H1848" i="14"/>
  <c r="H1847" i="14"/>
  <c r="H1846" i="14"/>
  <c r="H1845" i="14"/>
  <c r="H1844" i="14"/>
  <c r="H1843" i="14"/>
  <c r="H1842" i="14"/>
  <c r="H1841" i="14"/>
  <c r="H1840" i="14"/>
  <c r="H1839" i="14"/>
  <c r="H1838" i="14"/>
  <c r="H1837" i="14"/>
  <c r="H1836" i="14"/>
  <c r="H1835" i="14"/>
  <c r="H1834" i="14"/>
  <c r="H1833" i="14"/>
  <c r="H1832" i="14"/>
  <c r="H1831" i="14"/>
  <c r="H1830" i="14"/>
  <c r="H1829" i="14"/>
  <c r="H1828" i="14"/>
  <c r="H1827" i="14"/>
  <c r="H1826" i="14"/>
  <c r="H1825" i="14"/>
  <c r="H1824" i="14"/>
  <c r="H1823" i="14"/>
  <c r="H1822" i="14"/>
  <c r="H1821" i="14"/>
  <c r="H1820" i="14"/>
  <c r="H1819" i="14"/>
  <c r="H1818" i="14"/>
  <c r="H1817" i="14"/>
  <c r="H1816" i="14"/>
  <c r="H1815" i="14"/>
  <c r="H1814" i="14"/>
  <c r="H1813" i="14"/>
  <c r="H1812" i="14"/>
  <c r="H1811" i="14"/>
  <c r="H1810" i="14"/>
  <c r="H1809" i="14"/>
  <c r="H1808" i="14"/>
  <c r="H1807" i="14"/>
  <c r="H1806" i="14"/>
  <c r="H1805" i="14"/>
  <c r="H1804" i="14"/>
  <c r="H1803" i="14"/>
  <c r="H1802" i="14"/>
  <c r="H1801" i="14"/>
  <c r="H1800" i="14"/>
  <c r="H1799" i="14"/>
  <c r="H1798" i="14"/>
  <c r="H1797" i="14"/>
  <c r="H1796" i="14"/>
  <c r="H1795" i="14"/>
  <c r="H1794" i="14"/>
  <c r="H1793" i="14"/>
  <c r="H1792" i="14"/>
  <c r="H1791" i="14"/>
  <c r="H1790" i="14"/>
  <c r="H1789" i="14"/>
  <c r="H1788" i="14"/>
  <c r="H1787" i="14"/>
  <c r="H1786" i="14"/>
  <c r="H1785" i="14"/>
  <c r="H1784" i="14"/>
  <c r="H1783" i="14"/>
  <c r="H1782" i="14"/>
  <c r="H1781" i="14"/>
  <c r="H1780" i="14"/>
  <c r="H1779" i="14"/>
  <c r="H1778" i="14"/>
  <c r="H1777" i="14"/>
  <c r="H1776" i="14"/>
  <c r="H1775" i="14"/>
  <c r="H1774" i="14"/>
  <c r="H1773" i="14"/>
  <c r="H1772" i="14"/>
  <c r="H1771" i="14"/>
  <c r="H1770" i="14"/>
  <c r="H1769" i="14"/>
  <c r="H1768" i="14"/>
  <c r="H1767" i="14"/>
  <c r="H1766" i="14"/>
  <c r="H1765" i="14"/>
  <c r="H1764" i="14"/>
  <c r="H1763" i="14"/>
  <c r="H1762" i="14"/>
  <c r="H1761" i="14"/>
  <c r="H1760" i="14"/>
  <c r="H1759" i="14"/>
  <c r="H1758" i="14"/>
  <c r="H1757" i="14"/>
  <c r="H1756" i="14"/>
  <c r="H1755" i="14"/>
  <c r="H1754" i="14"/>
  <c r="H1753" i="14"/>
  <c r="H1752" i="14"/>
  <c r="H1751" i="14"/>
  <c r="H1750" i="14"/>
  <c r="H1749" i="14"/>
  <c r="H1748" i="14"/>
  <c r="H1747" i="14"/>
  <c r="H1746" i="14"/>
  <c r="H1745" i="14"/>
  <c r="H1744" i="14"/>
  <c r="H1743" i="14"/>
  <c r="H1742" i="14"/>
  <c r="H1741" i="14"/>
  <c r="H1740" i="14"/>
  <c r="H1739" i="14"/>
  <c r="H1738" i="14"/>
  <c r="H1737" i="14"/>
  <c r="H1736" i="14"/>
  <c r="H1735" i="14"/>
  <c r="H1734" i="14"/>
  <c r="H1733" i="14"/>
  <c r="H1732" i="14"/>
  <c r="H1731" i="14"/>
  <c r="H1730" i="14"/>
  <c r="H1729" i="14"/>
  <c r="H1728" i="14"/>
  <c r="H1727" i="14"/>
  <c r="H1726" i="14"/>
  <c r="H1725" i="14"/>
  <c r="H1724" i="14"/>
  <c r="H1723" i="14"/>
  <c r="H1722" i="14"/>
  <c r="H1721" i="14"/>
  <c r="H1720" i="14"/>
  <c r="H1719" i="14"/>
  <c r="H1718" i="14"/>
  <c r="H1717" i="14"/>
  <c r="H1716" i="14"/>
  <c r="H1715" i="14"/>
  <c r="H1714" i="14"/>
  <c r="H1713" i="14"/>
  <c r="H1712" i="14"/>
  <c r="H1711" i="14"/>
  <c r="H1710" i="14"/>
  <c r="H1709" i="14"/>
  <c r="H1708" i="14"/>
  <c r="H1707" i="14"/>
  <c r="H1706" i="14"/>
  <c r="H1705" i="14"/>
  <c r="H1704" i="14"/>
  <c r="H1703" i="14"/>
  <c r="H1702" i="14"/>
  <c r="H1701" i="14"/>
  <c r="H1700" i="14"/>
  <c r="H1699" i="14"/>
  <c r="H1698" i="14"/>
  <c r="H1697" i="14"/>
  <c r="H1696" i="14"/>
  <c r="H1695" i="14"/>
  <c r="H1694" i="14"/>
  <c r="H1693" i="14"/>
  <c r="H1692" i="14"/>
  <c r="H1691" i="14"/>
  <c r="H1690" i="14"/>
  <c r="H1689" i="14"/>
  <c r="H1688" i="14"/>
  <c r="H1687" i="14"/>
  <c r="H1686" i="14"/>
  <c r="H1685" i="14"/>
  <c r="H1684" i="14"/>
  <c r="H1683" i="14"/>
  <c r="H1682" i="14"/>
  <c r="H1681" i="14"/>
  <c r="H1680" i="14"/>
  <c r="H1679" i="14"/>
  <c r="H1678" i="14"/>
  <c r="H1677" i="14"/>
  <c r="H1676" i="14"/>
  <c r="H1675" i="14"/>
  <c r="H1674" i="14"/>
  <c r="H1673" i="14"/>
  <c r="H1672" i="14"/>
  <c r="H1671" i="14"/>
  <c r="H1670" i="14"/>
  <c r="H1669" i="14"/>
  <c r="H1668" i="14"/>
  <c r="H1667" i="14"/>
  <c r="H1666" i="14"/>
  <c r="H1665" i="14"/>
  <c r="H1664" i="14"/>
  <c r="H1663" i="14"/>
  <c r="H1662" i="14"/>
  <c r="H1661" i="14"/>
  <c r="H1660" i="14"/>
  <c r="H1659" i="14"/>
  <c r="H1658" i="14"/>
  <c r="H1657" i="14"/>
  <c r="H1656" i="14"/>
  <c r="H1655" i="14"/>
  <c r="H1654" i="14"/>
  <c r="H1653" i="14"/>
  <c r="H1652" i="14"/>
  <c r="H1651" i="14"/>
  <c r="H1650" i="14"/>
  <c r="H1649" i="14"/>
  <c r="H1648" i="14"/>
  <c r="H1647" i="14"/>
  <c r="H1646" i="14"/>
  <c r="H1645" i="14"/>
  <c r="H1644" i="14"/>
  <c r="H1643" i="14"/>
  <c r="H1642" i="14"/>
  <c r="H1641" i="14"/>
  <c r="H1640" i="14"/>
  <c r="H1639" i="14"/>
  <c r="H1638" i="14"/>
  <c r="H1637" i="14"/>
  <c r="H1636" i="14"/>
  <c r="H1635" i="14"/>
  <c r="H1634" i="14"/>
  <c r="H1633" i="14"/>
  <c r="H1632" i="14"/>
  <c r="H1631" i="14"/>
  <c r="H1630" i="14"/>
  <c r="H1629" i="14"/>
  <c r="H1628" i="14"/>
  <c r="H1627" i="14"/>
  <c r="H1626" i="14"/>
  <c r="H1625" i="14"/>
  <c r="H1624" i="14"/>
  <c r="H1623" i="14"/>
  <c r="H1622" i="14"/>
  <c r="H1621" i="14"/>
  <c r="H1620" i="14"/>
  <c r="H1619" i="14"/>
  <c r="H1618" i="14"/>
  <c r="H1617" i="14"/>
  <c r="H1616" i="14"/>
  <c r="H1615" i="14"/>
  <c r="H1614" i="14"/>
  <c r="H1613" i="14"/>
  <c r="H1612" i="14"/>
  <c r="H1611" i="14"/>
  <c r="H1610" i="14"/>
  <c r="H1609" i="14"/>
  <c r="H1608" i="14"/>
  <c r="H1607" i="14"/>
  <c r="H1606" i="14"/>
  <c r="H1605" i="14"/>
  <c r="H1604" i="14"/>
  <c r="H1603" i="14"/>
  <c r="H1602" i="14"/>
  <c r="H1601" i="14"/>
  <c r="H1600" i="14"/>
  <c r="H1599" i="14"/>
  <c r="H1598" i="14"/>
  <c r="H1597" i="14"/>
  <c r="H1596" i="14"/>
  <c r="H1595" i="14"/>
  <c r="H1594" i="14"/>
  <c r="H1593" i="14"/>
  <c r="H1592" i="14"/>
  <c r="H1591" i="14"/>
  <c r="H1590" i="14"/>
  <c r="H1589" i="14"/>
  <c r="H1588" i="14"/>
  <c r="H1587" i="14"/>
  <c r="H1586" i="14"/>
  <c r="H1585" i="14"/>
  <c r="H1584" i="14"/>
  <c r="H1583" i="14"/>
  <c r="H1582" i="14"/>
  <c r="H1581" i="14"/>
  <c r="H1580" i="14"/>
  <c r="H1579" i="14"/>
  <c r="H1578" i="14"/>
  <c r="H1577" i="14"/>
  <c r="H1576" i="14"/>
  <c r="H1575" i="14"/>
  <c r="H1574" i="14"/>
  <c r="H1573" i="14"/>
  <c r="H1572" i="14"/>
  <c r="H1571" i="14"/>
  <c r="H1570" i="14"/>
  <c r="H1569" i="14"/>
  <c r="H1568" i="14"/>
  <c r="H1567" i="14"/>
  <c r="H1566" i="14"/>
  <c r="H1565" i="14"/>
  <c r="H1564" i="14"/>
  <c r="H1563" i="14"/>
  <c r="H1562" i="14"/>
  <c r="H1561" i="14"/>
  <c r="H1560" i="14"/>
  <c r="H1559" i="14"/>
  <c r="H1558" i="14"/>
  <c r="H1557" i="14"/>
  <c r="H1556" i="14"/>
  <c r="H1555" i="14"/>
  <c r="H1554" i="14"/>
  <c r="H1553" i="14"/>
  <c r="H1552" i="14"/>
  <c r="H1551" i="14"/>
  <c r="H1550" i="14"/>
  <c r="H1549" i="14"/>
  <c r="H1548" i="14"/>
  <c r="H1547" i="14"/>
  <c r="H1546" i="14"/>
  <c r="H1545" i="14"/>
  <c r="H1544" i="14"/>
  <c r="H1543" i="14"/>
  <c r="H1542" i="14"/>
  <c r="H1541" i="14"/>
  <c r="H1540" i="14"/>
  <c r="H1539" i="14"/>
  <c r="H1538" i="14"/>
  <c r="H1537" i="14"/>
  <c r="H1536" i="14"/>
  <c r="H1535" i="14"/>
  <c r="H1534" i="14"/>
  <c r="H1533" i="14"/>
  <c r="H1532" i="14"/>
  <c r="H1531" i="14"/>
  <c r="H1530" i="14"/>
  <c r="H1529" i="14"/>
  <c r="H1528" i="14"/>
  <c r="H1527" i="14"/>
  <c r="H1526" i="14"/>
  <c r="H1525" i="14"/>
  <c r="H1524" i="14"/>
  <c r="H1523" i="14"/>
  <c r="H1522" i="14"/>
  <c r="H1521" i="14"/>
  <c r="H1520" i="14"/>
  <c r="H1519" i="14"/>
  <c r="H1518" i="14"/>
  <c r="H1517" i="14"/>
  <c r="H1516" i="14"/>
  <c r="H1515" i="14"/>
  <c r="H1514" i="14"/>
  <c r="H1513" i="14"/>
  <c r="H1512" i="14"/>
  <c r="H1511" i="14"/>
  <c r="H1510" i="14"/>
  <c r="H1509" i="14"/>
  <c r="H1508" i="14"/>
  <c r="H1507" i="14"/>
  <c r="H1506" i="14"/>
  <c r="H1505" i="14"/>
  <c r="H1504" i="14"/>
  <c r="H1503" i="14"/>
  <c r="H1502" i="14"/>
  <c r="H1501" i="14"/>
  <c r="H1500" i="14"/>
  <c r="H1499" i="14"/>
  <c r="H1498" i="14"/>
  <c r="H1497" i="14"/>
  <c r="H1496" i="14"/>
  <c r="H1495" i="14"/>
  <c r="H1494" i="14"/>
  <c r="H1493" i="14"/>
  <c r="H1492" i="14"/>
  <c r="H1491" i="14"/>
  <c r="H1490" i="14"/>
  <c r="H1489" i="14"/>
  <c r="H1488" i="14"/>
  <c r="H1487" i="14"/>
  <c r="H1486" i="14"/>
  <c r="H1485" i="14"/>
  <c r="H1484" i="14"/>
  <c r="H1483" i="14"/>
  <c r="H1482" i="14"/>
  <c r="H1481" i="14"/>
  <c r="H1480" i="14"/>
  <c r="H1479" i="14"/>
  <c r="H1478" i="14"/>
  <c r="H1477" i="14"/>
  <c r="H1476" i="14"/>
  <c r="H1475" i="14"/>
  <c r="H1474" i="14"/>
  <c r="H1473" i="14"/>
  <c r="H1472" i="14"/>
  <c r="H1471" i="14"/>
  <c r="H1470" i="14"/>
  <c r="H1469" i="14"/>
  <c r="H1468" i="14"/>
  <c r="H1467" i="14"/>
  <c r="H1466" i="14"/>
  <c r="H1465" i="14"/>
  <c r="H1464" i="14"/>
  <c r="H1463" i="14"/>
  <c r="H1462" i="14"/>
  <c r="H1461" i="14"/>
  <c r="H1460" i="14"/>
  <c r="H1459" i="14"/>
  <c r="H1458" i="14"/>
  <c r="H1457" i="14"/>
  <c r="H1456" i="14"/>
  <c r="H1455" i="14"/>
  <c r="H1454" i="14"/>
  <c r="H1453" i="14"/>
  <c r="H1452" i="14"/>
  <c r="H1451" i="14"/>
  <c r="H1450" i="14"/>
  <c r="H1449" i="14"/>
  <c r="H1448" i="14"/>
  <c r="H1447" i="14"/>
  <c r="H1446" i="14"/>
  <c r="H1445" i="14"/>
  <c r="H1444" i="14"/>
  <c r="H1443" i="14"/>
  <c r="H1442" i="14"/>
  <c r="H1441" i="14"/>
  <c r="H1440" i="14"/>
  <c r="H1439" i="14"/>
  <c r="H1438" i="14"/>
  <c r="H1437" i="14"/>
  <c r="H1436" i="14"/>
  <c r="H1435" i="14"/>
  <c r="H1434" i="14"/>
  <c r="H1433" i="14"/>
  <c r="H1432" i="14"/>
  <c r="H1431" i="14"/>
  <c r="H1430" i="14"/>
  <c r="H1429" i="14"/>
  <c r="H1428" i="14"/>
  <c r="H1427" i="14"/>
  <c r="H1426" i="14"/>
  <c r="H1425" i="14"/>
  <c r="H1424" i="14"/>
  <c r="H1423" i="14"/>
  <c r="H1422" i="14"/>
  <c r="H1421" i="14"/>
  <c r="H1420" i="14"/>
  <c r="H1419" i="14"/>
  <c r="H1418" i="14"/>
  <c r="H1417" i="14"/>
  <c r="H1416" i="14"/>
  <c r="H1415" i="14"/>
  <c r="H1414" i="14"/>
  <c r="H1413" i="14"/>
  <c r="H1412" i="14"/>
  <c r="H1411" i="14"/>
  <c r="H1410" i="14"/>
  <c r="H1409" i="14"/>
  <c r="H1408" i="14"/>
  <c r="H1407" i="14"/>
  <c r="H1406" i="14"/>
  <c r="H1405" i="14"/>
  <c r="H1404" i="14"/>
  <c r="H1403" i="14"/>
  <c r="H1402" i="14"/>
  <c r="H1401" i="14"/>
  <c r="H1400" i="14"/>
  <c r="H1399" i="14"/>
  <c r="H1398" i="14"/>
  <c r="H1397" i="14"/>
  <c r="H1396" i="14"/>
  <c r="H1395" i="14"/>
  <c r="H1394" i="14"/>
  <c r="H1393" i="14"/>
  <c r="H1392" i="14"/>
  <c r="H1391" i="14"/>
  <c r="H1390" i="14"/>
  <c r="H1389" i="14"/>
  <c r="H1388" i="14"/>
  <c r="H1387" i="14"/>
  <c r="H1386" i="14"/>
  <c r="H1385" i="14"/>
  <c r="H1384" i="14"/>
  <c r="H1383" i="14"/>
  <c r="H1382" i="14"/>
  <c r="H1381" i="14"/>
  <c r="H1380" i="14"/>
  <c r="H1379" i="14"/>
  <c r="H1378" i="14"/>
  <c r="H1377" i="14"/>
  <c r="H1376" i="14"/>
  <c r="H1375" i="14"/>
  <c r="H1374" i="14"/>
  <c r="H1373" i="14"/>
  <c r="H1372" i="14"/>
  <c r="H1371" i="14"/>
  <c r="H1370" i="14"/>
  <c r="H1369" i="14"/>
  <c r="H1368" i="14"/>
  <c r="H1367" i="14"/>
  <c r="H1366" i="14"/>
  <c r="H1365" i="14"/>
  <c r="H1364" i="14"/>
  <c r="H1363" i="14"/>
  <c r="H1362" i="14"/>
  <c r="H1361" i="14"/>
  <c r="H1360" i="14"/>
  <c r="H1359" i="14"/>
  <c r="H1358" i="14"/>
  <c r="H1357" i="14"/>
  <c r="H1356" i="14"/>
  <c r="H1355" i="14"/>
  <c r="H1354" i="14"/>
  <c r="H1353" i="14"/>
  <c r="H1352" i="14"/>
  <c r="H1351" i="14"/>
  <c r="H1350" i="14"/>
  <c r="H1349" i="14"/>
  <c r="H1348" i="14"/>
  <c r="H1347" i="14"/>
  <c r="H1346" i="14"/>
  <c r="H1345" i="14"/>
  <c r="H1344" i="14"/>
  <c r="H1343" i="14"/>
  <c r="H1342" i="14"/>
  <c r="H1341" i="14"/>
  <c r="H1340" i="14"/>
  <c r="H1339" i="14"/>
  <c r="H1338" i="14"/>
  <c r="H1337" i="14"/>
  <c r="H1336" i="14"/>
  <c r="H1335" i="14"/>
  <c r="H1334" i="14"/>
  <c r="H1333" i="14"/>
  <c r="H1332" i="14"/>
  <c r="H1331" i="14"/>
  <c r="H1330" i="14"/>
  <c r="H1329" i="14"/>
  <c r="H1328" i="14"/>
  <c r="H1327" i="14"/>
  <c r="H1326" i="14"/>
  <c r="H1325" i="14"/>
  <c r="H1324" i="14"/>
  <c r="H1323" i="14"/>
  <c r="H1322" i="14"/>
  <c r="H1321" i="14"/>
  <c r="H1320" i="14"/>
  <c r="H1319" i="14"/>
  <c r="H1318" i="14"/>
  <c r="H1317" i="14"/>
  <c r="H1316" i="14"/>
  <c r="H1315" i="14"/>
  <c r="H1314" i="14"/>
  <c r="H1313" i="14"/>
  <c r="H1312" i="14"/>
  <c r="H1311" i="14"/>
  <c r="H1310" i="14"/>
  <c r="H1309" i="14"/>
  <c r="H1308" i="14"/>
  <c r="H1307" i="14"/>
  <c r="H1306" i="14"/>
  <c r="H1305" i="14"/>
  <c r="H1304" i="14"/>
  <c r="H1303" i="14"/>
  <c r="H1302" i="14"/>
  <c r="H1301" i="14"/>
  <c r="H1300" i="14"/>
  <c r="H1299" i="14"/>
  <c r="H1298" i="14"/>
  <c r="H1297" i="14"/>
  <c r="H1296" i="14"/>
  <c r="H1295" i="14"/>
  <c r="H1294" i="14"/>
  <c r="H1293" i="14"/>
  <c r="H1292" i="14"/>
  <c r="H1291" i="14"/>
  <c r="H1290" i="14"/>
  <c r="H1289" i="14"/>
  <c r="H1288" i="14"/>
  <c r="H1287" i="14"/>
  <c r="H1286" i="14"/>
  <c r="H1285" i="14"/>
  <c r="H1284" i="14"/>
  <c r="H1283" i="14"/>
  <c r="H1282" i="14"/>
  <c r="H1281" i="14"/>
  <c r="H1280" i="14"/>
  <c r="H1279" i="14"/>
  <c r="H1278" i="14"/>
  <c r="H1277" i="14"/>
  <c r="H1276" i="14"/>
  <c r="H1275" i="14"/>
  <c r="H1274" i="14"/>
  <c r="H1273" i="14"/>
  <c r="H1272" i="14"/>
  <c r="H1271" i="14"/>
  <c r="H1270" i="14"/>
  <c r="H1269" i="14"/>
  <c r="H1268" i="14"/>
  <c r="H1267" i="14"/>
  <c r="H1266" i="14"/>
  <c r="H1265" i="14"/>
  <c r="H1264" i="14"/>
  <c r="H1263" i="14"/>
  <c r="H1262" i="14"/>
  <c r="H1261" i="14"/>
  <c r="H1260" i="14"/>
  <c r="H1259" i="14"/>
  <c r="H1258" i="14"/>
  <c r="H1257" i="14"/>
  <c r="H1256" i="14"/>
  <c r="H1255" i="14"/>
  <c r="H1254" i="14"/>
  <c r="H1253" i="14"/>
  <c r="H1252" i="14"/>
  <c r="H1251" i="14"/>
  <c r="H1250" i="14"/>
  <c r="H1249" i="14"/>
  <c r="H1248" i="14"/>
  <c r="H1247" i="14"/>
  <c r="H1246" i="14"/>
  <c r="H1245" i="14"/>
  <c r="H1244" i="14"/>
  <c r="H1243" i="14"/>
  <c r="H1242" i="14"/>
  <c r="H1241" i="14"/>
  <c r="H1240" i="14"/>
  <c r="H1239" i="14"/>
  <c r="H1238" i="14"/>
  <c r="H1237" i="14"/>
  <c r="H1236" i="14"/>
  <c r="H1235" i="14"/>
  <c r="H1234" i="14"/>
  <c r="H1233" i="14"/>
  <c r="H1232" i="14"/>
  <c r="H1231" i="14"/>
  <c r="H1230" i="14"/>
  <c r="H1229" i="14"/>
  <c r="H1228" i="14"/>
  <c r="H1227" i="14"/>
  <c r="H1226" i="14"/>
  <c r="H1225" i="14"/>
  <c r="H1224" i="14"/>
  <c r="H1223" i="14"/>
  <c r="H1222" i="14"/>
  <c r="H1221" i="14"/>
  <c r="H1220" i="14"/>
  <c r="H1219" i="14"/>
  <c r="H1218" i="14"/>
  <c r="H1217" i="14"/>
  <c r="H1216" i="14"/>
  <c r="H1215" i="14"/>
  <c r="H1214" i="14"/>
  <c r="H1213" i="14"/>
  <c r="H1212" i="14"/>
  <c r="H1211" i="14"/>
  <c r="H1210" i="14"/>
  <c r="H1209" i="14"/>
  <c r="H1208" i="14"/>
  <c r="H1207" i="14"/>
  <c r="H1206" i="14"/>
  <c r="H1205" i="14"/>
  <c r="H1204" i="14"/>
  <c r="H1203" i="14"/>
  <c r="H1202" i="14"/>
  <c r="H1201" i="14"/>
  <c r="H1200" i="14"/>
  <c r="H1199" i="14"/>
  <c r="H1198" i="14"/>
  <c r="H1197" i="14"/>
  <c r="H1196" i="14"/>
  <c r="H1195" i="14"/>
  <c r="H1194" i="14"/>
  <c r="H1193" i="14"/>
  <c r="H1192" i="14"/>
  <c r="H1191" i="14"/>
  <c r="H1190" i="14"/>
  <c r="H1189" i="14"/>
  <c r="H1188" i="14"/>
  <c r="H1187" i="14"/>
  <c r="H1186" i="14"/>
  <c r="H1185" i="14"/>
  <c r="H1184" i="14"/>
  <c r="H1183" i="14"/>
  <c r="H1182" i="14"/>
  <c r="H1181" i="14"/>
  <c r="H1180" i="14"/>
  <c r="H1179" i="14"/>
  <c r="H1178" i="14"/>
  <c r="H1177" i="14"/>
  <c r="H1176" i="14"/>
  <c r="H1175" i="14"/>
  <c r="H1174" i="14"/>
  <c r="H1173" i="14"/>
  <c r="H1172" i="14"/>
  <c r="H1171" i="14"/>
  <c r="H1170" i="14"/>
  <c r="H1169" i="14"/>
  <c r="H1168" i="14"/>
  <c r="H1167" i="14"/>
  <c r="H1166" i="14"/>
  <c r="H1165" i="14"/>
  <c r="H1164" i="14"/>
  <c r="H1163" i="14"/>
  <c r="H1162" i="14"/>
  <c r="H1161" i="14"/>
  <c r="H1160" i="14"/>
  <c r="H1159" i="14"/>
  <c r="H1158" i="14"/>
  <c r="H1157" i="14"/>
  <c r="H1156" i="14"/>
  <c r="H1155" i="14"/>
  <c r="H1154" i="14"/>
  <c r="H1153" i="14"/>
  <c r="H1152" i="14"/>
  <c r="H1151" i="14"/>
  <c r="H1150" i="14"/>
  <c r="H1149" i="14"/>
  <c r="H1148" i="14"/>
  <c r="H1147" i="14"/>
  <c r="H1146" i="14"/>
  <c r="H1145" i="14"/>
  <c r="H1144" i="14"/>
  <c r="H1143" i="14"/>
  <c r="H1142" i="14"/>
  <c r="H1141" i="14"/>
  <c r="H1140" i="14"/>
  <c r="H1139" i="14"/>
  <c r="H1138" i="14"/>
  <c r="H1137" i="14"/>
  <c r="H1136" i="14"/>
  <c r="H1135" i="14"/>
  <c r="H1134" i="14"/>
  <c r="H1133" i="14"/>
  <c r="H1132" i="14"/>
  <c r="H1131" i="14"/>
  <c r="H1130" i="14"/>
  <c r="H1129" i="14"/>
  <c r="H1128" i="14"/>
  <c r="H1127" i="14"/>
  <c r="H1126" i="14"/>
  <c r="H1125" i="14"/>
  <c r="H1124" i="14"/>
  <c r="H1123" i="14"/>
  <c r="H1122" i="14"/>
  <c r="H1121" i="14"/>
  <c r="H1120" i="14"/>
  <c r="H1119" i="14"/>
  <c r="H1118" i="14"/>
  <c r="H1117" i="14"/>
  <c r="H1116" i="14"/>
  <c r="H1115" i="14"/>
  <c r="H1114" i="14"/>
  <c r="H1113" i="14"/>
  <c r="H1112" i="14"/>
  <c r="H1111" i="14"/>
  <c r="H1110" i="14"/>
  <c r="H1109" i="14"/>
  <c r="H1108" i="14"/>
  <c r="H1107" i="14"/>
  <c r="H1106" i="14"/>
  <c r="H1105" i="14"/>
  <c r="H1104" i="14"/>
  <c r="H1103" i="14"/>
  <c r="H1102" i="14"/>
  <c r="H1101" i="14"/>
  <c r="H1100" i="14"/>
  <c r="H1099" i="14"/>
  <c r="H1098" i="14"/>
  <c r="H1097" i="14"/>
  <c r="H1096" i="14"/>
  <c r="H1095" i="14"/>
  <c r="H1094" i="14"/>
  <c r="H1093" i="14"/>
  <c r="H1092" i="14"/>
  <c r="H1091" i="14"/>
  <c r="H1090" i="14"/>
  <c r="H1089" i="14"/>
  <c r="H1088" i="14"/>
  <c r="H1087" i="14"/>
  <c r="H1086" i="14"/>
  <c r="H1085" i="14"/>
  <c r="H1084" i="14"/>
  <c r="H1083" i="14"/>
  <c r="H1082" i="14"/>
  <c r="H1081" i="14"/>
  <c r="H1080" i="14"/>
  <c r="H1079" i="14"/>
  <c r="H1078" i="14"/>
  <c r="H1077" i="14"/>
  <c r="H1076" i="14"/>
  <c r="H1075" i="14"/>
  <c r="H1074" i="14"/>
  <c r="H1073" i="14"/>
  <c r="H1072" i="14"/>
  <c r="H1071" i="14"/>
  <c r="H1070" i="14"/>
  <c r="H1069" i="14"/>
  <c r="H1068" i="14"/>
  <c r="H1067" i="14"/>
  <c r="H1066" i="14"/>
  <c r="H1065" i="14"/>
  <c r="H1064" i="14"/>
  <c r="H1063" i="14"/>
  <c r="H1062" i="14"/>
  <c r="H1061" i="14"/>
  <c r="H1060" i="14"/>
  <c r="H1059" i="14"/>
  <c r="H1058" i="14"/>
  <c r="H1057" i="14"/>
  <c r="H1056" i="14"/>
  <c r="H1055" i="14"/>
  <c r="H1054" i="14"/>
  <c r="H1053" i="14"/>
  <c r="H1052" i="14"/>
  <c r="H1051" i="14"/>
  <c r="H1050" i="14"/>
  <c r="H1049" i="14"/>
  <c r="H1048" i="14"/>
  <c r="H1047" i="14"/>
  <c r="H1046" i="14"/>
  <c r="H1045" i="14"/>
  <c r="H1044" i="14"/>
  <c r="H1043" i="14"/>
  <c r="H1042" i="14"/>
  <c r="H1041" i="14"/>
  <c r="H1040" i="14"/>
  <c r="H1039" i="14"/>
  <c r="H1038" i="14"/>
  <c r="H1037" i="14"/>
  <c r="H1036" i="14"/>
  <c r="H1035" i="14"/>
  <c r="H1034" i="14"/>
  <c r="H1033" i="14"/>
  <c r="H1032" i="14"/>
  <c r="H1031" i="14"/>
  <c r="H1030" i="14"/>
  <c r="H1029" i="14"/>
  <c r="H1028" i="14"/>
  <c r="H1027" i="14"/>
  <c r="H1026" i="14"/>
  <c r="H1025" i="14"/>
  <c r="H1024" i="14"/>
  <c r="H1023" i="14"/>
  <c r="H1022" i="14"/>
  <c r="H1021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H1001" i="14"/>
  <c r="H1000" i="14"/>
  <c r="H999" i="14"/>
  <c r="H998" i="14"/>
  <c r="H997" i="14"/>
  <c r="H996" i="14"/>
  <c r="H995" i="14"/>
  <c r="H994" i="14"/>
  <c r="H993" i="14"/>
  <c r="H992" i="14"/>
  <c r="H991" i="14"/>
  <c r="H990" i="14"/>
  <c r="H989" i="14"/>
  <c r="H988" i="14"/>
  <c r="H987" i="14"/>
  <c r="H986" i="14"/>
  <c r="H985" i="14"/>
  <c r="H984" i="14"/>
  <c r="H983" i="14"/>
  <c r="H982" i="14"/>
  <c r="H981" i="14"/>
  <c r="H980" i="14"/>
  <c r="H979" i="14"/>
  <c r="H978" i="14"/>
  <c r="H977" i="14"/>
  <c r="H976" i="14"/>
  <c r="H975" i="14"/>
  <c r="H974" i="14"/>
  <c r="H973" i="14"/>
  <c r="H972" i="14"/>
  <c r="H971" i="14"/>
  <c r="H970" i="14"/>
  <c r="H969" i="14"/>
  <c r="H968" i="14"/>
  <c r="H967" i="14"/>
  <c r="H966" i="14"/>
  <c r="H965" i="14"/>
  <c r="H964" i="14"/>
  <c r="H963" i="14"/>
  <c r="H962" i="14"/>
  <c r="H961" i="14"/>
  <c r="H960" i="14"/>
  <c r="H959" i="14"/>
  <c r="H958" i="14"/>
  <c r="H957" i="14"/>
  <c r="H956" i="14"/>
  <c r="H955" i="14"/>
  <c r="H954" i="14"/>
  <c r="H953" i="14"/>
  <c r="H952" i="14"/>
  <c r="H951" i="14"/>
  <c r="H950" i="14"/>
  <c r="H949" i="14"/>
  <c r="H948" i="14"/>
  <c r="H947" i="14"/>
  <c r="H946" i="14"/>
  <c r="H945" i="14"/>
  <c r="G945" i="14"/>
  <c r="H944" i="14"/>
  <c r="G944" i="14"/>
  <c r="H943" i="14"/>
  <c r="G943" i="14"/>
  <c r="H942" i="14"/>
  <c r="G942" i="14"/>
  <c r="H941" i="14"/>
  <c r="G941" i="14"/>
  <c r="H940" i="14"/>
  <c r="G940" i="14"/>
  <c r="H939" i="14"/>
  <c r="G939" i="14"/>
  <c r="H938" i="14"/>
  <c r="G938" i="14"/>
  <c r="H937" i="14"/>
  <c r="G937" i="14"/>
  <c r="H936" i="14"/>
  <c r="G936" i="14"/>
  <c r="H935" i="14"/>
  <c r="G935" i="14"/>
  <c r="H934" i="14"/>
  <c r="G934" i="14"/>
  <c r="H933" i="14"/>
  <c r="G933" i="14"/>
  <c r="H932" i="14"/>
  <c r="G932" i="14"/>
  <c r="H931" i="14"/>
  <c r="G931" i="14"/>
  <c r="H930" i="14"/>
  <c r="G930" i="14"/>
  <c r="H929" i="14"/>
  <c r="G929" i="14"/>
  <c r="H928" i="14"/>
  <c r="G928" i="14"/>
  <c r="H927" i="14"/>
  <c r="G927" i="14"/>
  <c r="H926" i="14"/>
  <c r="G926" i="14"/>
  <c r="H925" i="14"/>
  <c r="G925" i="14"/>
  <c r="H924" i="14"/>
  <c r="G924" i="14"/>
  <c r="H923" i="14"/>
  <c r="G923" i="14"/>
  <c r="H922" i="14"/>
  <c r="G922" i="14"/>
  <c r="H921" i="14"/>
  <c r="G921" i="14"/>
  <c r="H920" i="14"/>
  <c r="G920" i="14"/>
  <c r="H919" i="14"/>
  <c r="G919" i="14"/>
  <c r="H918" i="14"/>
  <c r="G918" i="14"/>
  <c r="H917" i="14"/>
  <c r="G917" i="14"/>
  <c r="H916" i="14"/>
  <c r="G916" i="14"/>
  <c r="H915" i="14"/>
  <c r="G915" i="14"/>
  <c r="H914" i="14"/>
  <c r="G914" i="14"/>
  <c r="H913" i="14"/>
  <c r="G913" i="14"/>
  <c r="H912" i="14"/>
  <c r="G912" i="14"/>
  <c r="H911" i="14"/>
  <c r="G911" i="14"/>
  <c r="H910" i="14"/>
  <c r="G910" i="14"/>
  <c r="H909" i="14"/>
  <c r="G909" i="14"/>
  <c r="H908" i="14"/>
  <c r="G908" i="14"/>
  <c r="H907" i="14"/>
  <c r="G907" i="14"/>
  <c r="H906" i="14"/>
  <c r="G906" i="14"/>
  <c r="H905" i="14"/>
  <c r="G905" i="14"/>
  <c r="H904" i="14"/>
  <c r="G904" i="14"/>
  <c r="H903" i="14"/>
  <c r="G903" i="14"/>
  <c r="H902" i="14"/>
  <c r="G902" i="14"/>
  <c r="H901" i="14"/>
  <c r="G901" i="14"/>
  <c r="H900" i="14"/>
  <c r="G900" i="14"/>
  <c r="H899" i="14"/>
  <c r="G899" i="14"/>
  <c r="H898" i="14"/>
  <c r="G898" i="14"/>
  <c r="H897" i="14"/>
  <c r="G897" i="14"/>
  <c r="H896" i="14"/>
  <c r="G896" i="14"/>
  <c r="H895" i="14"/>
  <c r="G895" i="14"/>
  <c r="H894" i="14"/>
  <c r="G894" i="14"/>
  <c r="H893" i="14"/>
  <c r="G893" i="14"/>
  <c r="H892" i="14"/>
  <c r="G892" i="14"/>
  <c r="H891" i="14"/>
  <c r="G891" i="14"/>
  <c r="H890" i="14"/>
  <c r="G890" i="14"/>
  <c r="H889" i="14"/>
  <c r="G889" i="14"/>
  <c r="H888" i="14"/>
  <c r="G888" i="14"/>
  <c r="H887" i="14"/>
  <c r="G887" i="14"/>
  <c r="H886" i="14"/>
  <c r="G886" i="14"/>
  <c r="H885" i="14"/>
  <c r="G885" i="14"/>
  <c r="H884" i="14"/>
  <c r="G884" i="14"/>
  <c r="H883" i="14"/>
  <c r="G883" i="14"/>
  <c r="H882" i="14"/>
  <c r="G882" i="14"/>
  <c r="H881" i="14"/>
  <c r="G881" i="14"/>
  <c r="H880" i="14"/>
  <c r="G880" i="14"/>
  <c r="H879" i="14"/>
  <c r="G879" i="14"/>
  <c r="H878" i="14"/>
  <c r="G878" i="14"/>
  <c r="H877" i="14"/>
  <c r="G877" i="14"/>
  <c r="H876" i="14"/>
  <c r="G876" i="14"/>
  <c r="H875" i="14"/>
  <c r="G875" i="14"/>
  <c r="H874" i="14"/>
  <c r="G874" i="14"/>
  <c r="H873" i="14"/>
  <c r="G873" i="14"/>
  <c r="H872" i="14"/>
  <c r="G872" i="14"/>
  <c r="H871" i="14"/>
  <c r="G871" i="14"/>
  <c r="H870" i="14"/>
  <c r="G870" i="14"/>
  <c r="H869" i="14"/>
  <c r="G869" i="14"/>
  <c r="H868" i="14"/>
  <c r="G868" i="14"/>
  <c r="H867" i="14"/>
  <c r="G867" i="14"/>
  <c r="H866" i="14"/>
  <c r="G866" i="14"/>
  <c r="H865" i="14"/>
  <c r="G865" i="14"/>
  <c r="H864" i="14"/>
  <c r="G864" i="14"/>
  <c r="H863" i="14"/>
  <c r="G863" i="14"/>
  <c r="H862" i="14"/>
  <c r="G862" i="14"/>
  <c r="H861" i="14"/>
  <c r="G861" i="14"/>
  <c r="H860" i="14"/>
  <c r="G860" i="14"/>
  <c r="H859" i="14"/>
  <c r="G859" i="14"/>
  <c r="H858" i="14"/>
  <c r="G858" i="14"/>
  <c r="H857" i="14"/>
  <c r="G857" i="14"/>
  <c r="H856" i="14"/>
  <c r="G856" i="14"/>
  <c r="H855" i="14"/>
  <c r="G855" i="14"/>
  <c r="H854" i="14"/>
  <c r="G854" i="14"/>
  <c r="H853" i="14"/>
  <c r="G853" i="14"/>
  <c r="H852" i="14"/>
  <c r="G852" i="14"/>
  <c r="H851" i="14"/>
  <c r="G851" i="14"/>
  <c r="H850" i="14"/>
  <c r="G850" i="14"/>
  <c r="H849" i="14"/>
  <c r="G849" i="14"/>
  <c r="H848" i="14"/>
  <c r="G848" i="14"/>
  <c r="H847" i="14"/>
  <c r="G847" i="14"/>
  <c r="H846" i="14"/>
  <c r="G846" i="14"/>
  <c r="H845" i="14"/>
  <c r="G845" i="14"/>
  <c r="H844" i="14"/>
  <c r="G844" i="14"/>
  <c r="H843" i="14"/>
  <c r="G843" i="14"/>
  <c r="H842" i="14"/>
  <c r="G842" i="14"/>
  <c r="H841" i="14"/>
  <c r="G841" i="14"/>
  <c r="H840" i="14"/>
  <c r="G840" i="14"/>
  <c r="H839" i="14"/>
  <c r="G839" i="14"/>
  <c r="H838" i="14"/>
  <c r="G838" i="14"/>
  <c r="H837" i="14"/>
  <c r="G837" i="14"/>
  <c r="H836" i="14"/>
  <c r="G836" i="14"/>
  <c r="H835" i="14"/>
  <c r="G835" i="14"/>
  <c r="H834" i="14"/>
  <c r="G834" i="14"/>
  <c r="H833" i="14"/>
  <c r="G833" i="14"/>
  <c r="H832" i="14"/>
  <c r="G832" i="14"/>
  <c r="H831" i="14"/>
  <c r="G831" i="14"/>
  <c r="H830" i="14"/>
  <c r="G830" i="14"/>
  <c r="H829" i="14"/>
  <c r="G829" i="14"/>
  <c r="H828" i="14"/>
  <c r="G828" i="14"/>
  <c r="H827" i="14"/>
  <c r="G827" i="14"/>
  <c r="H826" i="14"/>
  <c r="G826" i="14"/>
  <c r="H825" i="14"/>
  <c r="G825" i="14"/>
  <c r="H824" i="14"/>
  <c r="G824" i="14"/>
  <c r="H823" i="14"/>
  <c r="G823" i="14"/>
  <c r="H822" i="14"/>
  <c r="G822" i="14"/>
  <c r="H821" i="14"/>
  <c r="G821" i="14"/>
  <c r="H820" i="14"/>
  <c r="G820" i="14"/>
  <c r="H819" i="14"/>
  <c r="G819" i="14"/>
  <c r="H818" i="14"/>
  <c r="G818" i="14"/>
  <c r="H817" i="14"/>
  <c r="G817" i="14"/>
  <c r="H816" i="14"/>
  <c r="G816" i="14"/>
  <c r="H815" i="14"/>
  <c r="G815" i="14"/>
  <c r="H814" i="14"/>
  <c r="G814" i="14"/>
  <c r="H813" i="14"/>
  <c r="G813" i="14"/>
  <c r="H812" i="14"/>
  <c r="G812" i="14"/>
  <c r="H811" i="14"/>
  <c r="G811" i="14"/>
  <c r="H810" i="14"/>
  <c r="G810" i="14"/>
  <c r="H809" i="14"/>
  <c r="G809" i="14"/>
  <c r="H808" i="14"/>
  <c r="G808" i="14"/>
  <c r="H807" i="14"/>
  <c r="G807" i="14"/>
  <c r="H806" i="14"/>
  <c r="G806" i="14"/>
  <c r="H805" i="14"/>
  <c r="G805" i="14"/>
  <c r="H804" i="14"/>
  <c r="G804" i="14"/>
  <c r="H803" i="14"/>
  <c r="G803" i="14"/>
  <c r="H802" i="14"/>
  <c r="G802" i="14"/>
  <c r="H801" i="14"/>
  <c r="G801" i="14"/>
  <c r="H800" i="14"/>
  <c r="G800" i="14"/>
  <c r="H799" i="14"/>
  <c r="G799" i="14"/>
  <c r="H798" i="14"/>
  <c r="G798" i="14"/>
  <c r="H797" i="14"/>
  <c r="G797" i="14"/>
  <c r="H796" i="14"/>
  <c r="G796" i="14"/>
  <c r="H795" i="14"/>
  <c r="G795" i="14"/>
  <c r="H794" i="14"/>
  <c r="G794" i="14"/>
  <c r="H793" i="14"/>
  <c r="G793" i="14"/>
  <c r="H792" i="14"/>
  <c r="G792" i="14"/>
  <c r="H791" i="14"/>
  <c r="G791" i="14"/>
  <c r="H790" i="14"/>
  <c r="G790" i="14"/>
  <c r="H789" i="14"/>
  <c r="G789" i="14"/>
  <c r="H788" i="14"/>
  <c r="G788" i="14"/>
  <c r="H787" i="14"/>
  <c r="G787" i="14"/>
  <c r="H786" i="14"/>
  <c r="G786" i="14"/>
  <c r="H785" i="14"/>
  <c r="G785" i="14"/>
  <c r="H784" i="14"/>
  <c r="G784" i="14"/>
  <c r="H783" i="14"/>
  <c r="G783" i="14"/>
  <c r="H782" i="14"/>
  <c r="G782" i="14"/>
  <c r="H781" i="14"/>
  <c r="G781" i="14"/>
  <c r="H780" i="14"/>
  <c r="G780" i="14"/>
  <c r="H779" i="14"/>
  <c r="G779" i="14"/>
  <c r="H778" i="14"/>
  <c r="G778" i="14"/>
  <c r="H777" i="14"/>
  <c r="G777" i="14"/>
  <c r="H776" i="14"/>
  <c r="G776" i="14"/>
  <c r="H775" i="14"/>
  <c r="G775" i="14"/>
  <c r="H774" i="14"/>
  <c r="G774" i="14"/>
  <c r="H773" i="14"/>
  <c r="G773" i="14"/>
  <c r="H772" i="14"/>
  <c r="G772" i="14"/>
  <c r="H771" i="14"/>
  <c r="G771" i="14"/>
  <c r="H770" i="14"/>
  <c r="G770" i="14"/>
  <c r="H769" i="14"/>
  <c r="G769" i="14"/>
  <c r="H768" i="14"/>
  <c r="G768" i="14"/>
  <c r="H767" i="14"/>
  <c r="G767" i="14"/>
  <c r="H766" i="14"/>
  <c r="G766" i="14"/>
  <c r="H765" i="14"/>
  <c r="G765" i="14"/>
  <c r="H764" i="14"/>
  <c r="G764" i="14"/>
  <c r="H763" i="14"/>
  <c r="G763" i="14"/>
  <c r="H762" i="14"/>
  <c r="G762" i="14"/>
  <c r="H761" i="14"/>
  <c r="G761" i="14"/>
  <c r="H760" i="14"/>
  <c r="G760" i="14"/>
  <c r="H759" i="14"/>
  <c r="G759" i="14"/>
  <c r="H758" i="14"/>
  <c r="G758" i="14"/>
  <c r="H757" i="14"/>
  <c r="G757" i="14"/>
  <c r="H756" i="14"/>
  <c r="G756" i="14"/>
  <c r="H755" i="14"/>
  <c r="G755" i="14"/>
  <c r="H754" i="14"/>
  <c r="G754" i="14"/>
  <c r="H753" i="14"/>
  <c r="G753" i="14"/>
  <c r="H752" i="14"/>
  <c r="G752" i="14"/>
  <c r="H751" i="14"/>
  <c r="G751" i="14"/>
  <c r="H750" i="14"/>
  <c r="G750" i="14"/>
  <c r="H749" i="14"/>
  <c r="G749" i="14"/>
  <c r="H748" i="14"/>
  <c r="G748" i="14"/>
  <c r="H747" i="14"/>
  <c r="G747" i="14"/>
  <c r="H746" i="14"/>
  <c r="G746" i="14"/>
  <c r="H745" i="14"/>
  <c r="G745" i="14"/>
  <c r="H744" i="14"/>
  <c r="G744" i="14"/>
  <c r="H743" i="14"/>
  <c r="G743" i="14"/>
  <c r="H742" i="14"/>
  <c r="G742" i="14"/>
  <c r="H741" i="14"/>
  <c r="G741" i="14"/>
  <c r="H740" i="14"/>
  <c r="G740" i="14"/>
  <c r="H739" i="14"/>
  <c r="G739" i="14"/>
  <c r="H738" i="14"/>
  <c r="G738" i="14"/>
  <c r="H737" i="14"/>
  <c r="G737" i="14"/>
  <c r="H736" i="14"/>
  <c r="G736" i="14"/>
  <c r="H735" i="14"/>
  <c r="G735" i="14"/>
  <c r="H734" i="14"/>
  <c r="G734" i="14"/>
  <c r="H733" i="14"/>
  <c r="G733" i="14"/>
  <c r="H732" i="14"/>
  <c r="G732" i="14"/>
  <c r="H731" i="14"/>
  <c r="G731" i="14"/>
  <c r="H730" i="14"/>
  <c r="G730" i="14"/>
  <c r="H729" i="14"/>
  <c r="G729" i="14"/>
  <c r="H728" i="14"/>
  <c r="G728" i="14"/>
  <c r="H727" i="14"/>
  <c r="G727" i="14"/>
  <c r="H726" i="14"/>
  <c r="G726" i="14"/>
  <c r="H725" i="14"/>
  <c r="G725" i="14"/>
  <c r="H724" i="14"/>
  <c r="G724" i="14"/>
  <c r="H723" i="14"/>
  <c r="G723" i="14"/>
  <c r="H722" i="14"/>
  <c r="G722" i="14"/>
  <c r="H721" i="14"/>
  <c r="G721" i="14"/>
  <c r="H720" i="14"/>
  <c r="G720" i="14"/>
  <c r="H719" i="14"/>
  <c r="G719" i="14"/>
  <c r="H718" i="14"/>
  <c r="G718" i="14"/>
  <c r="H717" i="14"/>
  <c r="G717" i="14"/>
  <c r="H716" i="14"/>
  <c r="G716" i="14"/>
  <c r="H715" i="14"/>
  <c r="G715" i="14"/>
  <c r="H714" i="14"/>
  <c r="G714" i="14"/>
  <c r="H713" i="14"/>
  <c r="G713" i="14"/>
  <c r="H712" i="14"/>
  <c r="G712" i="14"/>
  <c r="H711" i="14"/>
  <c r="G711" i="14"/>
  <c r="H710" i="14"/>
  <c r="G710" i="14"/>
  <c r="H709" i="14"/>
  <c r="G709" i="14"/>
  <c r="H708" i="14"/>
  <c r="G708" i="14"/>
  <c r="H707" i="14"/>
  <c r="G707" i="14"/>
  <c r="H706" i="14"/>
  <c r="G706" i="14"/>
  <c r="H705" i="14"/>
  <c r="G705" i="14"/>
  <c r="H704" i="14"/>
  <c r="G704" i="14"/>
  <c r="H703" i="14"/>
  <c r="G703" i="14"/>
  <c r="H702" i="14"/>
  <c r="G702" i="14"/>
  <c r="H701" i="14"/>
  <c r="G701" i="14"/>
  <c r="H700" i="14"/>
  <c r="G700" i="14"/>
  <c r="H699" i="14"/>
  <c r="G699" i="14"/>
  <c r="H698" i="14"/>
  <c r="G698" i="14"/>
  <c r="H697" i="14"/>
  <c r="G697" i="14"/>
  <c r="H696" i="14"/>
  <c r="G696" i="14"/>
  <c r="H695" i="14"/>
  <c r="G695" i="14"/>
  <c r="H694" i="14"/>
  <c r="G694" i="14"/>
  <c r="H693" i="14"/>
  <c r="G693" i="14"/>
  <c r="H692" i="14"/>
  <c r="G692" i="14"/>
  <c r="H691" i="14"/>
  <c r="G691" i="14"/>
  <c r="H690" i="14"/>
  <c r="G690" i="14"/>
  <c r="H689" i="14"/>
  <c r="G689" i="14"/>
  <c r="H688" i="14"/>
  <c r="G688" i="14"/>
  <c r="H687" i="14"/>
  <c r="G687" i="14"/>
  <c r="H686" i="14"/>
  <c r="G686" i="14"/>
  <c r="H685" i="14"/>
  <c r="G685" i="14"/>
  <c r="H684" i="14"/>
  <c r="G684" i="14"/>
  <c r="H683" i="14"/>
  <c r="G683" i="14"/>
  <c r="H682" i="14"/>
  <c r="G682" i="14"/>
  <c r="H681" i="14"/>
  <c r="G681" i="14"/>
  <c r="H680" i="14"/>
  <c r="G680" i="14"/>
  <c r="H679" i="14"/>
  <c r="G679" i="14"/>
  <c r="H678" i="14"/>
  <c r="G678" i="14"/>
  <c r="H677" i="14"/>
  <c r="G677" i="14"/>
  <c r="H676" i="14"/>
  <c r="G676" i="14"/>
  <c r="H675" i="14"/>
  <c r="G675" i="14"/>
  <c r="H674" i="14"/>
  <c r="G674" i="14"/>
  <c r="H673" i="14"/>
  <c r="G673" i="14"/>
  <c r="H672" i="14"/>
  <c r="G672" i="14"/>
  <c r="H671" i="14"/>
  <c r="G671" i="14"/>
  <c r="H670" i="14"/>
  <c r="G670" i="14"/>
  <c r="H669" i="14"/>
  <c r="G669" i="14"/>
  <c r="H668" i="14"/>
  <c r="G668" i="14"/>
  <c r="H667" i="14"/>
  <c r="G667" i="14"/>
  <c r="H666" i="14"/>
  <c r="G666" i="14"/>
  <c r="H665" i="14"/>
  <c r="G665" i="14"/>
  <c r="H664" i="14"/>
  <c r="G664" i="14"/>
  <c r="H663" i="14"/>
  <c r="G663" i="14"/>
  <c r="H662" i="14"/>
  <c r="G662" i="14"/>
  <c r="H661" i="14"/>
  <c r="G661" i="14"/>
  <c r="H660" i="14"/>
  <c r="G660" i="14"/>
  <c r="H659" i="14"/>
  <c r="G659" i="14"/>
  <c r="H658" i="14"/>
  <c r="G658" i="14"/>
  <c r="H657" i="14"/>
  <c r="G657" i="14"/>
  <c r="H656" i="14"/>
  <c r="G656" i="14"/>
  <c r="H655" i="14"/>
  <c r="G655" i="14"/>
  <c r="H654" i="14"/>
  <c r="G654" i="14"/>
  <c r="H653" i="14"/>
  <c r="G653" i="14"/>
  <c r="H652" i="14"/>
  <c r="G652" i="14"/>
  <c r="H651" i="14"/>
  <c r="G651" i="14"/>
  <c r="H650" i="14"/>
  <c r="G650" i="14"/>
  <c r="H649" i="14"/>
  <c r="G649" i="14"/>
  <c r="H648" i="14"/>
  <c r="G648" i="14"/>
  <c r="H647" i="14"/>
  <c r="G647" i="14"/>
  <c r="H646" i="14"/>
  <c r="G646" i="14"/>
  <c r="H645" i="14"/>
  <c r="G645" i="14"/>
  <c r="H644" i="14"/>
  <c r="G644" i="14"/>
  <c r="H643" i="14"/>
  <c r="G643" i="14"/>
  <c r="H642" i="14"/>
  <c r="G642" i="14"/>
  <c r="H641" i="14"/>
  <c r="G641" i="14"/>
  <c r="H640" i="14"/>
  <c r="G640" i="14"/>
  <c r="H639" i="14"/>
  <c r="G639" i="14"/>
  <c r="H638" i="14"/>
  <c r="G638" i="14"/>
  <c r="H637" i="14"/>
  <c r="G637" i="14"/>
  <c r="H636" i="14"/>
  <c r="G636" i="14"/>
  <c r="H635" i="14"/>
  <c r="G635" i="14"/>
  <c r="H634" i="14"/>
  <c r="G634" i="14"/>
  <c r="H633" i="14"/>
  <c r="G633" i="14"/>
  <c r="H632" i="14"/>
  <c r="G632" i="14"/>
  <c r="H631" i="14"/>
  <c r="G631" i="14"/>
  <c r="H630" i="14"/>
  <c r="G630" i="14"/>
  <c r="H629" i="14"/>
  <c r="G629" i="14"/>
  <c r="H628" i="14"/>
  <c r="G628" i="14"/>
  <c r="H627" i="14"/>
  <c r="G627" i="14"/>
  <c r="H626" i="14"/>
  <c r="G626" i="14"/>
  <c r="H625" i="14"/>
  <c r="G625" i="14"/>
  <c r="H624" i="14"/>
  <c r="G624" i="14"/>
  <c r="H623" i="14"/>
  <c r="G623" i="14"/>
  <c r="H622" i="14"/>
  <c r="G622" i="14"/>
  <c r="H621" i="14"/>
  <c r="G621" i="14"/>
  <c r="H620" i="14"/>
  <c r="G620" i="14"/>
  <c r="H619" i="14"/>
  <c r="G619" i="14"/>
  <c r="H618" i="14"/>
  <c r="G618" i="14"/>
  <c r="H617" i="14"/>
  <c r="G617" i="14"/>
  <c r="H616" i="14"/>
  <c r="G616" i="14"/>
  <c r="H615" i="14"/>
  <c r="G615" i="14"/>
  <c r="H614" i="14"/>
  <c r="G614" i="14"/>
  <c r="H613" i="14"/>
  <c r="G613" i="14"/>
  <c r="H612" i="14"/>
  <c r="G612" i="14"/>
  <c r="H611" i="14"/>
  <c r="G611" i="14"/>
  <c r="H610" i="14"/>
  <c r="G610" i="14"/>
  <c r="H609" i="14"/>
  <c r="G609" i="14"/>
  <c r="H608" i="14"/>
  <c r="G608" i="14"/>
  <c r="H607" i="14"/>
  <c r="G607" i="14"/>
  <c r="H606" i="14"/>
  <c r="G606" i="14"/>
  <c r="H605" i="14"/>
  <c r="G605" i="14"/>
  <c r="H604" i="14"/>
  <c r="G604" i="14"/>
  <c r="H603" i="14"/>
  <c r="G603" i="14"/>
  <c r="H602" i="14"/>
  <c r="G602" i="14"/>
  <c r="H601" i="14"/>
  <c r="G601" i="14"/>
  <c r="H600" i="14"/>
  <c r="G600" i="14"/>
  <c r="H599" i="14"/>
  <c r="G599" i="14"/>
  <c r="H598" i="14"/>
  <c r="G598" i="14"/>
  <c r="H597" i="14"/>
  <c r="G597" i="14"/>
  <c r="H596" i="14"/>
  <c r="G596" i="14"/>
  <c r="H595" i="14"/>
  <c r="G595" i="14"/>
  <c r="H594" i="14"/>
  <c r="G594" i="14"/>
  <c r="H593" i="14"/>
  <c r="G593" i="14"/>
  <c r="H592" i="14"/>
  <c r="G592" i="14"/>
  <c r="H591" i="14"/>
  <c r="G591" i="14"/>
  <c r="H590" i="14"/>
  <c r="G590" i="14"/>
  <c r="H589" i="14"/>
  <c r="G589" i="14"/>
  <c r="H588" i="14"/>
  <c r="G588" i="14"/>
  <c r="H587" i="14"/>
  <c r="G587" i="14"/>
  <c r="H586" i="14"/>
  <c r="G586" i="14"/>
  <c r="H585" i="14"/>
  <c r="G585" i="14"/>
  <c r="H584" i="14"/>
  <c r="G584" i="14"/>
  <c r="H583" i="14"/>
  <c r="G583" i="14"/>
  <c r="H582" i="14"/>
  <c r="G582" i="14"/>
  <c r="H581" i="14"/>
  <c r="G581" i="14"/>
  <c r="H580" i="14"/>
  <c r="G580" i="14"/>
  <c r="H579" i="14"/>
  <c r="G579" i="14"/>
  <c r="H578" i="14"/>
  <c r="G578" i="14"/>
  <c r="H577" i="14"/>
  <c r="G577" i="14"/>
  <c r="H576" i="14"/>
  <c r="G576" i="14"/>
  <c r="H575" i="14"/>
  <c r="G575" i="14"/>
  <c r="H574" i="14"/>
  <c r="G574" i="14"/>
  <c r="H573" i="14"/>
  <c r="G573" i="14"/>
  <c r="H572" i="14"/>
  <c r="G572" i="14"/>
  <c r="H571" i="14"/>
  <c r="G571" i="14"/>
  <c r="H570" i="14"/>
  <c r="G570" i="14"/>
  <c r="H569" i="14"/>
  <c r="G569" i="14"/>
  <c r="H568" i="14"/>
  <c r="G568" i="14"/>
  <c r="H567" i="14"/>
  <c r="G567" i="14"/>
  <c r="H566" i="14"/>
  <c r="G566" i="14"/>
  <c r="H565" i="14"/>
  <c r="G565" i="14"/>
  <c r="H564" i="14"/>
  <c r="G564" i="14"/>
  <c r="H563" i="14"/>
  <c r="G563" i="14"/>
  <c r="H562" i="14"/>
  <c r="G562" i="14"/>
  <c r="H561" i="14"/>
  <c r="G561" i="14"/>
  <c r="H560" i="14"/>
  <c r="G560" i="14"/>
  <c r="H559" i="14"/>
  <c r="G559" i="14"/>
  <c r="H558" i="14"/>
  <c r="G558" i="14"/>
  <c r="H557" i="14"/>
  <c r="G557" i="14"/>
  <c r="H556" i="14"/>
  <c r="G556" i="14"/>
  <c r="H555" i="14"/>
  <c r="G555" i="14"/>
  <c r="H554" i="14"/>
  <c r="G554" i="14"/>
  <c r="H553" i="14"/>
  <c r="G553" i="14"/>
  <c r="H552" i="14"/>
  <c r="G552" i="14"/>
  <c r="H551" i="14"/>
  <c r="G551" i="14"/>
  <c r="H550" i="14"/>
  <c r="G550" i="14"/>
  <c r="H549" i="14"/>
  <c r="G549" i="14"/>
  <c r="H548" i="14"/>
  <c r="G548" i="14"/>
  <c r="H547" i="14"/>
  <c r="G547" i="14"/>
  <c r="H546" i="14"/>
  <c r="G546" i="14"/>
  <c r="H545" i="14"/>
  <c r="G545" i="14"/>
  <c r="H544" i="14"/>
  <c r="G544" i="14"/>
  <c r="H543" i="14"/>
  <c r="G543" i="14"/>
  <c r="H542" i="14"/>
  <c r="G542" i="14"/>
  <c r="H541" i="14"/>
  <c r="G541" i="14"/>
  <c r="H540" i="14"/>
  <c r="G540" i="14"/>
  <c r="H539" i="14"/>
  <c r="G539" i="14"/>
  <c r="H538" i="14"/>
  <c r="G538" i="14"/>
  <c r="H537" i="14"/>
  <c r="G537" i="14"/>
  <c r="H536" i="14"/>
  <c r="G536" i="14"/>
  <c r="H535" i="14"/>
  <c r="G535" i="14"/>
  <c r="H534" i="14"/>
  <c r="G534" i="14"/>
  <c r="H533" i="14"/>
  <c r="G533" i="14"/>
  <c r="H532" i="14"/>
  <c r="G532" i="14"/>
  <c r="H531" i="14"/>
  <c r="G531" i="14"/>
  <c r="H530" i="14"/>
  <c r="G530" i="14"/>
  <c r="H529" i="14"/>
  <c r="G529" i="14"/>
  <c r="H528" i="14"/>
  <c r="G528" i="14"/>
  <c r="H527" i="14"/>
  <c r="G527" i="14"/>
  <c r="H526" i="14"/>
  <c r="G526" i="14"/>
  <c r="H525" i="14"/>
  <c r="G525" i="14"/>
  <c r="H524" i="14"/>
  <c r="G524" i="14"/>
  <c r="H523" i="14"/>
  <c r="G523" i="14"/>
  <c r="H522" i="14"/>
  <c r="G522" i="14"/>
  <c r="H521" i="14"/>
  <c r="G521" i="14"/>
  <c r="H520" i="14"/>
  <c r="G520" i="14"/>
  <c r="H519" i="14"/>
  <c r="G519" i="14"/>
  <c r="H518" i="14"/>
  <c r="G518" i="14"/>
  <c r="H517" i="14"/>
  <c r="G517" i="14"/>
  <c r="H516" i="14"/>
  <c r="G516" i="14"/>
  <c r="H515" i="14"/>
  <c r="G515" i="14"/>
  <c r="H514" i="14"/>
  <c r="G514" i="14"/>
  <c r="H513" i="14"/>
  <c r="G513" i="14"/>
  <c r="H512" i="14"/>
  <c r="G512" i="14"/>
  <c r="H511" i="14"/>
  <c r="G511" i="14"/>
  <c r="H510" i="14"/>
  <c r="G510" i="14"/>
  <c r="H509" i="14"/>
  <c r="G509" i="14"/>
  <c r="H508" i="14"/>
  <c r="G508" i="14"/>
  <c r="H507" i="14"/>
  <c r="G507" i="14"/>
  <c r="H506" i="14"/>
  <c r="G506" i="14"/>
  <c r="H505" i="14"/>
  <c r="G505" i="14"/>
  <c r="H504" i="14"/>
  <c r="G504" i="14"/>
  <c r="H503" i="14"/>
  <c r="G503" i="14"/>
  <c r="H502" i="14"/>
  <c r="G502" i="14"/>
  <c r="H501" i="14"/>
  <c r="G501" i="14"/>
  <c r="H500" i="14"/>
  <c r="G500" i="14"/>
  <c r="H499" i="14"/>
  <c r="G499" i="14"/>
  <c r="H498" i="14"/>
  <c r="G498" i="14"/>
  <c r="H497" i="14"/>
  <c r="G497" i="14"/>
  <c r="H496" i="14"/>
  <c r="G496" i="14"/>
  <c r="H495" i="14"/>
  <c r="G495" i="14"/>
  <c r="H494" i="14"/>
  <c r="G494" i="14"/>
  <c r="H493" i="14"/>
  <c r="G493" i="14"/>
  <c r="H492" i="14"/>
  <c r="G492" i="14"/>
  <c r="H491" i="14"/>
  <c r="G491" i="14"/>
  <c r="H490" i="14"/>
  <c r="G490" i="14"/>
  <c r="H489" i="14"/>
  <c r="G489" i="14"/>
  <c r="H488" i="14"/>
  <c r="G488" i="14"/>
  <c r="H487" i="14"/>
  <c r="G487" i="14"/>
  <c r="H486" i="14"/>
  <c r="G486" i="14"/>
  <c r="H485" i="14"/>
  <c r="G485" i="14"/>
  <c r="H484" i="14"/>
  <c r="G484" i="14"/>
  <c r="H483" i="14"/>
  <c r="G483" i="14"/>
  <c r="H482" i="14"/>
  <c r="G482" i="14"/>
  <c r="H481" i="14"/>
  <c r="G481" i="14"/>
  <c r="H480" i="14"/>
  <c r="G480" i="14"/>
  <c r="H479" i="14"/>
  <c r="G479" i="14"/>
  <c r="H478" i="14"/>
  <c r="G478" i="14"/>
  <c r="H477" i="14"/>
  <c r="G477" i="14"/>
  <c r="H476" i="14"/>
  <c r="G476" i="14"/>
  <c r="H475" i="14"/>
  <c r="G475" i="14"/>
  <c r="H474" i="14"/>
  <c r="G474" i="14"/>
  <c r="H473" i="14"/>
  <c r="G473" i="14"/>
  <c r="H472" i="14"/>
  <c r="G472" i="14"/>
  <c r="H471" i="14"/>
  <c r="G471" i="14"/>
  <c r="H470" i="14"/>
  <c r="G470" i="14"/>
  <c r="H469" i="14"/>
  <c r="G469" i="14"/>
  <c r="H468" i="14"/>
  <c r="G468" i="14"/>
  <c r="H467" i="14"/>
  <c r="G467" i="14"/>
  <c r="H466" i="14"/>
  <c r="G466" i="14"/>
  <c r="H465" i="14"/>
  <c r="G465" i="14"/>
  <c r="H464" i="14"/>
  <c r="G464" i="14"/>
  <c r="H463" i="14"/>
  <c r="G463" i="14"/>
  <c r="H462" i="14"/>
  <c r="G462" i="14"/>
  <c r="H461" i="14"/>
  <c r="G461" i="14"/>
  <c r="H460" i="14"/>
  <c r="G460" i="14"/>
  <c r="H459" i="14"/>
  <c r="G459" i="14"/>
  <c r="H458" i="14"/>
  <c r="G458" i="14"/>
  <c r="H457" i="14"/>
  <c r="G457" i="14"/>
  <c r="H456" i="14"/>
  <c r="G456" i="14"/>
  <c r="H455" i="14"/>
  <c r="G455" i="14"/>
  <c r="H454" i="14"/>
  <c r="G454" i="14"/>
  <c r="H453" i="14"/>
  <c r="G453" i="14"/>
  <c r="H452" i="14"/>
  <c r="G452" i="14"/>
  <c r="H451" i="14"/>
  <c r="G451" i="14"/>
  <c r="H450" i="14"/>
  <c r="G450" i="14"/>
  <c r="H449" i="14"/>
  <c r="G449" i="14"/>
  <c r="H448" i="14"/>
  <c r="G448" i="14"/>
  <c r="H447" i="14"/>
  <c r="G447" i="14"/>
  <c r="H446" i="14"/>
  <c r="G446" i="14"/>
  <c r="H445" i="14"/>
  <c r="G445" i="14"/>
  <c r="H444" i="14"/>
  <c r="G444" i="14"/>
  <c r="H443" i="14"/>
  <c r="G443" i="14"/>
  <c r="H442" i="14"/>
  <c r="G442" i="14"/>
  <c r="H441" i="14"/>
  <c r="G441" i="14"/>
  <c r="H440" i="14"/>
  <c r="G440" i="14"/>
  <c r="H439" i="14"/>
  <c r="G439" i="14"/>
  <c r="H438" i="14"/>
  <c r="G438" i="14"/>
  <c r="H437" i="14"/>
  <c r="G437" i="14"/>
  <c r="H436" i="14"/>
  <c r="G436" i="14"/>
  <c r="H435" i="14"/>
  <c r="G435" i="14"/>
  <c r="H434" i="14"/>
  <c r="G434" i="14"/>
  <c r="H433" i="14"/>
  <c r="G433" i="14"/>
  <c r="H432" i="14"/>
  <c r="G432" i="14"/>
  <c r="H431" i="14"/>
  <c r="G431" i="14"/>
  <c r="H430" i="14"/>
  <c r="G430" i="14"/>
  <c r="H429" i="14"/>
  <c r="G429" i="14"/>
  <c r="H428" i="14"/>
  <c r="G428" i="14"/>
  <c r="H427" i="14"/>
  <c r="G427" i="14"/>
  <c r="H426" i="14"/>
  <c r="G426" i="14"/>
  <c r="H425" i="14"/>
  <c r="G425" i="14"/>
  <c r="H424" i="14"/>
  <c r="G424" i="14"/>
  <c r="H423" i="14"/>
  <c r="G423" i="14"/>
  <c r="H422" i="14"/>
  <c r="G422" i="14"/>
  <c r="H421" i="14"/>
  <c r="G421" i="14"/>
  <c r="H420" i="14"/>
  <c r="G420" i="14"/>
  <c r="H419" i="14"/>
  <c r="G419" i="14"/>
  <c r="H418" i="14"/>
  <c r="G418" i="14"/>
  <c r="H417" i="14"/>
  <c r="G417" i="14"/>
  <c r="H416" i="14"/>
  <c r="G416" i="14"/>
  <c r="H415" i="14"/>
  <c r="G415" i="14"/>
  <c r="H414" i="14"/>
  <c r="G414" i="14"/>
  <c r="H413" i="14"/>
  <c r="G413" i="14"/>
  <c r="H412" i="14"/>
  <c r="G412" i="14"/>
  <c r="H411" i="14"/>
  <c r="G411" i="14"/>
  <c r="H410" i="14"/>
  <c r="G410" i="14"/>
  <c r="H409" i="14"/>
  <c r="G409" i="14"/>
  <c r="H408" i="14"/>
  <c r="G408" i="14"/>
  <c r="H407" i="14"/>
  <c r="G407" i="14"/>
  <c r="H406" i="14"/>
  <c r="G406" i="14"/>
  <c r="H405" i="14"/>
  <c r="G405" i="14"/>
  <c r="H404" i="14"/>
  <c r="G404" i="14"/>
  <c r="H403" i="14"/>
  <c r="G403" i="14"/>
  <c r="H402" i="14"/>
  <c r="G402" i="14"/>
  <c r="H401" i="14"/>
  <c r="G401" i="14"/>
  <c r="H400" i="14"/>
  <c r="G400" i="14"/>
  <c r="H399" i="14"/>
  <c r="G399" i="14"/>
  <c r="H398" i="14"/>
  <c r="G398" i="14"/>
  <c r="H397" i="14"/>
  <c r="G397" i="14"/>
  <c r="H396" i="14"/>
  <c r="G396" i="14"/>
  <c r="H395" i="14"/>
  <c r="G395" i="14"/>
  <c r="H394" i="14"/>
  <c r="G394" i="14"/>
  <c r="H393" i="14"/>
  <c r="G393" i="14"/>
  <c r="H392" i="14"/>
  <c r="G392" i="14"/>
  <c r="H391" i="14"/>
  <c r="G391" i="14"/>
  <c r="H390" i="14"/>
  <c r="G390" i="14"/>
  <c r="H389" i="14"/>
  <c r="G389" i="14"/>
  <c r="H388" i="14"/>
  <c r="G388" i="14"/>
  <c r="H387" i="14"/>
  <c r="G387" i="14"/>
  <c r="H386" i="14"/>
  <c r="G386" i="14"/>
  <c r="H385" i="14"/>
  <c r="G385" i="14"/>
  <c r="H384" i="14"/>
  <c r="G384" i="14"/>
  <c r="H383" i="14"/>
  <c r="G383" i="14"/>
  <c r="H382" i="14"/>
  <c r="G382" i="14"/>
  <c r="H381" i="14"/>
  <c r="G381" i="14"/>
  <c r="H380" i="14"/>
  <c r="G380" i="14"/>
  <c r="H379" i="14"/>
  <c r="G379" i="14"/>
  <c r="H378" i="14"/>
  <c r="G378" i="14"/>
  <c r="H377" i="14"/>
  <c r="G377" i="14"/>
  <c r="H376" i="14"/>
  <c r="G376" i="14"/>
  <c r="H375" i="14"/>
  <c r="G375" i="14"/>
  <c r="H374" i="14"/>
  <c r="G374" i="14"/>
  <c r="H373" i="14"/>
  <c r="G373" i="14"/>
  <c r="H372" i="14"/>
  <c r="G372" i="14"/>
  <c r="H371" i="14"/>
  <c r="G371" i="14"/>
  <c r="H370" i="14"/>
  <c r="M116" i="14"/>
  <c r="G370" i="14"/>
  <c r="H369" i="14"/>
  <c r="G369" i="14"/>
  <c r="H368" i="14"/>
  <c r="G368" i="14"/>
  <c r="H367" i="14"/>
  <c r="G367" i="14"/>
  <c r="H366" i="14"/>
  <c r="G366" i="14"/>
  <c r="H365" i="14"/>
  <c r="G365" i="14"/>
  <c r="H364" i="14"/>
  <c r="G364" i="14"/>
  <c r="H363" i="14"/>
  <c r="G363" i="14"/>
  <c r="H362" i="14"/>
  <c r="G362" i="14"/>
  <c r="H361" i="14"/>
  <c r="G361" i="14"/>
  <c r="H360" i="14"/>
  <c r="G360" i="14"/>
  <c r="H359" i="14"/>
  <c r="G359" i="14"/>
  <c r="H358" i="14"/>
  <c r="G358" i="14"/>
  <c r="H357" i="14"/>
  <c r="G357" i="14"/>
  <c r="H356" i="14"/>
  <c r="G356" i="14"/>
  <c r="H355" i="14"/>
  <c r="G355" i="14"/>
  <c r="H354" i="14"/>
  <c r="G354" i="14"/>
  <c r="H353" i="14"/>
  <c r="G353" i="14"/>
  <c r="H352" i="14"/>
  <c r="G352" i="14"/>
  <c r="H351" i="14"/>
  <c r="G351" i="14"/>
  <c r="H350" i="14"/>
  <c r="G350" i="14"/>
  <c r="H349" i="14"/>
  <c r="G349" i="14"/>
  <c r="H348" i="14"/>
  <c r="G348" i="14"/>
  <c r="H347" i="14"/>
  <c r="G347" i="14"/>
  <c r="H346" i="14"/>
  <c r="G346" i="14"/>
  <c r="H345" i="14"/>
  <c r="G345" i="14"/>
  <c r="H344" i="14"/>
  <c r="G344" i="14"/>
  <c r="H343" i="14"/>
  <c r="G343" i="14"/>
  <c r="H342" i="14"/>
  <c r="G342" i="14"/>
  <c r="H341" i="14"/>
  <c r="G341" i="14"/>
  <c r="H340" i="14"/>
  <c r="G340" i="14"/>
  <c r="H339" i="14"/>
  <c r="G339" i="14"/>
  <c r="H338" i="14"/>
  <c r="G338" i="14"/>
  <c r="H337" i="14"/>
  <c r="G337" i="14"/>
  <c r="H336" i="14"/>
  <c r="G336" i="14"/>
  <c r="H335" i="14"/>
  <c r="G335" i="14"/>
  <c r="H334" i="14"/>
  <c r="G334" i="14"/>
  <c r="H333" i="14"/>
  <c r="G333" i="14"/>
  <c r="H332" i="14"/>
  <c r="G332" i="14"/>
  <c r="H331" i="14"/>
  <c r="G331" i="14"/>
  <c r="H330" i="14"/>
  <c r="G330" i="14"/>
  <c r="H329" i="14"/>
  <c r="G329" i="14"/>
  <c r="H328" i="14"/>
  <c r="G328" i="14"/>
  <c r="H327" i="14"/>
  <c r="G327" i="14"/>
  <c r="H326" i="14"/>
  <c r="G326" i="14"/>
  <c r="H325" i="14"/>
  <c r="G325" i="14"/>
  <c r="H324" i="14"/>
  <c r="G324" i="14"/>
  <c r="H323" i="14"/>
  <c r="G323" i="14"/>
  <c r="H322" i="14"/>
  <c r="G322" i="14"/>
  <c r="H321" i="14"/>
  <c r="G321" i="14"/>
  <c r="H320" i="14"/>
  <c r="G320" i="14"/>
  <c r="H319" i="14"/>
  <c r="G319" i="14"/>
  <c r="H318" i="14"/>
  <c r="G318" i="14"/>
  <c r="H317" i="14"/>
  <c r="G317" i="14"/>
  <c r="H316" i="14"/>
  <c r="G316" i="14"/>
  <c r="H315" i="14"/>
  <c r="G315" i="14"/>
  <c r="H314" i="14"/>
  <c r="G314" i="14"/>
  <c r="H313" i="14"/>
  <c r="G313" i="14"/>
  <c r="H312" i="14"/>
  <c r="G312" i="14"/>
  <c r="H311" i="14"/>
  <c r="G311" i="14"/>
  <c r="H310" i="14"/>
  <c r="G310" i="14"/>
  <c r="H309" i="14"/>
  <c r="G309" i="14"/>
  <c r="H308" i="14"/>
  <c r="G308" i="14"/>
  <c r="H307" i="14"/>
  <c r="G307" i="14"/>
  <c r="H306" i="14"/>
  <c r="G306" i="14"/>
  <c r="H305" i="14"/>
  <c r="G305" i="14"/>
  <c r="H304" i="14"/>
  <c r="G304" i="14"/>
  <c r="H303" i="14"/>
  <c r="G303" i="14"/>
  <c r="H302" i="14"/>
  <c r="G302" i="14"/>
  <c r="H301" i="14"/>
  <c r="G301" i="14"/>
  <c r="H300" i="14"/>
  <c r="G300" i="14"/>
  <c r="H299" i="14"/>
  <c r="G299" i="14"/>
  <c r="H298" i="14"/>
  <c r="G298" i="14"/>
  <c r="H297" i="14"/>
  <c r="G297" i="14"/>
  <c r="H296" i="14"/>
  <c r="G296" i="14"/>
  <c r="H295" i="14"/>
  <c r="G295" i="14"/>
  <c r="H294" i="14"/>
  <c r="G294" i="14"/>
  <c r="H293" i="14"/>
  <c r="G293" i="14"/>
  <c r="H292" i="14"/>
  <c r="G292" i="14"/>
  <c r="H291" i="14"/>
  <c r="G291" i="14"/>
  <c r="H290" i="14"/>
  <c r="G290" i="14"/>
  <c r="H289" i="14"/>
  <c r="G289" i="14"/>
  <c r="H288" i="14"/>
  <c r="G288" i="14"/>
  <c r="H287" i="14"/>
  <c r="G287" i="14"/>
  <c r="H286" i="14"/>
  <c r="G286" i="14"/>
  <c r="H285" i="14"/>
  <c r="G285" i="14"/>
  <c r="H284" i="14"/>
  <c r="G284" i="14"/>
  <c r="H283" i="14"/>
  <c r="G283" i="14"/>
  <c r="H282" i="14"/>
  <c r="G282" i="14"/>
  <c r="H281" i="14"/>
  <c r="G281" i="14"/>
  <c r="H280" i="14"/>
  <c r="G280" i="14"/>
  <c r="H279" i="14"/>
  <c r="G279" i="14"/>
  <c r="H278" i="14"/>
  <c r="G278" i="14"/>
  <c r="H277" i="14"/>
  <c r="G277" i="14"/>
  <c r="H276" i="14"/>
  <c r="G276" i="14"/>
  <c r="H275" i="14"/>
  <c r="G275" i="14"/>
  <c r="H274" i="14"/>
  <c r="G274" i="14"/>
  <c r="H273" i="14"/>
  <c r="G273" i="14"/>
  <c r="H272" i="14"/>
  <c r="G272" i="14"/>
  <c r="H271" i="14"/>
  <c r="G271" i="14"/>
  <c r="H270" i="14"/>
  <c r="G270" i="14"/>
  <c r="H269" i="14"/>
  <c r="G269" i="14"/>
  <c r="H268" i="14"/>
  <c r="G268" i="14"/>
  <c r="H267" i="14"/>
  <c r="G267" i="14"/>
  <c r="H266" i="14"/>
  <c r="G266" i="14"/>
  <c r="H265" i="14"/>
  <c r="G265" i="14"/>
  <c r="H264" i="14"/>
  <c r="G264" i="14"/>
  <c r="H263" i="14"/>
  <c r="G263" i="14"/>
  <c r="H262" i="14"/>
  <c r="G262" i="14"/>
  <c r="H261" i="14"/>
  <c r="G261" i="14"/>
  <c r="H260" i="14"/>
  <c r="G260" i="14"/>
  <c r="H259" i="14"/>
  <c r="G259" i="14"/>
  <c r="H258" i="14"/>
  <c r="G258" i="14"/>
  <c r="H257" i="14"/>
  <c r="G257" i="14"/>
  <c r="H256" i="14"/>
  <c r="G256" i="14"/>
  <c r="H255" i="14"/>
  <c r="G255" i="14"/>
  <c r="H254" i="14"/>
  <c r="G254" i="14"/>
  <c r="H253" i="14"/>
  <c r="G253" i="14"/>
  <c r="H252" i="14"/>
  <c r="G252" i="14"/>
  <c r="H251" i="14"/>
  <c r="G251" i="14"/>
  <c r="H250" i="14"/>
  <c r="G250" i="14"/>
  <c r="H249" i="14"/>
  <c r="G249" i="14"/>
  <c r="H248" i="14"/>
  <c r="G248" i="14"/>
  <c r="H247" i="14"/>
  <c r="G247" i="14"/>
  <c r="H246" i="14"/>
  <c r="G246" i="14"/>
  <c r="H245" i="14"/>
  <c r="G245" i="14"/>
  <c r="H244" i="14"/>
  <c r="G244" i="14"/>
  <c r="H243" i="14"/>
  <c r="G243" i="14"/>
  <c r="H242" i="14"/>
  <c r="G242" i="14"/>
  <c r="H241" i="14"/>
  <c r="G241" i="14"/>
  <c r="H240" i="14"/>
  <c r="G240" i="14"/>
  <c r="H239" i="14"/>
  <c r="G239" i="14"/>
  <c r="H238" i="14"/>
  <c r="G238" i="14"/>
  <c r="H237" i="14"/>
  <c r="G237" i="14"/>
  <c r="H236" i="14"/>
  <c r="G236" i="14"/>
  <c r="H235" i="14"/>
  <c r="G235" i="14"/>
  <c r="H234" i="14"/>
  <c r="G234" i="14"/>
  <c r="H233" i="14"/>
  <c r="G233" i="14"/>
  <c r="H232" i="14"/>
  <c r="G232" i="14"/>
  <c r="H231" i="14"/>
  <c r="G231" i="14"/>
  <c r="H230" i="14"/>
  <c r="G230" i="14"/>
  <c r="H229" i="14"/>
  <c r="G229" i="14"/>
  <c r="H228" i="14"/>
  <c r="G228" i="14"/>
  <c r="H227" i="14"/>
  <c r="G227" i="14"/>
  <c r="H226" i="14"/>
  <c r="G226" i="14"/>
  <c r="H225" i="14"/>
  <c r="G225" i="14"/>
  <c r="H224" i="14"/>
  <c r="G224" i="14"/>
  <c r="H223" i="14"/>
  <c r="G223" i="14"/>
  <c r="H222" i="14"/>
  <c r="G222" i="14"/>
  <c r="H221" i="14"/>
  <c r="G221" i="14"/>
  <c r="H220" i="14"/>
  <c r="G220" i="14"/>
  <c r="H219" i="14"/>
  <c r="G219" i="14"/>
  <c r="H218" i="14"/>
  <c r="G218" i="14"/>
  <c r="H217" i="14"/>
  <c r="G217" i="14"/>
  <c r="H216" i="14"/>
  <c r="G216" i="14"/>
  <c r="H215" i="14"/>
  <c r="G215" i="14"/>
  <c r="H214" i="14"/>
  <c r="G214" i="14"/>
  <c r="H213" i="14"/>
  <c r="G213" i="14"/>
  <c r="H212" i="14"/>
  <c r="G212" i="14"/>
  <c r="H211" i="14"/>
  <c r="G211" i="14"/>
  <c r="H210" i="14"/>
  <c r="G210" i="14"/>
  <c r="H209" i="14"/>
  <c r="G209" i="14"/>
  <c r="H208" i="14"/>
  <c r="G208" i="14"/>
  <c r="H207" i="14"/>
  <c r="G207" i="14"/>
  <c r="H206" i="14"/>
  <c r="G206" i="14"/>
  <c r="H205" i="14"/>
  <c r="G205" i="14"/>
  <c r="H204" i="14"/>
  <c r="G204" i="14"/>
  <c r="H203" i="14"/>
  <c r="G203" i="14"/>
  <c r="H202" i="14"/>
  <c r="G202" i="14"/>
  <c r="H201" i="14"/>
  <c r="G201" i="14"/>
  <c r="H200" i="14"/>
  <c r="G200" i="14"/>
  <c r="H199" i="14"/>
  <c r="G199" i="14"/>
  <c r="H198" i="14"/>
  <c r="G198" i="14"/>
  <c r="H197" i="14"/>
  <c r="G197" i="14"/>
  <c r="H196" i="14"/>
  <c r="G196" i="14"/>
  <c r="H195" i="14"/>
  <c r="G195" i="14"/>
  <c r="H194" i="14"/>
  <c r="G194" i="14"/>
  <c r="H193" i="14"/>
  <c r="G193" i="14"/>
  <c r="H192" i="14"/>
  <c r="G192" i="14"/>
  <c r="H191" i="14"/>
  <c r="G191" i="14"/>
  <c r="H190" i="14"/>
  <c r="G190" i="14"/>
  <c r="H189" i="14"/>
  <c r="G189" i="14"/>
  <c r="H188" i="14"/>
  <c r="G188" i="14"/>
  <c r="H187" i="14"/>
  <c r="G187" i="14"/>
  <c r="H186" i="14"/>
  <c r="G186" i="14"/>
  <c r="H185" i="14"/>
  <c r="G185" i="14"/>
  <c r="H184" i="14"/>
  <c r="G184" i="14"/>
  <c r="H183" i="14"/>
  <c r="G183" i="14"/>
  <c r="H182" i="14"/>
  <c r="G182" i="14"/>
  <c r="H181" i="14"/>
  <c r="G181" i="14"/>
  <c r="H180" i="14"/>
  <c r="G180" i="14"/>
  <c r="H179" i="14"/>
  <c r="G179" i="14"/>
  <c r="H178" i="14"/>
  <c r="G178" i="14"/>
  <c r="H177" i="14"/>
  <c r="G177" i="14"/>
  <c r="H176" i="14"/>
  <c r="G176" i="14"/>
  <c r="H175" i="14"/>
  <c r="G175" i="14"/>
  <c r="H174" i="14"/>
  <c r="G174" i="14"/>
  <c r="H173" i="14"/>
  <c r="G173" i="14"/>
  <c r="H172" i="14"/>
  <c r="G172" i="14"/>
  <c r="H171" i="14"/>
  <c r="G171" i="14"/>
  <c r="H170" i="14"/>
  <c r="G170" i="14"/>
  <c r="H169" i="14"/>
  <c r="G169" i="14"/>
  <c r="H168" i="14"/>
  <c r="G168" i="14"/>
  <c r="H167" i="14"/>
  <c r="G167" i="14"/>
  <c r="H166" i="14"/>
  <c r="G166" i="14"/>
  <c r="H165" i="14"/>
  <c r="G165" i="14"/>
  <c r="H164" i="14"/>
  <c r="G164" i="14"/>
  <c r="H163" i="14"/>
  <c r="G163" i="14"/>
  <c r="H162" i="14"/>
  <c r="G162" i="14"/>
  <c r="H161" i="14"/>
  <c r="G161" i="14"/>
  <c r="H160" i="14"/>
  <c r="G160" i="14"/>
  <c r="H159" i="14"/>
  <c r="G159" i="14"/>
  <c r="H158" i="14"/>
  <c r="G158" i="14"/>
  <c r="H157" i="14"/>
  <c r="G157" i="14"/>
  <c r="H156" i="14"/>
  <c r="G156" i="14"/>
  <c r="H155" i="14"/>
  <c r="G155" i="14"/>
  <c r="H154" i="14"/>
  <c r="G154" i="14"/>
  <c r="H153" i="14"/>
  <c r="G153" i="14"/>
  <c r="H152" i="14"/>
  <c r="G152" i="14"/>
  <c r="H151" i="14"/>
  <c r="G151" i="14"/>
  <c r="H150" i="14"/>
  <c r="G150" i="14"/>
  <c r="H149" i="14"/>
  <c r="G149" i="14"/>
  <c r="H148" i="14"/>
  <c r="G148" i="14"/>
  <c r="H147" i="14"/>
  <c r="G147" i="14"/>
  <c r="H146" i="14"/>
  <c r="G146" i="14"/>
  <c r="H145" i="14"/>
  <c r="G145" i="14"/>
  <c r="H144" i="14"/>
  <c r="G144" i="14"/>
  <c r="H143" i="14"/>
  <c r="G143" i="14"/>
  <c r="H142" i="14"/>
  <c r="G142" i="14"/>
  <c r="H141" i="14"/>
  <c r="G141" i="14"/>
  <c r="H140" i="14"/>
  <c r="G140" i="14"/>
  <c r="H139" i="14"/>
  <c r="G139" i="14"/>
  <c r="H138" i="14"/>
  <c r="G138" i="14"/>
  <c r="H137" i="14"/>
  <c r="G137" i="14"/>
  <c r="H136" i="14"/>
  <c r="G136" i="14"/>
  <c r="H135" i="14"/>
  <c r="G135" i="14"/>
  <c r="H134" i="14"/>
  <c r="G134" i="14"/>
  <c r="H133" i="14"/>
  <c r="G133" i="14"/>
  <c r="H132" i="14"/>
  <c r="G132" i="14"/>
  <c r="H131" i="14"/>
  <c r="G131" i="14"/>
  <c r="H130" i="14"/>
  <c r="G130" i="14"/>
  <c r="H129" i="14"/>
  <c r="G129" i="14"/>
  <c r="M128" i="14"/>
  <c r="H128" i="14"/>
  <c r="G128" i="14"/>
  <c r="H127" i="14"/>
  <c r="G127" i="14"/>
  <c r="H126" i="14"/>
  <c r="G126" i="14"/>
  <c r="H125" i="14"/>
  <c r="G125" i="14"/>
  <c r="H124" i="14"/>
  <c r="G124" i="14"/>
  <c r="H123" i="14"/>
  <c r="G123" i="14"/>
  <c r="H122" i="14"/>
  <c r="G122" i="14"/>
  <c r="H121" i="14"/>
  <c r="G121" i="14"/>
  <c r="H120" i="14"/>
  <c r="G120" i="14"/>
  <c r="H119" i="14"/>
  <c r="G119" i="14"/>
  <c r="H118" i="14"/>
  <c r="G118" i="14"/>
  <c r="H117" i="14"/>
  <c r="G117" i="14"/>
  <c r="H116" i="14"/>
  <c r="G116" i="14"/>
  <c r="H115" i="14"/>
  <c r="G115" i="14"/>
  <c r="H114" i="14"/>
  <c r="G114" i="14"/>
  <c r="H113" i="14"/>
  <c r="G113" i="14"/>
  <c r="H112" i="14"/>
  <c r="G112" i="14"/>
  <c r="H111" i="14"/>
  <c r="G111" i="14"/>
  <c r="H110" i="14"/>
  <c r="G110" i="14"/>
  <c r="H109" i="14"/>
  <c r="G109" i="14"/>
  <c r="H108" i="14"/>
  <c r="G108" i="14"/>
  <c r="H107" i="14"/>
  <c r="G107" i="14"/>
  <c r="H106" i="14"/>
  <c r="G106" i="14"/>
  <c r="H105" i="14"/>
  <c r="G105" i="14"/>
  <c r="H104" i="14"/>
  <c r="G104" i="14"/>
  <c r="H103" i="14"/>
  <c r="G103" i="14"/>
  <c r="H102" i="14"/>
  <c r="G102" i="14"/>
  <c r="H101" i="14"/>
  <c r="G101" i="14"/>
  <c r="H100" i="14"/>
  <c r="G100" i="14"/>
  <c r="H99" i="14"/>
  <c r="G99" i="14"/>
  <c r="H98" i="14"/>
  <c r="G98" i="14"/>
  <c r="H97" i="14"/>
  <c r="G97" i="14"/>
  <c r="H96" i="14"/>
  <c r="G96" i="14"/>
  <c r="H95" i="14"/>
  <c r="G95" i="14"/>
  <c r="H94" i="14"/>
  <c r="G94" i="14"/>
  <c r="H93" i="14"/>
  <c r="G93" i="14"/>
  <c r="H92" i="14"/>
  <c r="G92" i="14"/>
  <c r="H91" i="14"/>
  <c r="G91" i="14"/>
  <c r="H90" i="14"/>
  <c r="G90" i="14"/>
  <c r="H89" i="14"/>
  <c r="G89" i="14"/>
  <c r="H88" i="14"/>
  <c r="G88" i="14"/>
  <c r="H87" i="14"/>
  <c r="G87" i="14"/>
  <c r="H86" i="14"/>
  <c r="G86" i="14"/>
  <c r="H85" i="14"/>
  <c r="G85" i="14"/>
  <c r="H84" i="14"/>
  <c r="G84" i="14"/>
  <c r="H83" i="14"/>
  <c r="G83" i="14"/>
  <c r="H82" i="14"/>
  <c r="G82" i="14"/>
  <c r="H81" i="14"/>
  <c r="G81" i="14"/>
  <c r="H80" i="14"/>
  <c r="G80" i="14"/>
  <c r="H79" i="14"/>
  <c r="G79" i="14"/>
  <c r="H78" i="14"/>
  <c r="G78" i="14"/>
  <c r="H77" i="14"/>
  <c r="G77" i="14"/>
  <c r="H76" i="14"/>
  <c r="G76" i="14"/>
  <c r="H75" i="14"/>
  <c r="G75" i="14"/>
  <c r="H74" i="14"/>
  <c r="G74" i="14"/>
  <c r="H73" i="14"/>
  <c r="G73" i="14"/>
  <c r="H72" i="14"/>
  <c r="G72" i="14"/>
  <c r="H71" i="14"/>
  <c r="G71" i="14"/>
  <c r="H70" i="14"/>
  <c r="G70" i="14"/>
  <c r="H69" i="14"/>
  <c r="G69" i="14"/>
  <c r="H68" i="14"/>
  <c r="G68" i="14"/>
  <c r="H67" i="14"/>
  <c r="G67" i="14"/>
  <c r="H66" i="14"/>
  <c r="G66" i="14"/>
  <c r="H65" i="14"/>
  <c r="G65" i="14"/>
  <c r="H64" i="14"/>
  <c r="G64" i="14"/>
  <c r="H63" i="14"/>
  <c r="G63" i="14"/>
  <c r="H62" i="14"/>
  <c r="G62" i="14"/>
  <c r="H61" i="14"/>
  <c r="G61" i="14"/>
  <c r="H60" i="14"/>
  <c r="G60" i="14"/>
  <c r="H59" i="14"/>
  <c r="G59" i="14"/>
  <c r="H58" i="14"/>
  <c r="G58" i="14"/>
  <c r="H57" i="14"/>
  <c r="G57" i="14"/>
  <c r="H56" i="14"/>
  <c r="G56" i="14"/>
  <c r="H55" i="14"/>
  <c r="G55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H54" i="14"/>
  <c r="G54" i="14"/>
  <c r="H53" i="14"/>
  <c r="G53" i="14"/>
  <c r="Q52" i="14"/>
  <c r="H52" i="14"/>
  <c r="G52" i="14"/>
  <c r="H51" i="14"/>
  <c r="G51" i="14"/>
  <c r="H50" i="14"/>
  <c r="G50" i="14"/>
  <c r="H49" i="14"/>
  <c r="G49" i="14"/>
  <c r="H48" i="14"/>
  <c r="G48" i="14"/>
  <c r="H47" i="14"/>
  <c r="G47" i="14"/>
  <c r="H46" i="14"/>
  <c r="G46" i="14"/>
  <c r="H45" i="14"/>
  <c r="G45" i="14"/>
  <c r="H44" i="14"/>
  <c r="G44" i="14"/>
  <c r="H43" i="14"/>
  <c r="G43" i="14"/>
  <c r="H42" i="14"/>
  <c r="G42" i="14"/>
  <c r="H41" i="14"/>
  <c r="G41" i="14"/>
  <c r="H40" i="14"/>
  <c r="G40" i="14"/>
  <c r="H39" i="14"/>
  <c r="G39" i="14"/>
  <c r="H38" i="14"/>
  <c r="G38" i="14"/>
  <c r="H37" i="14"/>
  <c r="G37" i="14"/>
  <c r="H36" i="14"/>
  <c r="G36" i="14"/>
  <c r="H35" i="14"/>
  <c r="G35" i="14"/>
  <c r="H34" i="14"/>
  <c r="G34" i="14"/>
  <c r="H33" i="14"/>
  <c r="G33" i="14"/>
  <c r="AE32" i="14"/>
  <c r="AD32" i="14"/>
  <c r="AC32" i="14"/>
  <c r="AB32" i="14"/>
  <c r="AA32" i="14"/>
  <c r="H32" i="14"/>
  <c r="G32" i="14"/>
  <c r="AW31" i="14"/>
  <c r="AV31" i="14"/>
  <c r="AU31" i="14"/>
  <c r="AT31" i="14"/>
  <c r="AS31" i="14"/>
  <c r="AE31" i="14"/>
  <c r="AD31" i="14"/>
  <c r="AC31" i="14"/>
  <c r="AB31" i="14"/>
  <c r="AA31" i="14"/>
  <c r="H31" i="14"/>
  <c r="G31" i="14"/>
  <c r="AW30" i="14"/>
  <c r="AV30" i="14"/>
  <c r="AU30" i="14"/>
  <c r="AT30" i="14"/>
  <c r="AS30" i="14"/>
  <c r="AE30" i="14"/>
  <c r="AD30" i="14"/>
  <c r="AC30" i="14"/>
  <c r="AB30" i="14"/>
  <c r="AA30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H30" i="14"/>
  <c r="G30" i="14"/>
  <c r="AW29" i="14"/>
  <c r="AV29" i="14"/>
  <c r="AU29" i="14"/>
  <c r="AT29" i="14"/>
  <c r="AS29" i="14"/>
  <c r="AI29" i="14"/>
  <c r="AE29" i="14"/>
  <c r="AD29" i="14"/>
  <c r="AC29" i="14"/>
  <c r="AB29" i="14"/>
  <c r="AA29" i="14"/>
  <c r="H29" i="14"/>
  <c r="G29" i="14"/>
  <c r="AW28" i="14"/>
  <c r="AV28" i="14"/>
  <c r="AU28" i="14"/>
  <c r="AT28" i="14"/>
  <c r="AS28" i="14"/>
  <c r="AE28" i="14"/>
  <c r="AD28" i="14"/>
  <c r="AC28" i="14"/>
  <c r="AB28" i="14"/>
  <c r="AA28" i="14"/>
  <c r="H28" i="14"/>
  <c r="G28" i="14"/>
  <c r="AW27" i="14"/>
  <c r="AV27" i="14"/>
  <c r="AU27" i="14"/>
  <c r="AT27" i="14"/>
  <c r="AS27" i="14"/>
  <c r="AE27" i="14"/>
  <c r="AD27" i="14"/>
  <c r="AC27" i="14"/>
  <c r="AB27" i="14"/>
  <c r="AA27" i="14"/>
  <c r="H27" i="14"/>
  <c r="G27" i="14"/>
  <c r="AW26" i="14"/>
  <c r="AV26" i="14"/>
  <c r="AU26" i="14"/>
  <c r="AT26" i="14"/>
  <c r="AS26" i="14"/>
  <c r="AE26" i="14"/>
  <c r="AD26" i="14"/>
  <c r="AC26" i="14"/>
  <c r="AB26" i="14"/>
  <c r="AA26" i="14"/>
  <c r="H26" i="14"/>
  <c r="G26" i="14"/>
  <c r="AW25" i="14"/>
  <c r="AV25" i="14"/>
  <c r="AU25" i="14"/>
  <c r="AT25" i="14"/>
  <c r="AS25" i="14"/>
  <c r="AE25" i="14"/>
  <c r="AD25" i="14"/>
  <c r="AC25" i="14"/>
  <c r="AB25" i="14"/>
  <c r="AA25" i="14"/>
  <c r="H25" i="14"/>
  <c r="G25" i="14"/>
  <c r="AW24" i="14"/>
  <c r="AV24" i="14"/>
  <c r="AU24" i="14"/>
  <c r="AT24" i="14"/>
  <c r="AS24" i="14"/>
  <c r="AE24" i="14"/>
  <c r="AD24" i="14"/>
  <c r="AC24" i="14"/>
  <c r="AB24" i="14"/>
  <c r="AA24" i="14"/>
  <c r="H24" i="14"/>
  <c r="G24" i="14"/>
  <c r="AW23" i="14"/>
  <c r="AV23" i="14"/>
  <c r="AU23" i="14"/>
  <c r="AT23" i="14"/>
  <c r="AS23" i="14"/>
  <c r="AE23" i="14"/>
  <c r="AD23" i="14"/>
  <c r="AC23" i="14"/>
  <c r="AB23" i="14"/>
  <c r="AA23" i="14"/>
  <c r="H23" i="14"/>
  <c r="G23" i="14"/>
  <c r="AW22" i="14"/>
  <c r="AV22" i="14"/>
  <c r="AU22" i="14"/>
  <c r="AT22" i="14"/>
  <c r="AS22" i="14"/>
  <c r="AE22" i="14"/>
  <c r="AD22" i="14"/>
  <c r="AC22" i="14"/>
  <c r="AB22" i="14"/>
  <c r="AA22" i="14"/>
  <c r="H22" i="14"/>
  <c r="G22" i="14"/>
  <c r="AW21" i="14"/>
  <c r="AV21" i="14"/>
  <c r="AU21" i="14"/>
  <c r="AT21" i="14"/>
  <c r="AS21" i="14"/>
  <c r="H21" i="14"/>
  <c r="G21" i="14"/>
  <c r="H20" i="14"/>
  <c r="G20" i="14"/>
  <c r="H19" i="14"/>
  <c r="G19" i="14"/>
  <c r="H18" i="14"/>
  <c r="G18" i="14"/>
  <c r="H17" i="14"/>
  <c r="G17" i="14"/>
  <c r="H16" i="14"/>
  <c r="G16" i="14"/>
  <c r="H15" i="14"/>
  <c r="G15" i="14"/>
  <c r="AD14" i="14"/>
  <c r="H14" i="14"/>
  <c r="G14" i="14"/>
  <c r="AD13" i="14"/>
  <c r="H13" i="14"/>
  <c r="G13" i="14"/>
  <c r="AD12" i="14"/>
  <c r="H12" i="14"/>
  <c r="G12" i="14"/>
  <c r="AD11" i="14"/>
  <c r="AB11" i="14"/>
  <c r="H11" i="14"/>
  <c r="G11" i="14"/>
  <c r="AD10" i="14"/>
  <c r="AB10" i="14"/>
  <c r="H10" i="14"/>
  <c r="G10" i="14"/>
  <c r="AD9" i="14"/>
  <c r="AB9" i="14"/>
  <c r="H9" i="14"/>
  <c r="G9" i="14"/>
  <c r="AD8" i="14"/>
  <c r="AB8" i="14"/>
  <c r="R8" i="14"/>
  <c r="H8" i="14"/>
  <c r="G8" i="14"/>
  <c r="AD7" i="14"/>
  <c r="AB7" i="14"/>
  <c r="Y7" i="14"/>
  <c r="H7" i="14"/>
  <c r="G7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H6" i="14"/>
  <c r="G6" i="14"/>
  <c r="H5" i="14"/>
  <c r="G5" i="14"/>
  <c r="M53" i="14"/>
  <c r="M125" i="14"/>
  <c r="M106" i="14"/>
  <c r="M57" i="14"/>
  <c r="O57" i="14"/>
  <c r="AE11" i="14"/>
  <c r="AH26" i="14"/>
  <c r="M32" i="14"/>
  <c r="Q32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M14" i="14"/>
  <c r="M12" i="14"/>
  <c r="AE8" i="14"/>
  <c r="AH23" i="14"/>
  <c r="AE9" i="14"/>
  <c r="AH24" i="14"/>
  <c r="AE10" i="14"/>
  <c r="AH25" i="14"/>
  <c r="AE12" i="14"/>
  <c r="AH27" i="14"/>
  <c r="AE13" i="14"/>
  <c r="AH28" i="14"/>
  <c r="M55" i="14"/>
  <c r="Q55" i="14"/>
  <c r="M67" i="14"/>
  <c r="M76" i="14"/>
  <c r="O76" i="14"/>
  <c r="M93" i="14"/>
  <c r="M96" i="14"/>
  <c r="M138" i="14"/>
  <c r="M157" i="14"/>
  <c r="M66" i="14"/>
  <c r="Q66" i="14"/>
  <c r="M69" i="14"/>
  <c r="M84" i="14"/>
  <c r="M126" i="14"/>
  <c r="M129" i="14"/>
  <c r="M148" i="14"/>
  <c r="AE14" i="14"/>
  <c r="AH29" i="14"/>
  <c r="M33" i="14"/>
  <c r="O33" i="14"/>
  <c r="M94" i="14"/>
  <c r="M97" i="14"/>
  <c r="M11" i="14"/>
  <c r="M16" i="14"/>
  <c r="M19" i="14"/>
  <c r="O32" i="14"/>
  <c r="M34" i="14"/>
  <c r="O66" i="14"/>
  <c r="Q67" i="14"/>
  <c r="O67" i="14"/>
  <c r="M15" i="14"/>
  <c r="M17" i="14"/>
  <c r="AI28" i="14"/>
  <c r="AI27" i="14"/>
  <c r="AI26" i="14"/>
  <c r="AI25" i="14"/>
  <c r="AI24" i="14"/>
  <c r="AI23" i="14"/>
  <c r="AI30" i="14"/>
  <c r="M155" i="14"/>
  <c r="M151" i="14"/>
  <c r="M147" i="14"/>
  <c r="M143" i="14"/>
  <c r="M139" i="14"/>
  <c r="M135" i="14"/>
  <c r="M131" i="14"/>
  <c r="M127" i="14"/>
  <c r="M123" i="14"/>
  <c r="M119" i="14"/>
  <c r="M115" i="14"/>
  <c r="M111" i="14"/>
  <c r="M107" i="14"/>
  <c r="M103" i="14"/>
  <c r="M99" i="14"/>
  <c r="M95" i="14"/>
  <c r="M91" i="14"/>
  <c r="M87" i="14"/>
  <c r="M83" i="14"/>
  <c r="M79" i="14"/>
  <c r="M78" i="14"/>
  <c r="O78" i="14"/>
  <c r="M77" i="14"/>
  <c r="O77" i="14"/>
  <c r="M72" i="14"/>
  <c r="M68" i="14"/>
  <c r="M64" i="14"/>
  <c r="M60" i="14"/>
  <c r="M56" i="14"/>
  <c r="M152" i="14"/>
  <c r="M149" i="14"/>
  <c r="M146" i="14"/>
  <c r="M136" i="14"/>
  <c r="M133" i="14"/>
  <c r="M130" i="14"/>
  <c r="M120" i="14"/>
  <c r="M117" i="14"/>
  <c r="M114" i="14"/>
  <c r="M104" i="14"/>
  <c r="M101" i="14"/>
  <c r="M98" i="14"/>
  <c r="M88" i="14"/>
  <c r="M85" i="14"/>
  <c r="M82" i="14"/>
  <c r="M75" i="14"/>
  <c r="O75" i="14"/>
  <c r="M70" i="14"/>
  <c r="M61" i="14"/>
  <c r="M59" i="14"/>
  <c r="M54" i="14"/>
  <c r="M156" i="14"/>
  <c r="M153" i="14"/>
  <c r="M150" i="14"/>
  <c r="M140" i="14"/>
  <c r="M137" i="14"/>
  <c r="M134" i="14"/>
  <c r="M124" i="14"/>
  <c r="M121" i="14"/>
  <c r="M118" i="14"/>
  <c r="M108" i="14"/>
  <c r="M105" i="14"/>
  <c r="M102" i="14"/>
  <c r="M92" i="14"/>
  <c r="M89" i="14"/>
  <c r="M86" i="14"/>
  <c r="M74" i="14"/>
  <c r="M65" i="14"/>
  <c r="M63" i="14"/>
  <c r="M58" i="14"/>
  <c r="M28" i="14"/>
  <c r="M27" i="14"/>
  <c r="M26" i="14"/>
  <c r="M25" i="14"/>
  <c r="M24" i="14"/>
  <c r="M23" i="14"/>
  <c r="M22" i="14"/>
  <c r="M21" i="14"/>
  <c r="M20" i="14"/>
  <c r="M8" i="14"/>
  <c r="M10" i="14"/>
  <c r="M13" i="14"/>
  <c r="M35" i="14"/>
  <c r="M37" i="14"/>
  <c r="M39" i="14"/>
  <c r="M41" i="14"/>
  <c r="M43" i="14"/>
  <c r="M45" i="14"/>
  <c r="M47" i="14"/>
  <c r="M49" i="14"/>
  <c r="O55" i="14"/>
  <c r="Q57" i="14"/>
  <c r="M62" i="14"/>
  <c r="M81" i="14"/>
  <c r="M51" i="14"/>
  <c r="M50" i="14"/>
  <c r="M48" i="14"/>
  <c r="M46" i="14"/>
  <c r="M44" i="14"/>
  <c r="M42" i="14"/>
  <c r="M40" i="14"/>
  <c r="M38" i="14"/>
  <c r="O38" i="14"/>
  <c r="M36" i="14"/>
  <c r="M31" i="14"/>
  <c r="M30" i="14"/>
  <c r="M29" i="14"/>
  <c r="O29" i="14"/>
  <c r="M90" i="14"/>
  <c r="M110" i="14"/>
  <c r="M113" i="14"/>
  <c r="M122" i="14"/>
  <c r="M142" i="14"/>
  <c r="M145" i="14"/>
  <c r="M154" i="14"/>
  <c r="O69" i="14"/>
  <c r="Q69" i="14"/>
  <c r="M18" i="14"/>
  <c r="O53" i="14"/>
  <c r="Q53" i="14"/>
  <c r="M5" i="14"/>
  <c r="M6" i="14"/>
  <c r="M7" i="14"/>
  <c r="M9" i="14"/>
  <c r="M71" i="14"/>
  <c r="M73" i="14"/>
  <c r="Q73" i="14"/>
  <c r="M80" i="14"/>
  <c r="M100" i="14"/>
  <c r="M109" i="14"/>
  <c r="M112" i="14"/>
  <c r="M132" i="14"/>
  <c r="M141" i="14"/>
  <c r="M144" i="14"/>
  <c r="Q33" i="14"/>
  <c r="O30" i="14"/>
  <c r="Q30" i="14"/>
  <c r="Q40" i="14"/>
  <c r="O40" i="14"/>
  <c r="Q48" i="14"/>
  <c r="O48" i="14"/>
  <c r="Q62" i="14"/>
  <c r="O62" i="14"/>
  <c r="Q47" i="14"/>
  <c r="O47" i="14"/>
  <c r="Q39" i="14"/>
  <c r="O39" i="14"/>
  <c r="Q22" i="14"/>
  <c r="O22" i="14"/>
  <c r="Q26" i="14"/>
  <c r="O26" i="14"/>
  <c r="O63" i="14"/>
  <c r="Q63" i="14"/>
  <c r="O61" i="14"/>
  <c r="Q61" i="14"/>
  <c r="O64" i="14"/>
  <c r="Q64" i="14"/>
  <c r="Q42" i="14"/>
  <c r="O42" i="14"/>
  <c r="O50" i="14"/>
  <c r="Q50" i="14"/>
  <c r="Q45" i="14"/>
  <c r="O45" i="14"/>
  <c r="Q37" i="14"/>
  <c r="O37" i="14"/>
  <c r="Q23" i="14"/>
  <c r="O23" i="14"/>
  <c r="Q27" i="14"/>
  <c r="O27" i="14"/>
  <c r="O65" i="14"/>
  <c r="Q65" i="14"/>
  <c r="Q70" i="14"/>
  <c r="O70" i="14"/>
  <c r="O68" i="14"/>
  <c r="Q68" i="14"/>
  <c r="O34" i="14"/>
  <c r="Q34" i="14"/>
  <c r="O31" i="14"/>
  <c r="Q31" i="14"/>
  <c r="Q71" i="14"/>
  <c r="O71" i="14"/>
  <c r="Q36" i="14"/>
  <c r="O36" i="14"/>
  <c r="Q44" i="14"/>
  <c r="O44" i="14"/>
  <c r="Q51" i="14"/>
  <c r="O51" i="14"/>
  <c r="Q43" i="14"/>
  <c r="O43" i="14"/>
  <c r="Q35" i="14"/>
  <c r="O35" i="14"/>
  <c r="Q24" i="14"/>
  <c r="O24" i="14"/>
  <c r="Q28" i="14"/>
  <c r="O28" i="14"/>
  <c r="Q74" i="14"/>
  <c r="O74" i="14"/>
  <c r="Q54" i="14"/>
  <c r="O54" i="14"/>
  <c r="Q56" i="14"/>
  <c r="O56" i="14"/>
  <c r="Q72" i="14"/>
  <c r="O72" i="14"/>
  <c r="O73" i="14"/>
  <c r="Q29" i="14"/>
  <c r="Q38" i="14"/>
  <c r="Q46" i="14"/>
  <c r="O46" i="14"/>
  <c r="Q49" i="14"/>
  <c r="O49" i="14"/>
  <c r="Q41" i="14"/>
  <c r="O41" i="14"/>
  <c r="Q25" i="14"/>
  <c r="O25" i="14"/>
  <c r="Q58" i="14"/>
  <c r="O58" i="14"/>
  <c r="Q59" i="14"/>
  <c r="O59" i="14"/>
  <c r="Q60" i="14"/>
  <c r="O60" i="14"/>
  <c r="B507" i="11"/>
  <c r="X506" i="11"/>
  <c r="V506" i="11"/>
  <c r="T506" i="11"/>
  <c r="R506" i="11"/>
  <c r="P506" i="11"/>
  <c r="N506" i="11"/>
  <c r="L506" i="11"/>
  <c r="J506" i="11"/>
  <c r="H506" i="11"/>
  <c r="F506" i="11"/>
  <c r="D506" i="11"/>
  <c r="B506" i="11"/>
  <c r="X505" i="11"/>
  <c r="V505" i="11"/>
  <c r="T505" i="11"/>
  <c r="R505" i="11"/>
  <c r="P505" i="11"/>
  <c r="N505" i="11"/>
  <c r="L505" i="11"/>
  <c r="J505" i="11"/>
  <c r="H505" i="11"/>
  <c r="F505" i="11"/>
  <c r="D505" i="11"/>
  <c r="B505" i="11"/>
  <c r="X504" i="11"/>
  <c r="V504" i="11"/>
  <c r="T504" i="11"/>
  <c r="R504" i="11"/>
  <c r="P504" i="11"/>
  <c r="N504" i="11"/>
  <c r="L504" i="11"/>
  <c r="J504" i="11"/>
  <c r="H504" i="11"/>
  <c r="F504" i="11"/>
  <c r="D504" i="11"/>
  <c r="B504" i="11"/>
  <c r="X503" i="11"/>
  <c r="V503" i="11"/>
  <c r="T503" i="11"/>
  <c r="R503" i="11"/>
  <c r="P503" i="11"/>
  <c r="N503" i="11"/>
  <c r="L503" i="11"/>
  <c r="J503" i="11"/>
  <c r="H503" i="11"/>
  <c r="F503" i="11"/>
  <c r="D503" i="11"/>
  <c r="B503" i="11"/>
  <c r="X502" i="11"/>
  <c r="V502" i="11"/>
  <c r="T502" i="11"/>
  <c r="R502" i="11"/>
  <c r="P502" i="11"/>
  <c r="N502" i="11"/>
  <c r="L502" i="11"/>
  <c r="J502" i="11"/>
  <c r="H502" i="11"/>
  <c r="F502" i="11"/>
  <c r="D502" i="11"/>
  <c r="B502" i="11"/>
  <c r="X501" i="11"/>
  <c r="V501" i="11"/>
  <c r="T501" i="11"/>
  <c r="R501" i="11"/>
  <c r="P501" i="11"/>
  <c r="N501" i="11"/>
  <c r="L501" i="11"/>
  <c r="J501" i="11"/>
  <c r="H501" i="11"/>
  <c r="F501" i="11"/>
  <c r="D501" i="11"/>
  <c r="B501" i="11"/>
  <c r="X500" i="11"/>
  <c r="V500" i="11"/>
  <c r="T500" i="11"/>
  <c r="R500" i="11"/>
  <c r="P500" i="11"/>
  <c r="N500" i="11"/>
  <c r="L500" i="11"/>
  <c r="J500" i="11"/>
  <c r="H500" i="11"/>
  <c r="F500" i="11"/>
  <c r="D500" i="11"/>
  <c r="B500" i="11"/>
  <c r="X499" i="11"/>
  <c r="V499" i="11"/>
  <c r="T499" i="11"/>
  <c r="R499" i="11"/>
  <c r="P499" i="11"/>
  <c r="N499" i="11"/>
  <c r="L499" i="11"/>
  <c r="J499" i="11"/>
  <c r="H499" i="11"/>
  <c r="F499" i="11"/>
  <c r="D499" i="11"/>
  <c r="B499" i="11"/>
  <c r="X498" i="11"/>
  <c r="V498" i="11"/>
  <c r="T498" i="11"/>
  <c r="R498" i="11"/>
  <c r="P498" i="11"/>
  <c r="N498" i="11"/>
  <c r="L498" i="11"/>
  <c r="J498" i="11"/>
  <c r="H498" i="11"/>
  <c r="F498" i="11"/>
  <c r="D498" i="11"/>
  <c r="B498" i="11"/>
  <c r="X497" i="11"/>
  <c r="V497" i="11"/>
  <c r="T497" i="11"/>
  <c r="R497" i="11"/>
  <c r="P497" i="11"/>
  <c r="N497" i="11"/>
  <c r="L497" i="11"/>
  <c r="J497" i="11"/>
  <c r="H497" i="11"/>
  <c r="F497" i="11"/>
  <c r="D497" i="11"/>
  <c r="B497" i="11"/>
  <c r="X496" i="11"/>
  <c r="V496" i="11"/>
  <c r="T496" i="11"/>
  <c r="R496" i="11"/>
  <c r="P496" i="11"/>
  <c r="N496" i="11"/>
  <c r="L496" i="11"/>
  <c r="J496" i="11"/>
  <c r="H496" i="11"/>
  <c r="F496" i="11"/>
  <c r="D496" i="11"/>
  <c r="B496" i="11"/>
  <c r="X495" i="11"/>
  <c r="V495" i="11"/>
  <c r="T495" i="11"/>
  <c r="R495" i="11"/>
  <c r="P495" i="11"/>
  <c r="N495" i="11"/>
  <c r="L495" i="11"/>
  <c r="J495" i="11"/>
  <c r="H495" i="11"/>
  <c r="F495" i="11"/>
  <c r="D495" i="11"/>
  <c r="B495" i="11"/>
  <c r="X494" i="11"/>
  <c r="V494" i="11"/>
  <c r="T494" i="11"/>
  <c r="R494" i="11"/>
  <c r="P494" i="11"/>
  <c r="N494" i="11"/>
  <c r="L494" i="11"/>
  <c r="J494" i="11"/>
  <c r="H494" i="11"/>
  <c r="F494" i="11"/>
  <c r="D494" i="11"/>
  <c r="B494" i="11"/>
  <c r="X493" i="11"/>
  <c r="V493" i="11"/>
  <c r="T493" i="11"/>
  <c r="R493" i="11"/>
  <c r="P493" i="11"/>
  <c r="N493" i="11"/>
  <c r="L493" i="11"/>
  <c r="J493" i="11"/>
  <c r="H493" i="11"/>
  <c r="F493" i="11"/>
  <c r="D493" i="11"/>
  <c r="B493" i="11"/>
  <c r="X492" i="11"/>
  <c r="V492" i="11"/>
  <c r="T492" i="11"/>
  <c r="R492" i="11"/>
  <c r="P492" i="11"/>
  <c r="N492" i="11"/>
  <c r="L492" i="11"/>
  <c r="J492" i="11"/>
  <c r="H492" i="11"/>
  <c r="F492" i="11"/>
  <c r="D492" i="11"/>
  <c r="B492" i="11"/>
  <c r="X491" i="11"/>
  <c r="V491" i="11"/>
  <c r="T491" i="11"/>
  <c r="R491" i="11"/>
  <c r="P491" i="11"/>
  <c r="N491" i="11"/>
  <c r="L491" i="11"/>
  <c r="J491" i="11"/>
  <c r="H491" i="11"/>
  <c r="F491" i="11"/>
  <c r="D491" i="11"/>
  <c r="B491" i="11"/>
  <c r="X490" i="11"/>
  <c r="V490" i="11"/>
  <c r="T490" i="11"/>
  <c r="R490" i="11"/>
  <c r="P490" i="11"/>
  <c r="N490" i="11"/>
  <c r="L490" i="11"/>
  <c r="J490" i="11"/>
  <c r="H490" i="11"/>
  <c r="F490" i="11"/>
  <c r="D490" i="11"/>
  <c r="B490" i="11"/>
  <c r="X489" i="11"/>
  <c r="V489" i="11"/>
  <c r="T489" i="11"/>
  <c r="R489" i="11"/>
  <c r="P489" i="11"/>
  <c r="N489" i="11"/>
  <c r="L489" i="11"/>
  <c r="J489" i="11"/>
  <c r="H489" i="11"/>
  <c r="F489" i="11"/>
  <c r="D489" i="11"/>
  <c r="B489" i="11"/>
  <c r="X488" i="11"/>
  <c r="V488" i="11"/>
  <c r="T488" i="11"/>
  <c r="R488" i="11"/>
  <c r="P488" i="11"/>
  <c r="N488" i="11"/>
  <c r="L488" i="11"/>
  <c r="J488" i="11"/>
  <c r="H488" i="11"/>
  <c r="F488" i="11"/>
  <c r="D488" i="11"/>
  <c r="B488" i="11"/>
  <c r="X487" i="11"/>
  <c r="V487" i="11"/>
  <c r="T487" i="11"/>
  <c r="R487" i="11"/>
  <c r="P487" i="11"/>
  <c r="N487" i="11"/>
  <c r="L487" i="11"/>
  <c r="J487" i="11"/>
  <c r="H487" i="11"/>
  <c r="F487" i="11"/>
  <c r="D487" i="11"/>
  <c r="B487" i="11"/>
  <c r="X486" i="11"/>
  <c r="V486" i="11"/>
  <c r="T486" i="11"/>
  <c r="R486" i="11"/>
  <c r="P486" i="11"/>
  <c r="N486" i="11"/>
  <c r="L486" i="11"/>
  <c r="J486" i="11"/>
  <c r="H486" i="11"/>
  <c r="F486" i="11"/>
  <c r="D486" i="11"/>
  <c r="B486" i="11"/>
  <c r="X485" i="11"/>
  <c r="V485" i="11"/>
  <c r="T485" i="11"/>
  <c r="R485" i="11"/>
  <c r="P485" i="11"/>
  <c r="N485" i="11"/>
  <c r="L485" i="11"/>
  <c r="J485" i="11"/>
  <c r="H485" i="11"/>
  <c r="F485" i="11"/>
  <c r="D485" i="11"/>
  <c r="B485" i="11"/>
  <c r="X484" i="11"/>
  <c r="V484" i="11"/>
  <c r="T484" i="11"/>
  <c r="R484" i="11"/>
  <c r="P484" i="11"/>
  <c r="N484" i="11"/>
  <c r="L484" i="11"/>
  <c r="J484" i="11"/>
  <c r="H484" i="11"/>
  <c r="F484" i="11"/>
  <c r="D484" i="11"/>
  <c r="B484" i="11"/>
  <c r="X483" i="11"/>
  <c r="V483" i="11"/>
  <c r="T483" i="11"/>
  <c r="R483" i="11"/>
  <c r="P483" i="11"/>
  <c r="N483" i="11"/>
  <c r="L483" i="11"/>
  <c r="J483" i="11"/>
  <c r="H483" i="11"/>
  <c r="F483" i="11"/>
  <c r="D483" i="11"/>
  <c r="B483" i="11"/>
  <c r="X482" i="11"/>
  <c r="V482" i="11"/>
  <c r="T482" i="11"/>
  <c r="R482" i="11"/>
  <c r="P482" i="11"/>
  <c r="N482" i="11"/>
  <c r="L482" i="11"/>
  <c r="J482" i="11"/>
  <c r="H482" i="11"/>
  <c r="F482" i="11"/>
  <c r="D482" i="11"/>
  <c r="B482" i="11"/>
  <c r="X481" i="11"/>
  <c r="V481" i="11"/>
  <c r="T481" i="11"/>
  <c r="R481" i="11"/>
  <c r="P481" i="11"/>
  <c r="N481" i="11"/>
  <c r="L481" i="11"/>
  <c r="J481" i="11"/>
  <c r="H481" i="11"/>
  <c r="F481" i="11"/>
  <c r="D481" i="11"/>
  <c r="B481" i="11"/>
  <c r="X480" i="11"/>
  <c r="V480" i="11"/>
  <c r="T480" i="11"/>
  <c r="R480" i="11"/>
  <c r="P480" i="11"/>
  <c r="N480" i="11"/>
  <c r="L480" i="11"/>
  <c r="J480" i="11"/>
  <c r="H480" i="11"/>
  <c r="F480" i="11"/>
  <c r="D480" i="11"/>
  <c r="B480" i="11"/>
  <c r="X479" i="11"/>
  <c r="V479" i="11"/>
  <c r="T479" i="11"/>
  <c r="R479" i="11"/>
  <c r="P479" i="11"/>
  <c r="N479" i="11"/>
  <c r="L479" i="11"/>
  <c r="J479" i="11"/>
  <c r="H479" i="11"/>
  <c r="F479" i="11"/>
  <c r="D479" i="11"/>
  <c r="B479" i="11"/>
  <c r="X478" i="11"/>
  <c r="V478" i="11"/>
  <c r="T478" i="11"/>
  <c r="R478" i="11"/>
  <c r="P478" i="11"/>
  <c r="N478" i="11"/>
  <c r="L478" i="11"/>
  <c r="J478" i="11"/>
  <c r="H478" i="11"/>
  <c r="F478" i="11"/>
  <c r="D478" i="11"/>
  <c r="B478" i="11"/>
  <c r="X477" i="11"/>
  <c r="V477" i="11"/>
  <c r="T477" i="11"/>
  <c r="R477" i="11"/>
  <c r="P477" i="11"/>
  <c r="N477" i="11"/>
  <c r="L477" i="11"/>
  <c r="J477" i="11"/>
  <c r="H477" i="11"/>
  <c r="F477" i="11"/>
  <c r="D477" i="11"/>
  <c r="B477" i="11"/>
  <c r="X476" i="11"/>
  <c r="V476" i="11"/>
  <c r="T476" i="11"/>
  <c r="R476" i="11"/>
  <c r="P476" i="11"/>
  <c r="N476" i="11"/>
  <c r="L476" i="11"/>
  <c r="J476" i="11"/>
  <c r="H476" i="11"/>
  <c r="F476" i="11"/>
  <c r="D476" i="11"/>
  <c r="B476" i="11"/>
  <c r="X475" i="11"/>
  <c r="V475" i="11"/>
  <c r="T475" i="11"/>
  <c r="R475" i="11"/>
  <c r="P475" i="11"/>
  <c r="N475" i="11"/>
  <c r="L475" i="11"/>
  <c r="J475" i="11"/>
  <c r="H475" i="11"/>
  <c r="F475" i="11"/>
  <c r="D475" i="11"/>
  <c r="B475" i="11"/>
  <c r="X474" i="11"/>
  <c r="V474" i="11"/>
  <c r="T474" i="11"/>
  <c r="R474" i="11"/>
  <c r="P474" i="11"/>
  <c r="N474" i="11"/>
  <c r="L474" i="11"/>
  <c r="J474" i="11"/>
  <c r="H474" i="11"/>
  <c r="F474" i="11"/>
  <c r="D474" i="11"/>
  <c r="B474" i="11"/>
  <c r="X473" i="11"/>
  <c r="V473" i="11"/>
  <c r="T473" i="11"/>
  <c r="R473" i="11"/>
  <c r="P473" i="11"/>
  <c r="N473" i="11"/>
  <c r="L473" i="11"/>
  <c r="J473" i="11"/>
  <c r="H473" i="11"/>
  <c r="F473" i="11"/>
  <c r="D473" i="11"/>
  <c r="B473" i="11"/>
  <c r="X472" i="11"/>
  <c r="U472" i="11"/>
  <c r="T472" i="11"/>
  <c r="R472" i="11"/>
  <c r="P472" i="11"/>
  <c r="N472" i="11"/>
  <c r="L472" i="11"/>
  <c r="J472" i="11"/>
  <c r="H472" i="11"/>
  <c r="F472" i="11"/>
  <c r="D472" i="11"/>
  <c r="B472" i="11"/>
  <c r="X471" i="11"/>
  <c r="T471" i="11"/>
  <c r="R471" i="11"/>
  <c r="P471" i="11"/>
  <c r="N471" i="11"/>
  <c r="L471" i="11"/>
  <c r="J471" i="11"/>
  <c r="H471" i="11"/>
  <c r="F471" i="11"/>
  <c r="D471" i="11"/>
  <c r="B471" i="11"/>
  <c r="X470" i="11"/>
  <c r="V470" i="11"/>
  <c r="T470" i="11"/>
  <c r="R470" i="11"/>
  <c r="P470" i="11"/>
  <c r="N470" i="11"/>
  <c r="L470" i="11"/>
  <c r="J470" i="11"/>
  <c r="H470" i="11"/>
  <c r="F470" i="11"/>
  <c r="D470" i="11"/>
  <c r="B470" i="11"/>
  <c r="X469" i="11"/>
  <c r="V469" i="11"/>
  <c r="T469" i="11"/>
  <c r="R469" i="11"/>
  <c r="P469" i="11"/>
  <c r="N469" i="11"/>
  <c r="L469" i="11"/>
  <c r="J469" i="11"/>
  <c r="H469" i="11"/>
  <c r="F469" i="11"/>
  <c r="D469" i="11"/>
  <c r="B469" i="11"/>
  <c r="X468" i="11"/>
  <c r="V468" i="11"/>
  <c r="T468" i="11"/>
  <c r="R468" i="11"/>
  <c r="P468" i="11"/>
  <c r="N468" i="11"/>
  <c r="L468" i="11"/>
  <c r="J468" i="11"/>
  <c r="H468" i="11"/>
  <c r="F468" i="11"/>
  <c r="D468" i="11"/>
  <c r="B468" i="11"/>
  <c r="X467" i="11"/>
  <c r="V467" i="11"/>
  <c r="T467" i="11"/>
  <c r="R467" i="11"/>
  <c r="P467" i="11"/>
  <c r="N467" i="11"/>
  <c r="L467" i="11"/>
  <c r="J467" i="11"/>
  <c r="H467" i="11"/>
  <c r="F467" i="11"/>
  <c r="D467" i="11"/>
  <c r="B467" i="11"/>
  <c r="X466" i="11"/>
  <c r="V466" i="11"/>
  <c r="T466" i="11"/>
  <c r="R466" i="11"/>
  <c r="P466" i="11"/>
  <c r="N466" i="11"/>
  <c r="L466" i="11"/>
  <c r="J466" i="11"/>
  <c r="H466" i="11"/>
  <c r="F466" i="11"/>
  <c r="D466" i="11"/>
  <c r="B466" i="11"/>
  <c r="X465" i="11"/>
  <c r="V465" i="11"/>
  <c r="T465" i="11"/>
  <c r="R465" i="11"/>
  <c r="P465" i="11"/>
  <c r="N465" i="11"/>
  <c r="L465" i="11"/>
  <c r="J465" i="11"/>
  <c r="H465" i="11"/>
  <c r="F465" i="11"/>
  <c r="D465" i="11"/>
  <c r="B465" i="11"/>
  <c r="X464" i="11"/>
  <c r="V464" i="11"/>
  <c r="T464" i="11"/>
  <c r="R464" i="11"/>
  <c r="P464" i="11"/>
  <c r="N464" i="11"/>
  <c r="L464" i="11"/>
  <c r="J464" i="11"/>
  <c r="H464" i="11"/>
  <c r="F464" i="11"/>
  <c r="D464" i="11"/>
  <c r="B464" i="11"/>
  <c r="X463" i="11"/>
  <c r="V463" i="11"/>
  <c r="T463" i="11"/>
  <c r="R463" i="11"/>
  <c r="P463" i="11"/>
  <c r="N463" i="11"/>
  <c r="L463" i="11"/>
  <c r="J463" i="11"/>
  <c r="H463" i="11"/>
  <c r="F463" i="11"/>
  <c r="C463" i="11"/>
  <c r="B463" i="11"/>
  <c r="X462" i="11"/>
  <c r="V462" i="11"/>
  <c r="T462" i="11"/>
  <c r="R462" i="11"/>
  <c r="P462" i="11"/>
  <c r="N462" i="11"/>
  <c r="L462" i="11"/>
  <c r="J462" i="11"/>
  <c r="H462" i="11"/>
  <c r="F462" i="11"/>
  <c r="B462" i="11"/>
  <c r="X461" i="11"/>
  <c r="V461" i="11"/>
  <c r="T461" i="11"/>
  <c r="R461" i="11"/>
  <c r="P461" i="11"/>
  <c r="N461" i="11"/>
  <c r="L461" i="11"/>
  <c r="J461" i="11"/>
  <c r="H461" i="11"/>
  <c r="F461" i="11"/>
  <c r="D461" i="11"/>
  <c r="B461" i="11"/>
  <c r="X460" i="11"/>
  <c r="V460" i="11"/>
  <c r="T460" i="11"/>
  <c r="R460" i="11"/>
  <c r="P460" i="11"/>
  <c r="N460" i="11"/>
  <c r="L460" i="11"/>
  <c r="J460" i="11"/>
  <c r="H460" i="11"/>
  <c r="F460" i="11"/>
  <c r="D460" i="11"/>
  <c r="B460" i="11"/>
  <c r="X459" i="11"/>
  <c r="V459" i="11"/>
  <c r="T459" i="11"/>
  <c r="R459" i="11"/>
  <c r="P459" i="11"/>
  <c r="N459" i="11"/>
  <c r="L459" i="11"/>
  <c r="J459" i="11"/>
  <c r="H459" i="11"/>
  <c r="F459" i="11"/>
  <c r="D459" i="11"/>
  <c r="B459" i="11"/>
  <c r="X458" i="11"/>
  <c r="V458" i="11"/>
  <c r="T458" i="11"/>
  <c r="R458" i="11"/>
  <c r="P458" i="11"/>
  <c r="N458" i="11"/>
  <c r="L458" i="11"/>
  <c r="J458" i="11"/>
  <c r="H458" i="11"/>
  <c r="F458" i="11"/>
  <c r="D458" i="11"/>
  <c r="B458" i="11"/>
  <c r="X457" i="11"/>
  <c r="V457" i="11"/>
  <c r="T457" i="11"/>
  <c r="R457" i="11"/>
  <c r="P457" i="11"/>
  <c r="N457" i="11"/>
  <c r="L457" i="11"/>
  <c r="J457" i="11"/>
  <c r="H457" i="11"/>
  <c r="F457" i="11"/>
  <c r="D457" i="11"/>
  <c r="B457" i="11"/>
  <c r="X456" i="11"/>
  <c r="V456" i="11"/>
  <c r="T456" i="11"/>
  <c r="R456" i="11"/>
  <c r="P456" i="11"/>
  <c r="N456" i="11"/>
  <c r="L456" i="11"/>
  <c r="J456" i="11"/>
  <c r="H456" i="11"/>
  <c r="F456" i="11"/>
  <c r="D456" i="11"/>
  <c r="B456" i="11"/>
  <c r="X455" i="11"/>
  <c r="V455" i="11"/>
  <c r="T455" i="11"/>
  <c r="R455" i="11"/>
  <c r="P455" i="11"/>
  <c r="N455" i="11"/>
  <c r="L455" i="11"/>
  <c r="J455" i="11"/>
  <c r="H455" i="11"/>
  <c r="F455" i="11"/>
  <c r="D455" i="11"/>
  <c r="B455" i="11"/>
  <c r="X454" i="11"/>
  <c r="V454" i="11"/>
  <c r="T454" i="11"/>
  <c r="R454" i="11"/>
  <c r="P454" i="11"/>
  <c r="N454" i="11"/>
  <c r="L454" i="11"/>
  <c r="J454" i="11"/>
  <c r="H454" i="11"/>
  <c r="F454" i="11"/>
  <c r="D454" i="11"/>
  <c r="B454" i="11"/>
  <c r="X453" i="11"/>
  <c r="V453" i="11"/>
  <c r="T453" i="11"/>
  <c r="R453" i="11"/>
  <c r="P453" i="11"/>
  <c r="N453" i="11"/>
  <c r="L453" i="11"/>
  <c r="J453" i="11"/>
  <c r="H453" i="11"/>
  <c r="F453" i="11"/>
  <c r="D453" i="11"/>
  <c r="B453" i="11"/>
  <c r="X452" i="11"/>
  <c r="V452" i="11"/>
  <c r="T452" i="11"/>
  <c r="R452" i="11"/>
  <c r="P452" i="11"/>
  <c r="N452" i="11"/>
  <c r="L452" i="11"/>
  <c r="J452" i="11"/>
  <c r="H452" i="11"/>
  <c r="F452" i="11"/>
  <c r="D452" i="11"/>
  <c r="B452" i="11"/>
  <c r="X451" i="11"/>
  <c r="V451" i="11"/>
  <c r="T451" i="11"/>
  <c r="R451" i="11"/>
  <c r="P451" i="11"/>
  <c r="N451" i="11"/>
  <c r="L451" i="11"/>
  <c r="J451" i="11"/>
  <c r="H451" i="11"/>
  <c r="F451" i="11"/>
  <c r="D451" i="11"/>
  <c r="B451" i="11"/>
  <c r="X450" i="11"/>
  <c r="V450" i="11"/>
  <c r="T450" i="11"/>
  <c r="R450" i="11"/>
  <c r="P450" i="11"/>
  <c r="N450" i="11"/>
  <c r="L450" i="11"/>
  <c r="J450" i="11"/>
  <c r="H450" i="11"/>
  <c r="F450" i="11"/>
  <c r="D450" i="11"/>
  <c r="B450" i="11"/>
  <c r="X449" i="11"/>
  <c r="V449" i="11"/>
  <c r="T449" i="11"/>
  <c r="R449" i="11"/>
  <c r="P449" i="11"/>
  <c r="N449" i="11"/>
  <c r="L449" i="11"/>
  <c r="J449" i="11"/>
  <c r="H449" i="11"/>
  <c r="F449" i="11"/>
  <c r="D449" i="11"/>
  <c r="B449" i="11"/>
  <c r="X448" i="11"/>
  <c r="V448" i="11"/>
  <c r="T448" i="11"/>
  <c r="R448" i="11"/>
  <c r="P448" i="11"/>
  <c r="N448" i="11"/>
  <c r="L448" i="11"/>
  <c r="J448" i="11"/>
  <c r="H448" i="11"/>
  <c r="F448" i="11"/>
  <c r="D448" i="11"/>
  <c r="B448" i="11"/>
  <c r="X447" i="11"/>
  <c r="V447" i="11"/>
  <c r="T447" i="11"/>
  <c r="R447" i="11"/>
  <c r="P447" i="11"/>
  <c r="N447" i="11"/>
  <c r="L447" i="11"/>
  <c r="J447" i="11"/>
  <c r="H447" i="11"/>
  <c r="F447" i="11"/>
  <c r="D447" i="11"/>
  <c r="B447" i="11"/>
  <c r="X446" i="11"/>
  <c r="V446" i="11"/>
  <c r="T446" i="11"/>
  <c r="R446" i="11"/>
  <c r="P446" i="11"/>
  <c r="N446" i="11"/>
  <c r="L446" i="11"/>
  <c r="J446" i="11"/>
  <c r="H446" i="11"/>
  <c r="F446" i="11"/>
  <c r="D446" i="11"/>
  <c r="B446" i="11"/>
  <c r="X445" i="11"/>
  <c r="V445" i="11"/>
  <c r="T445" i="11"/>
  <c r="R445" i="11"/>
  <c r="P445" i="11"/>
  <c r="N445" i="11"/>
  <c r="L445" i="11"/>
  <c r="J445" i="11"/>
  <c r="H445" i="11"/>
  <c r="F445" i="11"/>
  <c r="D445" i="11"/>
  <c r="B445" i="11"/>
  <c r="X444" i="11"/>
  <c r="V444" i="11"/>
  <c r="T444" i="11"/>
  <c r="R444" i="11"/>
  <c r="P444" i="11"/>
  <c r="N444" i="11"/>
  <c r="L444" i="11"/>
  <c r="J444" i="11"/>
  <c r="H444" i="11"/>
  <c r="F444" i="11"/>
  <c r="D444" i="11"/>
  <c r="B444" i="11"/>
  <c r="X443" i="11"/>
  <c r="V443" i="11"/>
  <c r="T443" i="11"/>
  <c r="R443" i="11"/>
  <c r="P443" i="11"/>
  <c r="N443" i="11"/>
  <c r="L443" i="11"/>
  <c r="J443" i="11"/>
  <c r="H443" i="11"/>
  <c r="F443" i="11"/>
  <c r="D443" i="11"/>
  <c r="B443" i="11"/>
  <c r="X442" i="11"/>
  <c r="V442" i="11"/>
  <c r="T442" i="11"/>
  <c r="R442" i="11"/>
  <c r="P442" i="11"/>
  <c r="N442" i="11"/>
  <c r="L442" i="11"/>
  <c r="J442" i="11"/>
  <c r="H442" i="11"/>
  <c r="F442" i="11"/>
  <c r="D442" i="11"/>
  <c r="B442" i="11"/>
  <c r="X441" i="11"/>
  <c r="V441" i="11"/>
  <c r="T441" i="11"/>
  <c r="R441" i="11"/>
  <c r="P441" i="11"/>
  <c r="N441" i="11"/>
  <c r="L441" i="11"/>
  <c r="J441" i="11"/>
  <c r="H441" i="11"/>
  <c r="F441" i="11"/>
  <c r="D441" i="11"/>
  <c r="B441" i="11"/>
  <c r="X440" i="11"/>
  <c r="V440" i="11"/>
  <c r="T440" i="11"/>
  <c r="R440" i="11"/>
  <c r="P440" i="11"/>
  <c r="N440" i="11"/>
  <c r="L440" i="11"/>
  <c r="J440" i="11"/>
  <c r="H440" i="11"/>
  <c r="F440" i="11"/>
  <c r="D440" i="11"/>
  <c r="B440" i="11"/>
  <c r="X439" i="11"/>
  <c r="V439" i="11"/>
  <c r="T439" i="11"/>
  <c r="R439" i="11"/>
  <c r="P439" i="11"/>
  <c r="N439" i="11"/>
  <c r="L439" i="11"/>
  <c r="J439" i="11"/>
  <c r="H439" i="11"/>
  <c r="F439" i="11"/>
  <c r="D439" i="11"/>
  <c r="B439" i="11"/>
  <c r="X438" i="11"/>
  <c r="V438" i="11"/>
  <c r="T438" i="11"/>
  <c r="R438" i="11"/>
  <c r="P438" i="11"/>
  <c r="N438" i="11"/>
  <c r="L438" i="11"/>
  <c r="J438" i="11"/>
  <c r="H438" i="11"/>
  <c r="F438" i="11"/>
  <c r="D438" i="11"/>
  <c r="B438" i="11"/>
  <c r="X437" i="11"/>
  <c r="V437" i="11"/>
  <c r="T437" i="11"/>
  <c r="R437" i="11"/>
  <c r="P437" i="11"/>
  <c r="N437" i="11"/>
  <c r="L437" i="11"/>
  <c r="J437" i="11"/>
  <c r="H437" i="11"/>
  <c r="F437" i="11"/>
  <c r="D437" i="11"/>
  <c r="B437" i="11"/>
  <c r="X436" i="11"/>
  <c r="V436" i="11"/>
  <c r="T436" i="11"/>
  <c r="R436" i="11"/>
  <c r="P436" i="11"/>
  <c r="N436" i="11"/>
  <c r="L436" i="11"/>
  <c r="J436" i="11"/>
  <c r="H436" i="11"/>
  <c r="F436" i="11"/>
  <c r="D436" i="11"/>
  <c r="B436" i="11"/>
  <c r="X435" i="11"/>
  <c r="V435" i="11"/>
  <c r="T435" i="11"/>
  <c r="R435" i="11"/>
  <c r="P435" i="11"/>
  <c r="N435" i="11"/>
  <c r="L435" i="11"/>
  <c r="J435" i="11"/>
  <c r="H435" i="11"/>
  <c r="F435" i="11"/>
  <c r="D435" i="11"/>
  <c r="B435" i="11"/>
  <c r="X434" i="11"/>
  <c r="V434" i="11"/>
  <c r="T434" i="11"/>
  <c r="R434" i="11"/>
  <c r="P434" i="11"/>
  <c r="N434" i="11"/>
  <c r="L434" i="11"/>
  <c r="J434" i="11"/>
  <c r="H434" i="11"/>
  <c r="F434" i="11"/>
  <c r="D434" i="11"/>
  <c r="B434" i="11"/>
  <c r="X433" i="11"/>
  <c r="V433" i="11"/>
  <c r="T433" i="11"/>
  <c r="R433" i="11"/>
  <c r="P433" i="11"/>
  <c r="N433" i="11"/>
  <c r="L433" i="11"/>
  <c r="J433" i="11"/>
  <c r="H433" i="11"/>
  <c r="F433" i="11"/>
  <c r="D433" i="11"/>
  <c r="B433" i="11"/>
  <c r="X432" i="11"/>
  <c r="V432" i="11"/>
  <c r="T432" i="11"/>
  <c r="R432" i="11"/>
  <c r="P432" i="11"/>
  <c r="N432" i="11"/>
  <c r="L432" i="11"/>
  <c r="J432" i="11"/>
  <c r="H432" i="11"/>
  <c r="F432" i="11"/>
  <c r="D432" i="11"/>
  <c r="B432" i="11"/>
  <c r="X431" i="11"/>
  <c r="V431" i="11"/>
  <c r="T431" i="11"/>
  <c r="R431" i="11"/>
  <c r="P431" i="11"/>
  <c r="N431" i="11"/>
  <c r="L431" i="11"/>
  <c r="J431" i="11"/>
  <c r="H431" i="11"/>
  <c r="F431" i="11"/>
  <c r="D431" i="11"/>
  <c r="B431" i="11"/>
  <c r="X430" i="11"/>
  <c r="V430" i="11"/>
  <c r="T430" i="11"/>
  <c r="R430" i="11"/>
  <c r="P430" i="11"/>
  <c r="N430" i="11"/>
  <c r="L430" i="11"/>
  <c r="J430" i="11"/>
  <c r="H430" i="11"/>
  <c r="F430" i="11"/>
  <c r="D430" i="11"/>
  <c r="B430" i="11"/>
  <c r="X429" i="11"/>
  <c r="V429" i="11"/>
  <c r="T429" i="11"/>
  <c r="R429" i="11"/>
  <c r="P429" i="11"/>
  <c r="N429" i="11"/>
  <c r="L429" i="11"/>
  <c r="J429" i="11"/>
  <c r="H429" i="11"/>
  <c r="F429" i="11"/>
  <c r="D429" i="11"/>
  <c r="B429" i="11"/>
  <c r="X428" i="11"/>
  <c r="V428" i="11"/>
  <c r="T428" i="11"/>
  <c r="R428" i="11"/>
  <c r="P428" i="11"/>
  <c r="N428" i="11"/>
  <c r="L428" i="11"/>
  <c r="J428" i="11"/>
  <c r="H428" i="11"/>
  <c r="F428" i="11"/>
  <c r="D428" i="11"/>
  <c r="B428" i="11"/>
  <c r="X427" i="11"/>
  <c r="V427" i="11"/>
  <c r="T427" i="11"/>
  <c r="R427" i="11"/>
  <c r="P427" i="11"/>
  <c r="N427" i="11"/>
  <c r="L427" i="11"/>
  <c r="J427" i="11"/>
  <c r="H427" i="11"/>
  <c r="F427" i="11"/>
  <c r="D427" i="11"/>
  <c r="B427" i="11"/>
  <c r="X426" i="11"/>
  <c r="V426" i="11"/>
  <c r="T426" i="11"/>
  <c r="R426" i="11"/>
  <c r="P426" i="11"/>
  <c r="N426" i="11"/>
  <c r="L426" i="11"/>
  <c r="J426" i="11"/>
  <c r="H426" i="11"/>
  <c r="F426" i="11"/>
  <c r="D426" i="11"/>
  <c r="B426" i="11"/>
  <c r="X425" i="11"/>
  <c r="V425" i="11"/>
  <c r="T425" i="11"/>
  <c r="R425" i="11"/>
  <c r="P425" i="11"/>
  <c r="N425" i="11"/>
  <c r="L425" i="11"/>
  <c r="J425" i="11"/>
  <c r="H425" i="11"/>
  <c r="F425" i="11"/>
  <c r="D425" i="11"/>
  <c r="B425" i="11"/>
  <c r="X424" i="11"/>
  <c r="V424" i="11"/>
  <c r="T424" i="11"/>
  <c r="R424" i="11"/>
  <c r="P424" i="11"/>
  <c r="N424" i="11"/>
  <c r="L424" i="11"/>
  <c r="J424" i="11"/>
  <c r="H424" i="11"/>
  <c r="F424" i="11"/>
  <c r="D424" i="11"/>
  <c r="B424" i="11"/>
  <c r="X423" i="11"/>
  <c r="V423" i="11"/>
  <c r="T423" i="11"/>
  <c r="R423" i="11"/>
  <c r="P423" i="11"/>
  <c r="N423" i="11"/>
  <c r="L423" i="11"/>
  <c r="J423" i="11"/>
  <c r="H423" i="11"/>
  <c r="F423" i="11"/>
  <c r="D423" i="11"/>
  <c r="B423" i="11"/>
  <c r="X422" i="11"/>
  <c r="V422" i="11"/>
  <c r="T422" i="11"/>
  <c r="R422" i="11"/>
  <c r="P422" i="11"/>
  <c r="N422" i="11"/>
  <c r="L422" i="11"/>
  <c r="J422" i="11"/>
  <c r="H422" i="11"/>
  <c r="F422" i="11"/>
  <c r="D422" i="11"/>
  <c r="B422" i="11"/>
  <c r="X421" i="11"/>
  <c r="V421" i="11"/>
  <c r="T421" i="11"/>
  <c r="R421" i="11"/>
  <c r="P421" i="11"/>
  <c r="N421" i="11"/>
  <c r="L421" i="11"/>
  <c r="J421" i="11"/>
  <c r="H421" i="11"/>
  <c r="F421" i="11"/>
  <c r="D421" i="11"/>
  <c r="B421" i="11"/>
  <c r="X420" i="11"/>
  <c r="V420" i="11"/>
  <c r="T420" i="11"/>
  <c r="R420" i="11"/>
  <c r="P420" i="11"/>
  <c r="N420" i="11"/>
  <c r="L420" i="11"/>
  <c r="J420" i="11"/>
  <c r="H420" i="11"/>
  <c r="F420" i="11"/>
  <c r="D420" i="11"/>
  <c r="B420" i="11"/>
  <c r="X419" i="11"/>
  <c r="V419" i="11"/>
  <c r="T419" i="11"/>
  <c r="R419" i="11"/>
  <c r="P419" i="11"/>
  <c r="N419" i="11"/>
  <c r="L419" i="11"/>
  <c r="J419" i="11"/>
  <c r="H419" i="11"/>
  <c r="F419" i="11"/>
  <c r="D419" i="11"/>
  <c r="B419" i="11"/>
  <c r="X418" i="11"/>
  <c r="V418" i="11"/>
  <c r="T418" i="11"/>
  <c r="R418" i="11"/>
  <c r="P418" i="11"/>
  <c r="N418" i="11"/>
  <c r="L418" i="11"/>
  <c r="J418" i="11"/>
  <c r="H418" i="11"/>
  <c r="F418" i="11"/>
  <c r="D418" i="11"/>
  <c r="B418" i="11"/>
  <c r="X417" i="11"/>
  <c r="V417" i="11"/>
  <c r="T417" i="11"/>
  <c r="R417" i="11"/>
  <c r="P417" i="11"/>
  <c r="N417" i="11"/>
  <c r="L417" i="11"/>
  <c r="J417" i="11"/>
  <c r="H417" i="11"/>
  <c r="F417" i="11"/>
  <c r="D417" i="11"/>
  <c r="B417" i="11"/>
  <c r="X416" i="11"/>
  <c r="V416" i="11"/>
  <c r="T416" i="11"/>
  <c r="R416" i="11"/>
  <c r="P416" i="11"/>
  <c r="N416" i="11"/>
  <c r="L416" i="11"/>
  <c r="J416" i="11"/>
  <c r="H416" i="11"/>
  <c r="F416" i="11"/>
  <c r="D416" i="11"/>
  <c r="B416" i="11"/>
  <c r="X415" i="11"/>
  <c r="V415" i="11"/>
  <c r="T415" i="11"/>
  <c r="R415" i="11"/>
  <c r="P415" i="11"/>
  <c r="N415" i="11"/>
  <c r="L415" i="11"/>
  <c r="J415" i="11"/>
  <c r="H415" i="11"/>
  <c r="F415" i="11"/>
  <c r="D415" i="11"/>
  <c r="B415" i="11"/>
  <c r="X414" i="11"/>
  <c r="V414" i="11"/>
  <c r="T414" i="11"/>
  <c r="R414" i="11"/>
  <c r="P414" i="11"/>
  <c r="N414" i="11"/>
  <c r="L414" i="11"/>
  <c r="J414" i="11"/>
  <c r="H414" i="11"/>
  <c r="F414" i="11"/>
  <c r="D414" i="11"/>
  <c r="B414" i="11"/>
  <c r="X413" i="11"/>
  <c r="V413" i="11"/>
  <c r="T413" i="11"/>
  <c r="R413" i="11"/>
  <c r="P413" i="11"/>
  <c r="N413" i="11"/>
  <c r="L413" i="11"/>
  <c r="J413" i="11"/>
  <c r="H413" i="11"/>
  <c r="F413" i="11"/>
  <c r="D413" i="11"/>
  <c r="B413" i="11"/>
  <c r="X412" i="11"/>
  <c r="V412" i="11"/>
  <c r="T412" i="11"/>
  <c r="R412" i="11"/>
  <c r="P412" i="11"/>
  <c r="N412" i="11"/>
  <c r="L412" i="11"/>
  <c r="J412" i="11"/>
  <c r="H412" i="11"/>
  <c r="F412" i="11"/>
  <c r="D412" i="11"/>
  <c r="B412" i="11"/>
  <c r="X411" i="11"/>
  <c r="V411" i="11"/>
  <c r="T411" i="11"/>
  <c r="R411" i="11"/>
  <c r="P411" i="11"/>
  <c r="N411" i="11"/>
  <c r="L411" i="11"/>
  <c r="J411" i="11"/>
  <c r="H411" i="11"/>
  <c r="F411" i="11"/>
  <c r="D411" i="11"/>
  <c r="B411" i="11"/>
  <c r="X410" i="11"/>
  <c r="V410" i="11"/>
  <c r="T410" i="11"/>
  <c r="R410" i="11"/>
  <c r="P410" i="11"/>
  <c r="N410" i="11"/>
  <c r="L410" i="11"/>
  <c r="J410" i="11"/>
  <c r="H410" i="11"/>
  <c r="F410" i="11"/>
  <c r="D410" i="11"/>
  <c r="B410" i="11"/>
  <c r="X409" i="11"/>
  <c r="V409" i="11"/>
  <c r="T409" i="11"/>
  <c r="R409" i="11"/>
  <c r="P409" i="11"/>
  <c r="N409" i="11"/>
  <c r="L409" i="11"/>
  <c r="J409" i="11"/>
  <c r="G409" i="11"/>
  <c r="H409" i="11"/>
  <c r="F409" i="11"/>
  <c r="D409" i="11"/>
  <c r="B409" i="11"/>
  <c r="X408" i="11"/>
  <c r="V408" i="11"/>
  <c r="T408" i="11"/>
  <c r="R408" i="11"/>
  <c r="P408" i="11"/>
  <c r="N408" i="11"/>
  <c r="L408" i="11"/>
  <c r="J408" i="11"/>
  <c r="H408" i="11"/>
  <c r="F408" i="11"/>
  <c r="D408" i="11"/>
  <c r="B408" i="11"/>
  <c r="X407" i="11"/>
  <c r="V407" i="11"/>
  <c r="T407" i="11"/>
  <c r="R407" i="11"/>
  <c r="P407" i="11"/>
  <c r="N407" i="11"/>
  <c r="L407" i="11"/>
  <c r="J407" i="11"/>
  <c r="H407" i="11"/>
  <c r="F407" i="11"/>
  <c r="D407" i="11"/>
  <c r="B407" i="11"/>
  <c r="X406" i="11"/>
  <c r="V406" i="11"/>
  <c r="T406" i="11"/>
  <c r="R406" i="11"/>
  <c r="P406" i="11"/>
  <c r="N406" i="11"/>
  <c r="L406" i="11"/>
  <c r="J406" i="11"/>
  <c r="H406" i="11"/>
  <c r="F406" i="11"/>
  <c r="D406" i="11"/>
  <c r="B406" i="11"/>
  <c r="X405" i="11"/>
  <c r="V405" i="11"/>
  <c r="T405" i="11"/>
  <c r="R405" i="11"/>
  <c r="P405" i="11"/>
  <c r="N405" i="11"/>
  <c r="L405" i="11"/>
  <c r="J405" i="11"/>
  <c r="H405" i="11"/>
  <c r="F405" i="11"/>
  <c r="D405" i="11"/>
  <c r="B405" i="11"/>
  <c r="X404" i="11"/>
  <c r="V404" i="11"/>
  <c r="T404" i="11"/>
  <c r="R404" i="11"/>
  <c r="P404" i="11"/>
  <c r="N404" i="11"/>
  <c r="L404" i="11"/>
  <c r="J404" i="11"/>
  <c r="H404" i="11"/>
  <c r="F404" i="11"/>
  <c r="D404" i="11"/>
  <c r="B404" i="11"/>
  <c r="X403" i="11"/>
  <c r="V403" i="11"/>
  <c r="T403" i="11"/>
  <c r="R403" i="11"/>
  <c r="P403" i="11"/>
  <c r="N403" i="11"/>
  <c r="L403" i="11"/>
  <c r="J403" i="11"/>
  <c r="H403" i="11"/>
  <c r="F403" i="11"/>
  <c r="D403" i="11"/>
  <c r="B403" i="11"/>
  <c r="X402" i="11"/>
  <c r="V402" i="11"/>
  <c r="T402" i="11"/>
  <c r="R402" i="11"/>
  <c r="P402" i="11"/>
  <c r="N402" i="11"/>
  <c r="L402" i="11"/>
  <c r="J402" i="11"/>
  <c r="H402" i="11"/>
  <c r="F402" i="11"/>
  <c r="D402" i="11"/>
  <c r="B402" i="11"/>
  <c r="X401" i="11"/>
  <c r="V401" i="11"/>
  <c r="T401" i="11"/>
  <c r="R401" i="11"/>
  <c r="P401" i="11"/>
  <c r="N401" i="11"/>
  <c r="L401" i="11"/>
  <c r="J401" i="11"/>
  <c r="H401" i="11"/>
  <c r="F401" i="11"/>
  <c r="D401" i="11"/>
  <c r="B401" i="11"/>
  <c r="X400" i="11"/>
  <c r="V400" i="11"/>
  <c r="T400" i="11"/>
  <c r="R400" i="11"/>
  <c r="P400" i="11"/>
  <c r="N400" i="11"/>
  <c r="L400" i="11"/>
  <c r="J400" i="11"/>
  <c r="H400" i="11"/>
  <c r="F400" i="11"/>
  <c r="D400" i="11"/>
  <c r="B400" i="11"/>
  <c r="X399" i="11"/>
  <c r="V399" i="11"/>
  <c r="T399" i="11"/>
  <c r="R399" i="11"/>
  <c r="P399" i="11"/>
  <c r="N399" i="11"/>
  <c r="L399" i="11"/>
  <c r="J399" i="11"/>
  <c r="H399" i="11"/>
  <c r="F399" i="11"/>
  <c r="D399" i="11"/>
  <c r="B399" i="11"/>
  <c r="X398" i="11"/>
  <c r="V398" i="11"/>
  <c r="T398" i="11"/>
  <c r="R398" i="11"/>
  <c r="P398" i="11"/>
  <c r="N398" i="11"/>
  <c r="L398" i="11"/>
  <c r="J398" i="11"/>
  <c r="H398" i="11"/>
  <c r="F398" i="11"/>
  <c r="D398" i="11"/>
  <c r="B398" i="11"/>
  <c r="X397" i="11"/>
  <c r="V397" i="11"/>
  <c r="T397" i="11"/>
  <c r="R397" i="11"/>
  <c r="P397" i="11"/>
  <c r="N397" i="11"/>
  <c r="L397" i="11"/>
  <c r="J397" i="11"/>
  <c r="H397" i="11"/>
  <c r="F397" i="11"/>
  <c r="D397" i="11"/>
  <c r="B397" i="11"/>
  <c r="X396" i="11"/>
  <c r="V396" i="11"/>
  <c r="T396" i="11"/>
  <c r="R396" i="11"/>
  <c r="P396" i="11"/>
  <c r="N396" i="11"/>
  <c r="L396" i="11"/>
  <c r="J396" i="11"/>
  <c r="H396" i="11"/>
  <c r="F396" i="11"/>
  <c r="D396" i="11"/>
  <c r="B396" i="11"/>
  <c r="X395" i="11"/>
  <c r="V395" i="11"/>
  <c r="T395" i="11"/>
  <c r="R395" i="11"/>
  <c r="P395" i="11"/>
  <c r="N395" i="11"/>
  <c r="L395" i="11"/>
  <c r="J395" i="11"/>
  <c r="H395" i="11"/>
  <c r="F395" i="11"/>
  <c r="D395" i="11"/>
  <c r="B395" i="11"/>
  <c r="X394" i="11"/>
  <c r="V394" i="11"/>
  <c r="T394" i="11"/>
  <c r="R394" i="11"/>
  <c r="P394" i="11"/>
  <c r="N394" i="11"/>
  <c r="L394" i="11"/>
  <c r="J394" i="11"/>
  <c r="H394" i="11"/>
  <c r="F394" i="11"/>
  <c r="D394" i="11"/>
  <c r="B394" i="11"/>
  <c r="X393" i="11"/>
  <c r="V393" i="11"/>
  <c r="T393" i="11"/>
  <c r="R393" i="11"/>
  <c r="P393" i="11"/>
  <c r="N393" i="11"/>
  <c r="L393" i="11"/>
  <c r="J393" i="11"/>
  <c r="H393" i="11"/>
  <c r="F393" i="11"/>
  <c r="D393" i="11"/>
  <c r="B393" i="11"/>
  <c r="X392" i="11"/>
  <c r="V392" i="11"/>
  <c r="T392" i="11"/>
  <c r="R392" i="11"/>
  <c r="P392" i="11"/>
  <c r="N392" i="11"/>
  <c r="L392" i="11"/>
  <c r="J392" i="11"/>
  <c r="H392" i="11"/>
  <c r="F392" i="11"/>
  <c r="D392" i="11"/>
  <c r="B392" i="11"/>
  <c r="X391" i="11"/>
  <c r="V391" i="11"/>
  <c r="T391" i="11"/>
  <c r="R391" i="11"/>
  <c r="P391" i="11"/>
  <c r="N391" i="11"/>
  <c r="L391" i="11"/>
  <c r="J391" i="11"/>
  <c r="H391" i="11"/>
  <c r="F391" i="11"/>
  <c r="D391" i="11"/>
  <c r="B391" i="11"/>
  <c r="X390" i="11"/>
  <c r="V390" i="11"/>
  <c r="T390" i="11"/>
  <c r="R390" i="11"/>
  <c r="P390" i="11"/>
  <c r="N390" i="11"/>
  <c r="L390" i="11"/>
  <c r="J390" i="11"/>
  <c r="H390" i="11"/>
  <c r="F390" i="11"/>
  <c r="D390" i="11"/>
  <c r="B390" i="11"/>
  <c r="X389" i="11"/>
  <c r="V389" i="11"/>
  <c r="T389" i="11"/>
  <c r="R389" i="11"/>
  <c r="P389" i="11"/>
  <c r="N389" i="11"/>
  <c r="L389" i="11"/>
  <c r="J389" i="11"/>
  <c r="H389" i="11"/>
  <c r="F389" i="11"/>
  <c r="D389" i="11"/>
  <c r="B389" i="11"/>
  <c r="X388" i="11"/>
  <c r="V388" i="11"/>
  <c r="T388" i="11"/>
  <c r="R388" i="11"/>
  <c r="P388" i="11"/>
  <c r="N388" i="11"/>
  <c r="L388" i="11"/>
  <c r="J388" i="11"/>
  <c r="H388" i="11"/>
  <c r="F388" i="11"/>
  <c r="D388" i="11"/>
  <c r="B388" i="11"/>
  <c r="X387" i="11"/>
  <c r="V387" i="11"/>
  <c r="T387" i="11"/>
  <c r="R387" i="11"/>
  <c r="P387" i="11"/>
  <c r="N387" i="11"/>
  <c r="L387" i="11"/>
  <c r="J387" i="11"/>
  <c r="H387" i="11"/>
  <c r="F387" i="11"/>
  <c r="D387" i="11"/>
  <c r="B387" i="11"/>
  <c r="X386" i="11"/>
  <c r="V386" i="11"/>
  <c r="T386" i="11"/>
  <c r="R386" i="11"/>
  <c r="P386" i="11"/>
  <c r="N386" i="11"/>
  <c r="L386" i="11"/>
  <c r="J386" i="11"/>
  <c r="H386" i="11"/>
  <c r="F386" i="11"/>
  <c r="D386" i="11"/>
  <c r="B386" i="11"/>
  <c r="X385" i="11"/>
  <c r="V385" i="11"/>
  <c r="T385" i="11"/>
  <c r="R385" i="11"/>
  <c r="P385" i="11"/>
  <c r="N385" i="11"/>
  <c r="L385" i="11"/>
  <c r="J385" i="11"/>
  <c r="H385" i="11"/>
  <c r="F385" i="11"/>
  <c r="D385" i="11"/>
  <c r="B385" i="11"/>
  <c r="X384" i="11"/>
  <c r="V384" i="11"/>
  <c r="T384" i="11"/>
  <c r="R384" i="11"/>
  <c r="P384" i="11"/>
  <c r="N384" i="11"/>
  <c r="L384" i="11"/>
  <c r="J384" i="11"/>
  <c r="H384" i="11"/>
  <c r="F384" i="11"/>
  <c r="D384" i="11"/>
  <c r="B384" i="11"/>
  <c r="X383" i="11"/>
  <c r="V383" i="11"/>
  <c r="T383" i="11"/>
  <c r="R383" i="11"/>
  <c r="P383" i="11"/>
  <c r="N383" i="11"/>
  <c r="L383" i="11"/>
  <c r="J383" i="11"/>
  <c r="H383" i="11"/>
  <c r="F383" i="11"/>
  <c r="D383" i="11"/>
  <c r="B383" i="11"/>
  <c r="X382" i="11"/>
  <c r="V382" i="11"/>
  <c r="T382" i="11"/>
  <c r="R382" i="11"/>
  <c r="P382" i="11"/>
  <c r="N382" i="11"/>
  <c r="L382" i="11"/>
  <c r="J382" i="11"/>
  <c r="H382" i="11"/>
  <c r="F382" i="11"/>
  <c r="D382" i="11"/>
  <c r="B382" i="11"/>
  <c r="X381" i="11"/>
  <c r="V381" i="11"/>
  <c r="T381" i="11"/>
  <c r="R381" i="11"/>
  <c r="P381" i="11"/>
  <c r="N381" i="11"/>
  <c r="L381" i="11"/>
  <c r="J381" i="11"/>
  <c r="H381" i="11"/>
  <c r="F381" i="11"/>
  <c r="D381" i="11"/>
  <c r="B381" i="11"/>
  <c r="X380" i="11"/>
  <c r="V380" i="11"/>
  <c r="T380" i="11"/>
  <c r="R380" i="11"/>
  <c r="P380" i="11"/>
  <c r="N380" i="11"/>
  <c r="L380" i="11"/>
  <c r="J380" i="11"/>
  <c r="H380" i="11"/>
  <c r="F380" i="11"/>
  <c r="D380" i="11"/>
  <c r="B380" i="11"/>
  <c r="X379" i="11"/>
  <c r="V379" i="11"/>
  <c r="T379" i="11"/>
  <c r="R379" i="11"/>
  <c r="P379" i="11"/>
  <c r="N379" i="11"/>
  <c r="L379" i="11"/>
  <c r="J379" i="11"/>
  <c r="H379" i="11"/>
  <c r="F379" i="11"/>
  <c r="D379" i="11"/>
  <c r="B379" i="11"/>
  <c r="X378" i="11"/>
  <c r="V378" i="11"/>
  <c r="T378" i="11"/>
  <c r="R378" i="11"/>
  <c r="P378" i="11"/>
  <c r="N378" i="11"/>
  <c r="L378" i="11"/>
  <c r="J378" i="11"/>
  <c r="H378" i="11"/>
  <c r="F378" i="11"/>
  <c r="D378" i="11"/>
  <c r="B378" i="11"/>
  <c r="X377" i="11"/>
  <c r="V377" i="11"/>
  <c r="T377" i="11"/>
  <c r="R377" i="11"/>
  <c r="P377" i="11"/>
  <c r="N377" i="11"/>
  <c r="L377" i="11"/>
  <c r="J377" i="11"/>
  <c r="H377" i="11"/>
  <c r="F377" i="11"/>
  <c r="D377" i="11"/>
  <c r="B377" i="11"/>
  <c r="X376" i="11"/>
  <c r="V376" i="11"/>
  <c r="T376" i="11"/>
  <c r="R376" i="11"/>
  <c r="P376" i="11"/>
  <c r="N376" i="11"/>
  <c r="L376" i="11"/>
  <c r="J376" i="11"/>
  <c r="H376" i="11"/>
  <c r="F376" i="11"/>
  <c r="D376" i="11"/>
  <c r="B376" i="11"/>
  <c r="X375" i="11"/>
  <c r="V375" i="11"/>
  <c r="T375" i="11"/>
  <c r="R375" i="11"/>
  <c r="P375" i="11"/>
  <c r="N375" i="11"/>
  <c r="L375" i="11"/>
  <c r="J375" i="11"/>
  <c r="H375" i="11"/>
  <c r="F375" i="11"/>
  <c r="D375" i="11"/>
  <c r="B375" i="11"/>
  <c r="X374" i="11"/>
  <c r="V374" i="11"/>
  <c r="T374" i="11"/>
  <c r="R374" i="11"/>
  <c r="P374" i="11"/>
  <c r="N374" i="11"/>
  <c r="L374" i="11"/>
  <c r="J374" i="11"/>
  <c r="H374" i="11"/>
  <c r="F374" i="11"/>
  <c r="D374" i="11"/>
  <c r="B374" i="11"/>
  <c r="X373" i="11"/>
  <c r="V373" i="11"/>
  <c r="T373" i="11"/>
  <c r="R373" i="11"/>
  <c r="P373" i="11"/>
  <c r="N373" i="11"/>
  <c r="L373" i="11"/>
  <c r="J373" i="11"/>
  <c r="H373" i="11"/>
  <c r="F373" i="11"/>
  <c r="D373" i="11"/>
  <c r="B373" i="11"/>
  <c r="X372" i="11"/>
  <c r="V372" i="11"/>
  <c r="T372" i="11"/>
  <c r="R372" i="11"/>
  <c r="P372" i="11"/>
  <c r="N372" i="11"/>
  <c r="H372" i="11"/>
  <c r="F372" i="11"/>
  <c r="D372" i="11"/>
  <c r="B372" i="11"/>
  <c r="B371" i="11"/>
  <c r="B370" i="11"/>
  <c r="B369" i="11"/>
  <c r="X368" i="11"/>
  <c r="V368" i="11"/>
  <c r="T368" i="11"/>
  <c r="R368" i="11"/>
  <c r="P368" i="11"/>
  <c r="N368" i="11"/>
  <c r="L368" i="11"/>
  <c r="J368" i="11"/>
  <c r="H368" i="11"/>
  <c r="F368" i="11"/>
  <c r="D368" i="11"/>
  <c r="B368" i="11"/>
  <c r="X367" i="11"/>
  <c r="V367" i="11"/>
  <c r="T367" i="11"/>
  <c r="R367" i="11"/>
  <c r="P367" i="11"/>
  <c r="N367" i="11"/>
  <c r="L367" i="11"/>
  <c r="J367" i="11"/>
  <c r="H367" i="11"/>
  <c r="F367" i="11"/>
  <c r="D367" i="11"/>
  <c r="B367" i="11"/>
  <c r="X366" i="11"/>
  <c r="V366" i="11"/>
  <c r="T366" i="11"/>
  <c r="R366" i="11"/>
  <c r="P366" i="11"/>
  <c r="N366" i="11"/>
  <c r="L366" i="11"/>
  <c r="J366" i="11"/>
  <c r="H366" i="11"/>
  <c r="F366" i="11"/>
  <c r="D366" i="11"/>
  <c r="B366" i="11"/>
  <c r="X365" i="11"/>
  <c r="V365" i="11"/>
  <c r="T365" i="11"/>
  <c r="R365" i="11"/>
  <c r="P365" i="11"/>
  <c r="N365" i="11"/>
  <c r="L365" i="11"/>
  <c r="J365" i="11"/>
  <c r="H365" i="11"/>
  <c r="F365" i="11"/>
  <c r="D365" i="11"/>
  <c r="B365" i="11"/>
  <c r="X364" i="11"/>
  <c r="V364" i="11"/>
  <c r="T364" i="11"/>
  <c r="R364" i="11"/>
  <c r="P364" i="11"/>
  <c r="N364" i="11"/>
  <c r="L364" i="11"/>
  <c r="J364" i="11"/>
  <c r="H364" i="11"/>
  <c r="F364" i="11"/>
  <c r="D364" i="11"/>
  <c r="B364" i="11"/>
  <c r="X363" i="11"/>
  <c r="V363" i="11"/>
  <c r="T363" i="11"/>
  <c r="R363" i="11"/>
  <c r="P363" i="11"/>
  <c r="N363" i="11"/>
  <c r="L363" i="11"/>
  <c r="J363" i="11"/>
  <c r="H363" i="11"/>
  <c r="F363" i="11"/>
  <c r="D363" i="11"/>
  <c r="B363" i="11"/>
  <c r="X362" i="11"/>
  <c r="V362" i="11"/>
  <c r="T362" i="11"/>
  <c r="R362" i="11"/>
  <c r="P362" i="11"/>
  <c r="N362" i="11"/>
  <c r="L362" i="11"/>
  <c r="J362" i="11"/>
  <c r="H362" i="11"/>
  <c r="F362" i="11"/>
  <c r="D362" i="11"/>
  <c r="B362" i="11"/>
  <c r="X361" i="11"/>
  <c r="V361" i="11"/>
  <c r="T361" i="11"/>
  <c r="R361" i="11"/>
  <c r="P361" i="11"/>
  <c r="N361" i="11"/>
  <c r="L361" i="11"/>
  <c r="J361" i="11"/>
  <c r="H361" i="11"/>
  <c r="F361" i="11"/>
  <c r="D361" i="11"/>
  <c r="B361" i="11"/>
  <c r="X360" i="11"/>
  <c r="V360" i="11"/>
  <c r="T360" i="11"/>
  <c r="R360" i="11"/>
  <c r="P360" i="11"/>
  <c r="N360" i="11"/>
  <c r="L360" i="11"/>
  <c r="J360" i="11"/>
  <c r="H360" i="11"/>
  <c r="F360" i="11"/>
  <c r="D360" i="11"/>
  <c r="B360" i="11"/>
  <c r="X359" i="11"/>
  <c r="V359" i="11"/>
  <c r="T359" i="11"/>
  <c r="R359" i="11"/>
  <c r="P359" i="11"/>
  <c r="N359" i="11"/>
  <c r="L359" i="11"/>
  <c r="J359" i="11"/>
  <c r="H359" i="11"/>
  <c r="F359" i="11"/>
  <c r="D359" i="11"/>
  <c r="B359" i="11"/>
  <c r="X358" i="11"/>
  <c r="V358" i="11"/>
  <c r="T358" i="11"/>
  <c r="R358" i="11"/>
  <c r="P358" i="11"/>
  <c r="N358" i="11"/>
  <c r="L358" i="11"/>
  <c r="J358" i="11"/>
  <c r="H358" i="11"/>
  <c r="F358" i="11"/>
  <c r="D358" i="11"/>
  <c r="B358" i="11"/>
  <c r="X357" i="11"/>
  <c r="V357" i="11"/>
  <c r="T357" i="11"/>
  <c r="R357" i="11"/>
  <c r="P357" i="11"/>
  <c r="N357" i="11"/>
  <c r="L357" i="11"/>
  <c r="J357" i="11"/>
  <c r="H357" i="11"/>
  <c r="F357" i="11"/>
  <c r="D357" i="11"/>
  <c r="B357" i="11"/>
  <c r="X356" i="11"/>
  <c r="V356" i="11"/>
  <c r="T356" i="11"/>
  <c r="R356" i="11"/>
  <c r="P356" i="11"/>
  <c r="N356" i="11"/>
  <c r="L356" i="11"/>
  <c r="J356" i="11"/>
  <c r="H356" i="11"/>
  <c r="F356" i="11"/>
  <c r="D356" i="11"/>
  <c r="B356" i="11"/>
  <c r="X355" i="11"/>
  <c r="V355" i="11"/>
  <c r="T355" i="11"/>
  <c r="R355" i="11"/>
  <c r="P355" i="11"/>
  <c r="N355" i="11"/>
  <c r="L355" i="11"/>
  <c r="J355" i="11"/>
  <c r="H355" i="11"/>
  <c r="F355" i="11"/>
  <c r="D355" i="11"/>
  <c r="B355" i="11"/>
  <c r="X354" i="11"/>
  <c r="V354" i="11"/>
  <c r="T354" i="11"/>
  <c r="R354" i="11"/>
  <c r="P354" i="11"/>
  <c r="N354" i="11"/>
  <c r="L354" i="11"/>
  <c r="J354" i="11"/>
  <c r="H354" i="11"/>
  <c r="F354" i="11"/>
  <c r="D354" i="11"/>
  <c r="B354" i="11"/>
  <c r="X353" i="11"/>
  <c r="V353" i="11"/>
  <c r="T353" i="11"/>
  <c r="R353" i="11"/>
  <c r="P353" i="11"/>
  <c r="N353" i="11"/>
  <c r="L353" i="11"/>
  <c r="J353" i="11"/>
  <c r="H353" i="11"/>
  <c r="F353" i="11"/>
  <c r="D353" i="11"/>
  <c r="B353" i="11"/>
  <c r="X352" i="11"/>
  <c r="V352" i="11"/>
  <c r="T352" i="11"/>
  <c r="R352" i="11"/>
  <c r="P352" i="11"/>
  <c r="N352" i="11"/>
  <c r="L352" i="11"/>
  <c r="J352" i="11"/>
  <c r="H352" i="11"/>
  <c r="F352" i="11"/>
  <c r="D352" i="11"/>
  <c r="B352" i="11"/>
  <c r="X351" i="11"/>
  <c r="V351" i="11"/>
  <c r="T351" i="11"/>
  <c r="R351" i="11"/>
  <c r="P351" i="11"/>
  <c r="N351" i="11"/>
  <c r="L351" i="11"/>
  <c r="J351" i="11"/>
  <c r="H351" i="11"/>
  <c r="F351" i="11"/>
  <c r="D351" i="11"/>
  <c r="B351" i="11"/>
  <c r="X350" i="11"/>
  <c r="V350" i="11"/>
  <c r="T350" i="11"/>
  <c r="R350" i="11"/>
  <c r="P350" i="11"/>
  <c r="N350" i="11"/>
  <c r="L350" i="11"/>
  <c r="J350" i="11"/>
  <c r="H350" i="11"/>
  <c r="F350" i="11"/>
  <c r="D350" i="11"/>
  <c r="B350" i="11"/>
  <c r="X349" i="11"/>
  <c r="V349" i="11"/>
  <c r="T349" i="11"/>
  <c r="R349" i="11"/>
  <c r="P349" i="11"/>
  <c r="N349" i="11"/>
  <c r="L349" i="11"/>
  <c r="J349" i="11"/>
  <c r="H349" i="11"/>
  <c r="F349" i="11"/>
  <c r="D349" i="11"/>
  <c r="B349" i="11"/>
  <c r="X348" i="11"/>
  <c r="V348" i="11"/>
  <c r="T348" i="11"/>
  <c r="R348" i="11"/>
  <c r="P348" i="11"/>
  <c r="N348" i="11"/>
  <c r="L348" i="11"/>
  <c r="J348" i="11"/>
  <c r="H348" i="11"/>
  <c r="F348" i="11"/>
  <c r="D348" i="11"/>
  <c r="B348" i="11"/>
  <c r="X347" i="11"/>
  <c r="V347" i="11"/>
  <c r="T347" i="11"/>
  <c r="R347" i="11"/>
  <c r="P347" i="11"/>
  <c r="N347" i="11"/>
  <c r="L347" i="11"/>
  <c r="J347" i="11"/>
  <c r="H347" i="11"/>
  <c r="F347" i="11"/>
  <c r="D347" i="11"/>
  <c r="B347" i="11"/>
  <c r="X346" i="11"/>
  <c r="V346" i="11"/>
  <c r="T346" i="11"/>
  <c r="R346" i="11"/>
  <c r="P346" i="11"/>
  <c r="N346" i="11"/>
  <c r="L346" i="11"/>
  <c r="J346" i="11"/>
  <c r="H346" i="11"/>
  <c r="F346" i="11"/>
  <c r="D346" i="11"/>
  <c r="B346" i="11"/>
  <c r="X345" i="11"/>
  <c r="V345" i="11"/>
  <c r="T345" i="11"/>
  <c r="R345" i="11"/>
  <c r="P345" i="11"/>
  <c r="N345" i="11"/>
  <c r="L345" i="11"/>
  <c r="J345" i="11"/>
  <c r="H345" i="11"/>
  <c r="F345" i="11"/>
  <c r="D345" i="11"/>
  <c r="B345" i="11"/>
  <c r="X344" i="11"/>
  <c r="V344" i="11"/>
  <c r="T344" i="11"/>
  <c r="R344" i="11"/>
  <c r="P344" i="11"/>
  <c r="N344" i="11"/>
  <c r="L344" i="11"/>
  <c r="J344" i="11"/>
  <c r="H344" i="11"/>
  <c r="F344" i="11"/>
  <c r="D344" i="11"/>
  <c r="B344" i="11"/>
  <c r="X343" i="11"/>
  <c r="V343" i="11"/>
  <c r="T343" i="11"/>
  <c r="R343" i="11"/>
  <c r="P343" i="11"/>
  <c r="N343" i="11"/>
  <c r="L343" i="11"/>
  <c r="J343" i="11"/>
  <c r="H343" i="11"/>
  <c r="F343" i="11"/>
  <c r="D343" i="11"/>
  <c r="B343" i="11"/>
  <c r="X342" i="11"/>
  <c r="V342" i="11"/>
  <c r="T342" i="11"/>
  <c r="R342" i="11"/>
  <c r="P342" i="11"/>
  <c r="N342" i="11"/>
  <c r="L342" i="11"/>
  <c r="J342" i="11"/>
  <c r="H342" i="11"/>
  <c r="F342" i="11"/>
  <c r="D342" i="11"/>
  <c r="B342" i="11"/>
  <c r="X341" i="11"/>
  <c r="V341" i="11"/>
  <c r="T341" i="11"/>
  <c r="R341" i="11"/>
  <c r="P341" i="11"/>
  <c r="N341" i="11"/>
  <c r="L341" i="11"/>
  <c r="J341" i="11"/>
  <c r="H341" i="11"/>
  <c r="F341" i="11"/>
  <c r="D341" i="11"/>
  <c r="B341" i="11"/>
  <c r="X340" i="11"/>
  <c r="V340" i="11"/>
  <c r="T340" i="11"/>
  <c r="R340" i="11"/>
  <c r="P340" i="11"/>
  <c r="N340" i="11"/>
  <c r="L340" i="11"/>
  <c r="J340" i="11"/>
  <c r="H340" i="11"/>
  <c r="F340" i="11"/>
  <c r="D340" i="11"/>
  <c r="B340" i="11"/>
  <c r="X339" i="11"/>
  <c r="V339" i="11"/>
  <c r="T339" i="11"/>
  <c r="R339" i="11"/>
  <c r="P339" i="11"/>
  <c r="N339" i="11"/>
  <c r="L339" i="11"/>
  <c r="J339" i="11"/>
  <c r="H339" i="11"/>
  <c r="F339" i="11"/>
  <c r="D339" i="11"/>
  <c r="B339" i="11"/>
  <c r="X338" i="11"/>
  <c r="V338" i="11"/>
  <c r="T338" i="11"/>
  <c r="R338" i="11"/>
  <c r="P338" i="11"/>
  <c r="N338" i="11"/>
  <c r="L338" i="11"/>
  <c r="J338" i="11"/>
  <c r="H338" i="11"/>
  <c r="F338" i="11"/>
  <c r="D338" i="11"/>
  <c r="B338" i="11"/>
  <c r="X337" i="11"/>
  <c r="V337" i="11"/>
  <c r="T337" i="11"/>
  <c r="R337" i="11"/>
  <c r="P337" i="11"/>
  <c r="N337" i="11"/>
  <c r="L337" i="11"/>
  <c r="J337" i="11"/>
  <c r="H337" i="11"/>
  <c r="F337" i="11"/>
  <c r="D337" i="11"/>
  <c r="B337" i="11"/>
  <c r="X336" i="11"/>
  <c r="V336" i="11"/>
  <c r="T336" i="11"/>
  <c r="R336" i="11"/>
  <c r="P336" i="11"/>
  <c r="N336" i="11"/>
  <c r="L336" i="11"/>
  <c r="J336" i="11"/>
  <c r="H336" i="11"/>
  <c r="F336" i="11"/>
  <c r="D336" i="11"/>
  <c r="B336" i="11"/>
  <c r="X335" i="11"/>
  <c r="V335" i="11"/>
  <c r="T335" i="11"/>
  <c r="R335" i="11"/>
  <c r="P335" i="11"/>
  <c r="N335" i="11"/>
  <c r="L335" i="11"/>
  <c r="J335" i="11"/>
  <c r="H335" i="11"/>
  <c r="F335" i="11"/>
  <c r="D335" i="11"/>
  <c r="B335" i="11"/>
  <c r="X334" i="11"/>
  <c r="V334" i="11"/>
  <c r="T334" i="11"/>
  <c r="R334" i="11"/>
  <c r="P334" i="11"/>
  <c r="N334" i="11"/>
  <c r="L334" i="11"/>
  <c r="J334" i="11"/>
  <c r="H334" i="11"/>
  <c r="F334" i="11"/>
  <c r="D334" i="11"/>
  <c r="B334" i="11"/>
  <c r="X333" i="11"/>
  <c r="V333" i="11"/>
  <c r="T333" i="11"/>
  <c r="R333" i="11"/>
  <c r="P333" i="11"/>
  <c r="N333" i="11"/>
  <c r="L333" i="11"/>
  <c r="J333" i="11"/>
  <c r="H333" i="11"/>
  <c r="F333" i="11"/>
  <c r="D333" i="11"/>
  <c r="B333" i="11"/>
  <c r="X332" i="11"/>
  <c r="V332" i="11"/>
  <c r="T332" i="11"/>
  <c r="R332" i="11"/>
  <c r="P332" i="11"/>
  <c r="N332" i="11"/>
  <c r="L332" i="11"/>
  <c r="J332" i="11"/>
  <c r="H332" i="11"/>
  <c r="F332" i="11"/>
  <c r="D332" i="11"/>
  <c r="B332" i="11"/>
  <c r="X331" i="11"/>
  <c r="V331" i="11"/>
  <c r="T331" i="11"/>
  <c r="R331" i="11"/>
  <c r="P331" i="11"/>
  <c r="N331" i="11"/>
  <c r="L331" i="11"/>
  <c r="J331" i="11"/>
  <c r="H331" i="11"/>
  <c r="F331" i="11"/>
  <c r="D331" i="11"/>
  <c r="B331" i="11"/>
  <c r="X330" i="11"/>
  <c r="V330" i="11"/>
  <c r="T330" i="11"/>
  <c r="R330" i="11"/>
  <c r="P330" i="11"/>
  <c r="N330" i="11"/>
  <c r="L330" i="11"/>
  <c r="J330" i="11"/>
  <c r="H330" i="11"/>
  <c r="F330" i="11"/>
  <c r="D330" i="11"/>
  <c r="B330" i="11"/>
  <c r="X329" i="11"/>
  <c r="V329" i="11"/>
  <c r="T329" i="11"/>
  <c r="R329" i="11"/>
  <c r="P329" i="11"/>
  <c r="N329" i="11"/>
  <c r="L329" i="11"/>
  <c r="J329" i="11"/>
  <c r="H329" i="11"/>
  <c r="F329" i="11"/>
  <c r="D329" i="11"/>
  <c r="B329" i="11"/>
  <c r="X328" i="11"/>
  <c r="V328" i="11"/>
  <c r="T328" i="11"/>
  <c r="R328" i="11"/>
  <c r="P328" i="11"/>
  <c r="N328" i="11"/>
  <c r="L328" i="11"/>
  <c r="J328" i="11"/>
  <c r="H328" i="11"/>
  <c r="F328" i="11"/>
  <c r="D328" i="11"/>
  <c r="B328" i="11"/>
  <c r="X327" i="11"/>
  <c r="V327" i="11"/>
  <c r="T327" i="11"/>
  <c r="R327" i="11"/>
  <c r="P327" i="11"/>
  <c r="N327" i="11"/>
  <c r="L327" i="11"/>
  <c r="J327" i="11"/>
  <c r="H327" i="11"/>
  <c r="F327" i="11"/>
  <c r="D327" i="11"/>
  <c r="B327" i="11"/>
  <c r="X326" i="11"/>
  <c r="V326" i="11"/>
  <c r="T326" i="11"/>
  <c r="R326" i="11"/>
  <c r="P326" i="11"/>
  <c r="N326" i="11"/>
  <c r="L326" i="11"/>
  <c r="J326" i="11"/>
  <c r="H326" i="11"/>
  <c r="F326" i="11"/>
  <c r="D326" i="11"/>
  <c r="B326" i="11"/>
  <c r="X325" i="11"/>
  <c r="V325" i="11"/>
  <c r="T325" i="11"/>
  <c r="R325" i="11"/>
  <c r="P325" i="11"/>
  <c r="N325" i="11"/>
  <c r="L325" i="11"/>
  <c r="J325" i="11"/>
  <c r="H325" i="11"/>
  <c r="F325" i="11"/>
  <c r="D325" i="11"/>
  <c r="B325" i="11"/>
  <c r="X324" i="11"/>
  <c r="V324" i="11"/>
  <c r="T324" i="11"/>
  <c r="R324" i="11"/>
  <c r="P324" i="11"/>
  <c r="N324" i="11"/>
  <c r="L324" i="11"/>
  <c r="J324" i="11"/>
  <c r="H324" i="11"/>
  <c r="F324" i="11"/>
  <c r="D324" i="11"/>
  <c r="B324" i="11"/>
  <c r="X323" i="11"/>
  <c r="V323" i="11"/>
  <c r="T323" i="11"/>
  <c r="R323" i="11"/>
  <c r="P323" i="11"/>
  <c r="N323" i="11"/>
  <c r="L323" i="11"/>
  <c r="J323" i="11"/>
  <c r="H323" i="11"/>
  <c r="F323" i="11"/>
  <c r="D323" i="11"/>
  <c r="B323" i="11"/>
  <c r="X322" i="11"/>
  <c r="V322" i="11"/>
  <c r="T322" i="11"/>
  <c r="R322" i="11"/>
  <c r="P322" i="11"/>
  <c r="N322" i="11"/>
  <c r="L322" i="11"/>
  <c r="J322" i="11"/>
  <c r="H322" i="11"/>
  <c r="F322" i="11"/>
  <c r="D322" i="11"/>
  <c r="B322" i="11"/>
  <c r="X321" i="11"/>
  <c r="V321" i="11"/>
  <c r="T321" i="11"/>
  <c r="R321" i="11"/>
  <c r="P321" i="11"/>
  <c r="N321" i="11"/>
  <c r="L321" i="11"/>
  <c r="J321" i="11"/>
  <c r="H321" i="11"/>
  <c r="F321" i="11"/>
  <c r="D321" i="11"/>
  <c r="B321" i="11"/>
  <c r="X320" i="11"/>
  <c r="V320" i="11"/>
  <c r="T320" i="11"/>
  <c r="R320" i="11"/>
  <c r="P320" i="11"/>
  <c r="N320" i="11"/>
  <c r="L320" i="11"/>
  <c r="J320" i="11"/>
  <c r="H320" i="11"/>
  <c r="F320" i="11"/>
  <c r="D320" i="11"/>
  <c r="B320" i="11"/>
  <c r="X319" i="11"/>
  <c r="V319" i="11"/>
  <c r="T319" i="11"/>
  <c r="R319" i="11"/>
  <c r="P319" i="11"/>
  <c r="N319" i="11"/>
  <c r="L319" i="11"/>
  <c r="J319" i="11"/>
  <c r="H319" i="11"/>
  <c r="F319" i="11"/>
  <c r="D319" i="11"/>
  <c r="B319" i="11"/>
  <c r="X318" i="11"/>
  <c r="V318" i="11"/>
  <c r="T318" i="11"/>
  <c r="R318" i="11"/>
  <c r="P318" i="11"/>
  <c r="N318" i="11"/>
  <c r="L318" i="11"/>
  <c r="J318" i="11"/>
  <c r="H318" i="11"/>
  <c r="F318" i="11"/>
  <c r="D318" i="11"/>
  <c r="B318" i="11"/>
  <c r="X317" i="11"/>
  <c r="V317" i="11"/>
  <c r="T317" i="11"/>
  <c r="R317" i="11"/>
  <c r="P317" i="11"/>
  <c r="N317" i="11"/>
  <c r="L317" i="11"/>
  <c r="J317" i="11"/>
  <c r="H317" i="11"/>
  <c r="F317" i="11"/>
  <c r="D317" i="11"/>
  <c r="B317" i="11"/>
  <c r="X316" i="11"/>
  <c r="V316" i="11"/>
  <c r="T316" i="11"/>
  <c r="R316" i="11"/>
  <c r="P316" i="11"/>
  <c r="N316" i="11"/>
  <c r="L316" i="11"/>
  <c r="J316" i="11"/>
  <c r="H316" i="11"/>
  <c r="F316" i="11"/>
  <c r="D316" i="11"/>
  <c r="B316" i="11"/>
  <c r="X315" i="11"/>
  <c r="V315" i="11"/>
  <c r="T315" i="11"/>
  <c r="R315" i="11"/>
  <c r="P315" i="11"/>
  <c r="N315" i="11"/>
  <c r="L315" i="11"/>
  <c r="J315" i="11"/>
  <c r="H315" i="11"/>
  <c r="F315" i="11"/>
  <c r="D315" i="11"/>
  <c r="B315" i="11"/>
  <c r="X314" i="11"/>
  <c r="V314" i="11"/>
  <c r="T314" i="11"/>
  <c r="R314" i="11"/>
  <c r="P314" i="11"/>
  <c r="N314" i="11"/>
  <c r="L314" i="11"/>
  <c r="J314" i="11"/>
  <c r="H314" i="11"/>
  <c r="F314" i="11"/>
  <c r="D314" i="11"/>
  <c r="B314" i="11"/>
  <c r="X313" i="11"/>
  <c r="V313" i="11"/>
  <c r="T313" i="11"/>
  <c r="R313" i="11"/>
  <c r="P313" i="11"/>
  <c r="N313" i="11"/>
  <c r="L313" i="11"/>
  <c r="J313" i="11"/>
  <c r="H313" i="11"/>
  <c r="F313" i="11"/>
  <c r="D313" i="11"/>
  <c r="B313" i="11"/>
  <c r="X312" i="11"/>
  <c r="V312" i="11"/>
  <c r="T312" i="11"/>
  <c r="R312" i="11"/>
  <c r="P312" i="11"/>
  <c r="N312" i="11"/>
  <c r="L312" i="11"/>
  <c r="J312" i="11"/>
  <c r="H312" i="11"/>
  <c r="F312" i="11"/>
  <c r="D312" i="11"/>
  <c r="B312" i="11"/>
  <c r="X311" i="11"/>
  <c r="V311" i="11"/>
  <c r="T311" i="11"/>
  <c r="R311" i="11"/>
  <c r="P311" i="11"/>
  <c r="N311" i="11"/>
  <c r="L311" i="11"/>
  <c r="J311" i="11"/>
  <c r="H311" i="11"/>
  <c r="F311" i="11"/>
  <c r="D311" i="11"/>
  <c r="B311" i="11"/>
  <c r="X310" i="11"/>
  <c r="V310" i="11"/>
  <c r="T310" i="11"/>
  <c r="R310" i="11"/>
  <c r="P310" i="11"/>
  <c r="N310" i="11"/>
  <c r="L310" i="11"/>
  <c r="J310" i="11"/>
  <c r="H310" i="11"/>
  <c r="F310" i="11"/>
  <c r="D310" i="11"/>
  <c r="B310" i="11"/>
  <c r="X309" i="11"/>
  <c r="V309" i="11"/>
  <c r="T309" i="11"/>
  <c r="R309" i="11"/>
  <c r="P309" i="11"/>
  <c r="N309" i="11"/>
  <c r="L309" i="11"/>
  <c r="J309" i="11"/>
  <c r="H309" i="11"/>
  <c r="F309" i="11"/>
  <c r="D309" i="11"/>
  <c r="B309" i="11"/>
  <c r="X308" i="11"/>
  <c r="V308" i="11"/>
  <c r="T308" i="11"/>
  <c r="R308" i="11"/>
  <c r="P308" i="11"/>
  <c r="N308" i="11"/>
  <c r="L308" i="11"/>
  <c r="J308" i="11"/>
  <c r="H308" i="11"/>
  <c r="F308" i="11"/>
  <c r="D308" i="11"/>
  <c r="B308" i="11"/>
  <c r="X307" i="11"/>
  <c r="V307" i="11"/>
  <c r="T307" i="11"/>
  <c r="R307" i="11"/>
  <c r="P307" i="11"/>
  <c r="N307" i="11"/>
  <c r="L307" i="11"/>
  <c r="J307" i="11"/>
  <c r="H307" i="11"/>
  <c r="F307" i="11"/>
  <c r="D307" i="11"/>
  <c r="B307" i="11"/>
  <c r="X306" i="11"/>
  <c r="V306" i="11"/>
  <c r="T306" i="11"/>
  <c r="R306" i="11"/>
  <c r="P306" i="11"/>
  <c r="N306" i="11"/>
  <c r="L306" i="11"/>
  <c r="J306" i="11"/>
  <c r="H306" i="11"/>
  <c r="F306" i="11"/>
  <c r="D306" i="11"/>
  <c r="B306" i="11"/>
  <c r="X305" i="11"/>
  <c r="V305" i="11"/>
  <c r="T305" i="11"/>
  <c r="R305" i="11"/>
  <c r="P305" i="11"/>
  <c r="N305" i="11"/>
  <c r="L305" i="11"/>
  <c r="J305" i="11"/>
  <c r="H305" i="11"/>
  <c r="F305" i="11"/>
  <c r="D305" i="11"/>
  <c r="B305" i="11"/>
  <c r="X304" i="11"/>
  <c r="V304" i="11"/>
  <c r="T304" i="11"/>
  <c r="R304" i="11"/>
  <c r="P304" i="11"/>
  <c r="N304" i="11"/>
  <c r="L304" i="11"/>
  <c r="J304" i="11"/>
  <c r="H304" i="11"/>
  <c r="F304" i="11"/>
  <c r="D304" i="11"/>
  <c r="B304" i="11"/>
  <c r="X303" i="11"/>
  <c r="V303" i="11"/>
  <c r="T303" i="11"/>
  <c r="R303" i="11"/>
  <c r="P303" i="11"/>
  <c r="N303" i="11"/>
  <c r="L303" i="11"/>
  <c r="J303" i="11"/>
  <c r="H303" i="11"/>
  <c r="F303" i="11"/>
  <c r="D303" i="11"/>
  <c r="B303" i="11"/>
  <c r="X302" i="11"/>
  <c r="V302" i="11"/>
  <c r="T302" i="11"/>
  <c r="R302" i="11"/>
  <c r="P302" i="11"/>
  <c r="N302" i="11"/>
  <c r="L302" i="11"/>
  <c r="J302" i="11"/>
  <c r="H302" i="11"/>
  <c r="F302" i="11"/>
  <c r="D302" i="11"/>
  <c r="B302" i="11"/>
  <c r="X301" i="11"/>
  <c r="V301" i="11"/>
  <c r="T301" i="11"/>
  <c r="R301" i="11"/>
  <c r="P301" i="11"/>
  <c r="N301" i="11"/>
  <c r="L301" i="11"/>
  <c r="J301" i="11"/>
  <c r="H301" i="11"/>
  <c r="F301" i="11"/>
  <c r="D301" i="11"/>
  <c r="B301" i="11"/>
  <c r="X300" i="11"/>
  <c r="V300" i="11"/>
  <c r="T300" i="11"/>
  <c r="R300" i="11"/>
  <c r="P300" i="11"/>
  <c r="N300" i="11"/>
  <c r="L300" i="11"/>
  <c r="J300" i="11"/>
  <c r="H300" i="11"/>
  <c r="F300" i="11"/>
  <c r="D300" i="11"/>
  <c r="B300" i="11"/>
  <c r="X299" i="11"/>
  <c r="V299" i="11"/>
  <c r="T299" i="11"/>
  <c r="R299" i="11"/>
  <c r="P299" i="11"/>
  <c r="N299" i="11"/>
  <c r="L299" i="11"/>
  <c r="J299" i="11"/>
  <c r="H299" i="11"/>
  <c r="F299" i="11"/>
  <c r="C299" i="11"/>
  <c r="D299" i="11"/>
  <c r="B299" i="11"/>
  <c r="X298" i="11"/>
  <c r="V298" i="11"/>
  <c r="T298" i="11"/>
  <c r="R298" i="11"/>
  <c r="P298" i="11"/>
  <c r="N298" i="11"/>
  <c r="L298" i="11"/>
  <c r="J298" i="11"/>
  <c r="H298" i="11"/>
  <c r="F298" i="11"/>
  <c r="B298" i="11"/>
  <c r="X297" i="11"/>
  <c r="V297" i="11"/>
  <c r="T297" i="11"/>
  <c r="R297" i="11"/>
  <c r="P297" i="11"/>
  <c r="N297" i="11"/>
  <c r="L297" i="11"/>
  <c r="J297" i="11"/>
  <c r="H297" i="11"/>
  <c r="F297" i="11"/>
  <c r="D297" i="11"/>
  <c r="B297" i="11"/>
  <c r="X296" i="11"/>
  <c r="V296" i="11"/>
  <c r="T296" i="11"/>
  <c r="R296" i="11"/>
  <c r="P296" i="11"/>
  <c r="N296" i="11"/>
  <c r="L296" i="11"/>
  <c r="J296" i="11"/>
  <c r="H296" i="11"/>
  <c r="F296" i="11"/>
  <c r="D296" i="11"/>
  <c r="B296" i="11"/>
  <c r="X295" i="11"/>
  <c r="V295" i="11"/>
  <c r="T295" i="11"/>
  <c r="R295" i="11"/>
  <c r="P295" i="11"/>
  <c r="N295" i="11"/>
  <c r="L295" i="11"/>
  <c r="J295" i="11"/>
  <c r="H295" i="11"/>
  <c r="F295" i="11"/>
  <c r="D295" i="11"/>
  <c r="B295" i="11"/>
  <c r="X294" i="11"/>
  <c r="V294" i="11"/>
  <c r="T294" i="11"/>
  <c r="R294" i="11"/>
  <c r="P294" i="11"/>
  <c r="N294" i="11"/>
  <c r="L294" i="11"/>
  <c r="J294" i="11"/>
  <c r="H294" i="11"/>
  <c r="F294" i="11"/>
  <c r="D294" i="11"/>
  <c r="B294" i="11"/>
  <c r="X293" i="11"/>
  <c r="V293" i="11"/>
  <c r="T293" i="11"/>
  <c r="R293" i="11"/>
  <c r="P293" i="11"/>
  <c r="N293" i="11"/>
  <c r="L293" i="11"/>
  <c r="J293" i="11"/>
  <c r="H293" i="11"/>
  <c r="F293" i="11"/>
  <c r="D293" i="11"/>
  <c r="B293" i="11"/>
  <c r="X292" i="11"/>
  <c r="V292" i="11"/>
  <c r="T292" i="11"/>
  <c r="R292" i="11"/>
  <c r="P292" i="11"/>
  <c r="N292" i="11"/>
  <c r="L292" i="11"/>
  <c r="J292" i="11"/>
  <c r="H292" i="11"/>
  <c r="F292" i="11"/>
  <c r="D292" i="11"/>
  <c r="B292" i="11"/>
  <c r="X291" i="11"/>
  <c r="V291" i="11"/>
  <c r="T291" i="11"/>
  <c r="R291" i="11"/>
  <c r="P291" i="11"/>
  <c r="N291" i="11"/>
  <c r="L291" i="11"/>
  <c r="J291" i="11"/>
  <c r="H291" i="11"/>
  <c r="F291" i="11"/>
  <c r="D291" i="11"/>
  <c r="B291" i="11"/>
  <c r="X290" i="11"/>
  <c r="V290" i="11"/>
  <c r="T290" i="11"/>
  <c r="R290" i="11"/>
  <c r="P290" i="11"/>
  <c r="N290" i="11"/>
  <c r="L290" i="11"/>
  <c r="J290" i="11"/>
  <c r="H290" i="11"/>
  <c r="F290" i="11"/>
  <c r="D290" i="11"/>
  <c r="B290" i="11"/>
  <c r="X289" i="11"/>
  <c r="V289" i="11"/>
  <c r="T289" i="11"/>
  <c r="R289" i="11"/>
  <c r="P289" i="11"/>
  <c r="N289" i="11"/>
  <c r="L289" i="11"/>
  <c r="J289" i="11"/>
  <c r="H289" i="11"/>
  <c r="F289" i="11"/>
  <c r="D289" i="11"/>
  <c r="B289" i="11"/>
  <c r="X288" i="11"/>
  <c r="V288" i="11"/>
  <c r="T288" i="11"/>
  <c r="R288" i="11"/>
  <c r="P288" i="11"/>
  <c r="N288" i="11"/>
  <c r="L288" i="11"/>
  <c r="J288" i="11"/>
  <c r="H288" i="11"/>
  <c r="F288" i="11"/>
  <c r="D288" i="11"/>
  <c r="B288" i="11"/>
  <c r="X287" i="11"/>
  <c r="V287" i="11"/>
  <c r="T287" i="11"/>
  <c r="R287" i="11"/>
  <c r="P287" i="11"/>
  <c r="N287" i="11"/>
  <c r="L287" i="11"/>
  <c r="J287" i="11"/>
  <c r="H287" i="11"/>
  <c r="F287" i="11"/>
  <c r="D287" i="11"/>
  <c r="B287" i="11"/>
  <c r="X286" i="11"/>
  <c r="V286" i="11"/>
  <c r="T286" i="11"/>
  <c r="R286" i="11"/>
  <c r="P286" i="11"/>
  <c r="N286" i="11"/>
  <c r="L286" i="11"/>
  <c r="J286" i="11"/>
  <c r="H286" i="11"/>
  <c r="F286" i="11"/>
  <c r="D286" i="11"/>
  <c r="B286" i="11"/>
  <c r="X285" i="11"/>
  <c r="V285" i="11"/>
  <c r="T285" i="11"/>
  <c r="R285" i="11"/>
  <c r="P285" i="11"/>
  <c r="N285" i="11"/>
  <c r="L285" i="11"/>
  <c r="J285" i="11"/>
  <c r="H285" i="11"/>
  <c r="F285" i="11"/>
  <c r="D285" i="11"/>
  <c r="B285" i="11"/>
  <c r="X284" i="11"/>
  <c r="V284" i="11"/>
  <c r="T284" i="11"/>
  <c r="R284" i="11"/>
  <c r="P284" i="11"/>
  <c r="N284" i="11"/>
  <c r="L284" i="11"/>
  <c r="J284" i="11"/>
  <c r="H284" i="11"/>
  <c r="F284" i="11"/>
  <c r="D284" i="11"/>
  <c r="B284" i="11"/>
  <c r="X283" i="11"/>
  <c r="V283" i="11"/>
  <c r="T283" i="11"/>
  <c r="R283" i="11"/>
  <c r="P283" i="11"/>
  <c r="N283" i="11"/>
  <c r="L283" i="11"/>
  <c r="J283" i="11"/>
  <c r="H283" i="11"/>
  <c r="F283" i="11"/>
  <c r="D283" i="11"/>
  <c r="B283" i="11"/>
  <c r="X282" i="11"/>
  <c r="V282" i="11"/>
  <c r="T282" i="11"/>
  <c r="R282" i="11"/>
  <c r="P282" i="11"/>
  <c r="N282" i="11"/>
  <c r="L282" i="11"/>
  <c r="J282" i="11"/>
  <c r="H282" i="11"/>
  <c r="F282" i="11"/>
  <c r="D282" i="11"/>
  <c r="B282" i="11"/>
  <c r="X281" i="11"/>
  <c r="V281" i="11"/>
  <c r="T281" i="11"/>
  <c r="R281" i="11"/>
  <c r="P281" i="11"/>
  <c r="N281" i="11"/>
  <c r="L281" i="11"/>
  <c r="J281" i="11"/>
  <c r="H281" i="11"/>
  <c r="F281" i="11"/>
  <c r="D281" i="11"/>
  <c r="B281" i="11"/>
  <c r="X280" i="11"/>
  <c r="V280" i="11"/>
  <c r="T280" i="11"/>
  <c r="R280" i="11"/>
  <c r="P280" i="11"/>
  <c r="N280" i="11"/>
  <c r="L280" i="11"/>
  <c r="J280" i="11"/>
  <c r="H280" i="11"/>
  <c r="F280" i="11"/>
  <c r="D280" i="11"/>
  <c r="B280" i="11"/>
  <c r="X279" i="11"/>
  <c r="V279" i="11"/>
  <c r="T279" i="11"/>
  <c r="R279" i="11"/>
  <c r="P279" i="11"/>
  <c r="N279" i="11"/>
  <c r="L279" i="11"/>
  <c r="J279" i="11"/>
  <c r="H279" i="11"/>
  <c r="F279" i="11"/>
  <c r="D279" i="11"/>
  <c r="B279" i="11"/>
  <c r="X278" i="11"/>
  <c r="V278" i="11"/>
  <c r="T278" i="11"/>
  <c r="R278" i="11"/>
  <c r="P278" i="11"/>
  <c r="N278" i="11"/>
  <c r="L278" i="11"/>
  <c r="J278" i="11"/>
  <c r="H278" i="11"/>
  <c r="F278" i="11"/>
  <c r="D278" i="11"/>
  <c r="B278" i="11"/>
  <c r="X277" i="11"/>
  <c r="V277" i="11"/>
  <c r="T277" i="11"/>
  <c r="R277" i="11"/>
  <c r="P277" i="11"/>
  <c r="N277" i="11"/>
  <c r="L277" i="11"/>
  <c r="J277" i="11"/>
  <c r="H277" i="11"/>
  <c r="F277" i="11"/>
  <c r="D277" i="11"/>
  <c r="B277" i="11"/>
  <c r="X276" i="11"/>
  <c r="V276" i="11"/>
  <c r="T276" i="11"/>
  <c r="R276" i="11"/>
  <c r="P276" i="11"/>
  <c r="N276" i="11"/>
  <c r="L276" i="11"/>
  <c r="J276" i="11"/>
  <c r="H276" i="11"/>
  <c r="F276" i="11"/>
  <c r="D276" i="11"/>
  <c r="B276" i="11"/>
  <c r="X275" i="11"/>
  <c r="V275" i="11"/>
  <c r="T275" i="11"/>
  <c r="R275" i="11"/>
  <c r="P275" i="11"/>
  <c r="N275" i="11"/>
  <c r="L275" i="11"/>
  <c r="J275" i="11"/>
  <c r="H275" i="11"/>
  <c r="F275" i="11"/>
  <c r="D275" i="11"/>
  <c r="B275" i="11"/>
  <c r="X274" i="11"/>
  <c r="V274" i="11"/>
  <c r="T274" i="11"/>
  <c r="R274" i="11"/>
  <c r="P274" i="11"/>
  <c r="N274" i="11"/>
  <c r="L274" i="11"/>
  <c r="J274" i="11"/>
  <c r="H274" i="11"/>
  <c r="F274" i="11"/>
  <c r="D274" i="11"/>
  <c r="B274" i="11"/>
  <c r="X273" i="11"/>
  <c r="V273" i="11"/>
  <c r="T273" i="11"/>
  <c r="R273" i="11"/>
  <c r="P273" i="11"/>
  <c r="N273" i="11"/>
  <c r="L273" i="11"/>
  <c r="J273" i="11"/>
  <c r="H273" i="11"/>
  <c r="F273" i="11"/>
  <c r="D273" i="11"/>
  <c r="B273" i="11"/>
  <c r="X272" i="11"/>
  <c r="V272" i="11"/>
  <c r="T272" i="11"/>
  <c r="R272" i="11"/>
  <c r="P272" i="11"/>
  <c r="N272" i="11"/>
  <c r="L272" i="11"/>
  <c r="J272" i="11"/>
  <c r="H272" i="11"/>
  <c r="F272" i="11"/>
  <c r="D272" i="11"/>
  <c r="B272" i="11"/>
  <c r="X271" i="11"/>
  <c r="V271" i="11"/>
  <c r="T271" i="11"/>
  <c r="R271" i="11"/>
  <c r="P271" i="11"/>
  <c r="N271" i="11"/>
  <c r="L271" i="11"/>
  <c r="J271" i="11"/>
  <c r="H271" i="11"/>
  <c r="F271" i="11"/>
  <c r="D271" i="11"/>
  <c r="B271" i="11"/>
  <c r="X270" i="11"/>
  <c r="V270" i="11"/>
  <c r="T270" i="11"/>
  <c r="R270" i="11"/>
  <c r="P270" i="11"/>
  <c r="N270" i="11"/>
  <c r="L270" i="11"/>
  <c r="J270" i="11"/>
  <c r="H270" i="11"/>
  <c r="F270" i="11"/>
  <c r="D270" i="11"/>
  <c r="B270" i="11"/>
  <c r="X269" i="11"/>
  <c r="V269" i="11"/>
  <c r="T269" i="11"/>
  <c r="R269" i="11"/>
  <c r="P269" i="11"/>
  <c r="N269" i="11"/>
  <c r="L269" i="11"/>
  <c r="J269" i="11"/>
  <c r="H269" i="11"/>
  <c r="F269" i="11"/>
  <c r="D269" i="11"/>
  <c r="B269" i="11"/>
  <c r="X268" i="11"/>
  <c r="V268" i="11"/>
  <c r="T268" i="11"/>
  <c r="R268" i="11"/>
  <c r="P268" i="11"/>
  <c r="N268" i="11"/>
  <c r="L268" i="11"/>
  <c r="J268" i="11"/>
  <c r="H268" i="11"/>
  <c r="F268" i="11"/>
  <c r="D268" i="11"/>
  <c r="B268" i="11"/>
  <c r="X267" i="11"/>
  <c r="V267" i="11"/>
  <c r="T267" i="11"/>
  <c r="R267" i="11"/>
  <c r="P267" i="11"/>
  <c r="N267" i="11"/>
  <c r="L267" i="11"/>
  <c r="J267" i="11"/>
  <c r="H267" i="11"/>
  <c r="F267" i="11"/>
  <c r="D267" i="11"/>
  <c r="B267" i="11"/>
  <c r="W266" i="11"/>
  <c r="X265" i="11"/>
  <c r="AB36" i="11"/>
  <c r="AD36" i="11"/>
  <c r="U266" i="11"/>
  <c r="V266" i="11"/>
  <c r="S266" i="11"/>
  <c r="T265" i="11"/>
  <c r="Q266" i="11"/>
  <c r="R265" i="11"/>
  <c r="O266" i="11"/>
  <c r="P266" i="11"/>
  <c r="M266" i="11"/>
  <c r="N266" i="11"/>
  <c r="K266" i="11"/>
  <c r="L266" i="11"/>
  <c r="I266" i="11"/>
  <c r="J265" i="11"/>
  <c r="G266" i="11"/>
  <c r="H266" i="11"/>
  <c r="E266" i="11"/>
  <c r="F265" i="11"/>
  <c r="C266" i="11"/>
  <c r="B266" i="11"/>
  <c r="V265" i="11"/>
  <c r="B265" i="11"/>
  <c r="X264" i="11"/>
  <c r="V264" i="11"/>
  <c r="T264" i="11"/>
  <c r="R264" i="11"/>
  <c r="P264" i="11"/>
  <c r="N264" i="11"/>
  <c r="L264" i="11"/>
  <c r="J264" i="11"/>
  <c r="H264" i="11"/>
  <c r="F264" i="11"/>
  <c r="D264" i="11"/>
  <c r="B264" i="11"/>
  <c r="X263" i="11"/>
  <c r="V263" i="11"/>
  <c r="T263" i="11"/>
  <c r="R263" i="11"/>
  <c r="P263" i="11"/>
  <c r="N263" i="11"/>
  <c r="L263" i="11"/>
  <c r="J263" i="11"/>
  <c r="H263" i="11"/>
  <c r="F263" i="11"/>
  <c r="D263" i="11"/>
  <c r="B263" i="11"/>
  <c r="X262" i="11"/>
  <c r="V262" i="11"/>
  <c r="T262" i="11"/>
  <c r="R262" i="11"/>
  <c r="P262" i="11"/>
  <c r="N262" i="11"/>
  <c r="L262" i="11"/>
  <c r="J262" i="11"/>
  <c r="H262" i="11"/>
  <c r="F262" i="11"/>
  <c r="D262" i="11"/>
  <c r="B262" i="11"/>
  <c r="X261" i="11"/>
  <c r="V261" i="11"/>
  <c r="T261" i="11"/>
  <c r="R261" i="11"/>
  <c r="P261" i="11"/>
  <c r="N261" i="11"/>
  <c r="L261" i="11"/>
  <c r="J261" i="11"/>
  <c r="H261" i="11"/>
  <c r="F261" i="11"/>
  <c r="D261" i="11"/>
  <c r="B261" i="11"/>
  <c r="X260" i="11"/>
  <c r="V260" i="11"/>
  <c r="T260" i="11"/>
  <c r="R260" i="11"/>
  <c r="P260" i="11"/>
  <c r="N260" i="11"/>
  <c r="L260" i="11"/>
  <c r="J260" i="11"/>
  <c r="H260" i="11"/>
  <c r="F260" i="11"/>
  <c r="D260" i="11"/>
  <c r="B260" i="11"/>
  <c r="X259" i="11"/>
  <c r="V259" i="11"/>
  <c r="T259" i="11"/>
  <c r="R259" i="11"/>
  <c r="P259" i="11"/>
  <c r="N259" i="11"/>
  <c r="L259" i="11"/>
  <c r="J259" i="11"/>
  <c r="H259" i="11"/>
  <c r="F259" i="11"/>
  <c r="D259" i="11"/>
  <c r="B259" i="11"/>
  <c r="X258" i="11"/>
  <c r="V258" i="11"/>
  <c r="T258" i="11"/>
  <c r="R258" i="11"/>
  <c r="P258" i="11"/>
  <c r="N258" i="11"/>
  <c r="L258" i="11"/>
  <c r="J258" i="11"/>
  <c r="H258" i="11"/>
  <c r="F258" i="11"/>
  <c r="D258" i="11"/>
  <c r="B258" i="11"/>
  <c r="X257" i="11"/>
  <c r="V257" i="11"/>
  <c r="T257" i="11"/>
  <c r="R257" i="11"/>
  <c r="P257" i="11"/>
  <c r="N257" i="11"/>
  <c r="L257" i="11"/>
  <c r="J257" i="11"/>
  <c r="H257" i="11"/>
  <c r="F257" i="11"/>
  <c r="D257" i="11"/>
  <c r="B257" i="11"/>
  <c r="X256" i="11"/>
  <c r="V256" i="11"/>
  <c r="T256" i="11"/>
  <c r="R256" i="11"/>
  <c r="P256" i="11"/>
  <c r="N256" i="11"/>
  <c r="L256" i="11"/>
  <c r="J256" i="11"/>
  <c r="H256" i="11"/>
  <c r="F256" i="11"/>
  <c r="D256" i="11"/>
  <c r="B256" i="11"/>
  <c r="X255" i="11"/>
  <c r="V255" i="11"/>
  <c r="T255" i="11"/>
  <c r="R255" i="11"/>
  <c r="P255" i="11"/>
  <c r="N255" i="11"/>
  <c r="L255" i="11"/>
  <c r="J255" i="11"/>
  <c r="H255" i="11"/>
  <c r="F255" i="11"/>
  <c r="D255" i="11"/>
  <c r="B255" i="11"/>
  <c r="X254" i="11"/>
  <c r="V254" i="11"/>
  <c r="T254" i="11"/>
  <c r="R254" i="11"/>
  <c r="P254" i="11"/>
  <c r="N254" i="11"/>
  <c r="L254" i="11"/>
  <c r="J254" i="11"/>
  <c r="H254" i="11"/>
  <c r="F254" i="11"/>
  <c r="D254" i="11"/>
  <c r="B254" i="11"/>
  <c r="X253" i="11"/>
  <c r="V253" i="11"/>
  <c r="T253" i="11"/>
  <c r="R253" i="11"/>
  <c r="P253" i="11"/>
  <c r="N253" i="11"/>
  <c r="L253" i="11"/>
  <c r="J253" i="11"/>
  <c r="H253" i="11"/>
  <c r="F253" i="11"/>
  <c r="D253" i="11"/>
  <c r="B253" i="11"/>
  <c r="X252" i="11"/>
  <c r="V252" i="11"/>
  <c r="T252" i="11"/>
  <c r="R252" i="11"/>
  <c r="P252" i="11"/>
  <c r="N252" i="11"/>
  <c r="L252" i="11"/>
  <c r="J252" i="11"/>
  <c r="H252" i="11"/>
  <c r="F252" i="11"/>
  <c r="D252" i="11"/>
  <c r="B252" i="11"/>
  <c r="X251" i="11"/>
  <c r="V251" i="11"/>
  <c r="T251" i="11"/>
  <c r="R251" i="11"/>
  <c r="P251" i="11"/>
  <c r="N251" i="11"/>
  <c r="L251" i="11"/>
  <c r="J251" i="11"/>
  <c r="H251" i="11"/>
  <c r="F251" i="11"/>
  <c r="D251" i="11"/>
  <c r="B251" i="11"/>
  <c r="X250" i="11"/>
  <c r="V250" i="11"/>
  <c r="T250" i="11"/>
  <c r="R250" i="11"/>
  <c r="P250" i="11"/>
  <c r="N250" i="11"/>
  <c r="L250" i="11"/>
  <c r="J250" i="11"/>
  <c r="H250" i="11"/>
  <c r="F250" i="11"/>
  <c r="D250" i="11"/>
  <c r="B250" i="11"/>
  <c r="X249" i="11"/>
  <c r="V249" i="11"/>
  <c r="T249" i="11"/>
  <c r="R249" i="11"/>
  <c r="P249" i="11"/>
  <c r="N249" i="11"/>
  <c r="L249" i="11"/>
  <c r="J249" i="11"/>
  <c r="H249" i="11"/>
  <c r="F249" i="11"/>
  <c r="D249" i="11"/>
  <c r="B249" i="11"/>
  <c r="X248" i="11"/>
  <c r="V248" i="11"/>
  <c r="T248" i="11"/>
  <c r="R248" i="11"/>
  <c r="P248" i="11"/>
  <c r="N248" i="11"/>
  <c r="L248" i="11"/>
  <c r="J248" i="11"/>
  <c r="H248" i="11"/>
  <c r="F248" i="11"/>
  <c r="D248" i="11"/>
  <c r="B248" i="11"/>
  <c r="X247" i="11"/>
  <c r="V247" i="11"/>
  <c r="T247" i="11"/>
  <c r="R247" i="11"/>
  <c r="P247" i="11"/>
  <c r="N247" i="11"/>
  <c r="L247" i="11"/>
  <c r="J247" i="11"/>
  <c r="H247" i="11"/>
  <c r="F247" i="11"/>
  <c r="D247" i="11"/>
  <c r="B247" i="11"/>
  <c r="X246" i="11"/>
  <c r="V246" i="11"/>
  <c r="T246" i="11"/>
  <c r="R246" i="11"/>
  <c r="P246" i="11"/>
  <c r="N246" i="11"/>
  <c r="L246" i="11"/>
  <c r="J246" i="11"/>
  <c r="H246" i="11"/>
  <c r="F246" i="11"/>
  <c r="D246" i="11"/>
  <c r="B246" i="11"/>
  <c r="W245" i="11"/>
  <c r="V245" i="11"/>
  <c r="T245" i="11"/>
  <c r="R245" i="11"/>
  <c r="P245" i="11"/>
  <c r="N245" i="11"/>
  <c r="L245" i="11"/>
  <c r="J245" i="11"/>
  <c r="H245" i="11"/>
  <c r="F245" i="11"/>
  <c r="D245" i="11"/>
  <c r="B245" i="11"/>
  <c r="V244" i="11"/>
  <c r="T244" i="11"/>
  <c r="R244" i="11"/>
  <c r="P244" i="11"/>
  <c r="N244" i="11"/>
  <c r="L244" i="11"/>
  <c r="J244" i="11"/>
  <c r="H244" i="11"/>
  <c r="F244" i="11"/>
  <c r="D244" i="11"/>
  <c r="B244" i="11"/>
  <c r="X243" i="11"/>
  <c r="V243" i="11"/>
  <c r="T243" i="11"/>
  <c r="R243" i="11"/>
  <c r="P243" i="11"/>
  <c r="N243" i="11"/>
  <c r="L243" i="11"/>
  <c r="J243" i="11"/>
  <c r="H243" i="11"/>
  <c r="F243" i="11"/>
  <c r="D243" i="11"/>
  <c r="B243" i="11"/>
  <c r="X242" i="11"/>
  <c r="V242" i="11"/>
  <c r="T242" i="11"/>
  <c r="R242" i="11"/>
  <c r="P242" i="11"/>
  <c r="N242" i="11"/>
  <c r="L242" i="11"/>
  <c r="J242" i="11"/>
  <c r="H242" i="11"/>
  <c r="F242" i="11"/>
  <c r="D242" i="11"/>
  <c r="B242" i="11"/>
  <c r="X241" i="11"/>
  <c r="V241" i="11"/>
  <c r="T241" i="11"/>
  <c r="R241" i="11"/>
  <c r="P241" i="11"/>
  <c r="N241" i="11"/>
  <c r="L241" i="11"/>
  <c r="J241" i="11"/>
  <c r="H241" i="11"/>
  <c r="F241" i="11"/>
  <c r="D241" i="11"/>
  <c r="B241" i="11"/>
  <c r="X240" i="11"/>
  <c r="V240" i="11"/>
  <c r="T240" i="11"/>
  <c r="R240" i="11"/>
  <c r="P240" i="11"/>
  <c r="N240" i="11"/>
  <c r="L240" i="11"/>
  <c r="J240" i="11"/>
  <c r="H240" i="11"/>
  <c r="F240" i="11"/>
  <c r="D240" i="11"/>
  <c r="B240" i="11"/>
  <c r="X239" i="11"/>
  <c r="V239" i="11"/>
  <c r="T239" i="11"/>
  <c r="R239" i="11"/>
  <c r="P239" i="11"/>
  <c r="N239" i="11"/>
  <c r="L239" i="11"/>
  <c r="J239" i="11"/>
  <c r="H239" i="11"/>
  <c r="F239" i="11"/>
  <c r="D239" i="11"/>
  <c r="B239" i="11"/>
  <c r="X238" i="11"/>
  <c r="V238" i="11"/>
  <c r="T238" i="11"/>
  <c r="R238" i="11"/>
  <c r="P238" i="11"/>
  <c r="N238" i="11"/>
  <c r="L238" i="11"/>
  <c r="J238" i="11"/>
  <c r="H238" i="11"/>
  <c r="F238" i="11"/>
  <c r="D238" i="11"/>
  <c r="B238" i="11"/>
  <c r="X237" i="11"/>
  <c r="V237" i="11"/>
  <c r="T237" i="11"/>
  <c r="R237" i="11"/>
  <c r="P237" i="11"/>
  <c r="N237" i="11"/>
  <c r="L237" i="11"/>
  <c r="J237" i="11"/>
  <c r="H237" i="11"/>
  <c r="F237" i="11"/>
  <c r="D237" i="11"/>
  <c r="B237" i="11"/>
  <c r="X236" i="11"/>
  <c r="V236" i="11"/>
  <c r="T236" i="11"/>
  <c r="R236" i="11"/>
  <c r="P236" i="11"/>
  <c r="N236" i="11"/>
  <c r="L236" i="11"/>
  <c r="J236" i="11"/>
  <c r="H236" i="11"/>
  <c r="F236" i="11"/>
  <c r="D236" i="11"/>
  <c r="B236" i="11"/>
  <c r="X235" i="11"/>
  <c r="V235" i="11"/>
  <c r="T235" i="11"/>
  <c r="R235" i="11"/>
  <c r="P235" i="11"/>
  <c r="N235" i="11"/>
  <c r="L235" i="11"/>
  <c r="J235" i="11"/>
  <c r="H235" i="11"/>
  <c r="F235" i="11"/>
  <c r="D235" i="11"/>
  <c r="B235" i="11"/>
  <c r="X234" i="11"/>
  <c r="V234" i="11"/>
  <c r="T234" i="11"/>
  <c r="R234" i="11"/>
  <c r="P234" i="11"/>
  <c r="N234" i="11"/>
  <c r="L234" i="11"/>
  <c r="J234" i="11"/>
  <c r="H234" i="11"/>
  <c r="F234" i="11"/>
  <c r="D234" i="11"/>
  <c r="B234" i="11"/>
  <c r="X233" i="11"/>
  <c r="V233" i="11"/>
  <c r="T233" i="11"/>
  <c r="R233" i="11"/>
  <c r="P233" i="11"/>
  <c r="N233" i="11"/>
  <c r="L233" i="11"/>
  <c r="J233" i="11"/>
  <c r="H233" i="11"/>
  <c r="F233" i="11"/>
  <c r="D233" i="11"/>
  <c r="B233" i="11"/>
  <c r="X232" i="11"/>
  <c r="V232" i="11"/>
  <c r="T232" i="11"/>
  <c r="R232" i="11"/>
  <c r="P232" i="11"/>
  <c r="N232" i="11"/>
  <c r="L232" i="11"/>
  <c r="J232" i="11"/>
  <c r="H232" i="11"/>
  <c r="F232" i="11"/>
  <c r="D232" i="11"/>
  <c r="B232" i="11"/>
  <c r="X231" i="11"/>
  <c r="V231" i="11"/>
  <c r="T231" i="11"/>
  <c r="R231" i="11"/>
  <c r="P231" i="11"/>
  <c r="N231" i="11"/>
  <c r="L231" i="11"/>
  <c r="J231" i="11"/>
  <c r="H231" i="11"/>
  <c r="F231" i="11"/>
  <c r="D231" i="11"/>
  <c r="B231" i="11"/>
  <c r="X230" i="11"/>
  <c r="V230" i="11"/>
  <c r="T230" i="11"/>
  <c r="R230" i="11"/>
  <c r="P230" i="11"/>
  <c r="N230" i="11"/>
  <c r="L230" i="11"/>
  <c r="J230" i="11"/>
  <c r="H230" i="11"/>
  <c r="F230" i="11"/>
  <c r="D230" i="11"/>
  <c r="B230" i="11"/>
  <c r="X229" i="11"/>
  <c r="V229" i="11"/>
  <c r="T229" i="11"/>
  <c r="R229" i="11"/>
  <c r="P229" i="11"/>
  <c r="N229" i="11"/>
  <c r="L229" i="11"/>
  <c r="J229" i="11"/>
  <c r="H229" i="11"/>
  <c r="F229" i="11"/>
  <c r="D229" i="11"/>
  <c r="B229" i="11"/>
  <c r="X228" i="11"/>
  <c r="V228" i="11"/>
  <c r="T228" i="11"/>
  <c r="R228" i="11"/>
  <c r="P228" i="11"/>
  <c r="N228" i="11"/>
  <c r="L228" i="11"/>
  <c r="J228" i="11"/>
  <c r="H228" i="11"/>
  <c r="F228" i="11"/>
  <c r="D228" i="11"/>
  <c r="B228" i="11"/>
  <c r="X227" i="11"/>
  <c r="V227" i="11"/>
  <c r="T227" i="11"/>
  <c r="R227" i="11"/>
  <c r="P227" i="11"/>
  <c r="N227" i="11"/>
  <c r="L227" i="11"/>
  <c r="J227" i="11"/>
  <c r="H227" i="11"/>
  <c r="F227" i="11"/>
  <c r="D227" i="11"/>
  <c r="B227" i="11"/>
  <c r="X226" i="11"/>
  <c r="V226" i="11"/>
  <c r="T226" i="11"/>
  <c r="R226" i="11"/>
  <c r="P226" i="11"/>
  <c r="N226" i="11"/>
  <c r="L226" i="11"/>
  <c r="J226" i="11"/>
  <c r="H226" i="11"/>
  <c r="F226" i="11"/>
  <c r="D226" i="11"/>
  <c r="B226" i="11"/>
  <c r="X225" i="11"/>
  <c r="V225" i="11"/>
  <c r="T225" i="11"/>
  <c r="R225" i="11"/>
  <c r="P225" i="11"/>
  <c r="N225" i="11"/>
  <c r="L225" i="11"/>
  <c r="J225" i="11"/>
  <c r="H225" i="11"/>
  <c r="F225" i="11"/>
  <c r="D225" i="11"/>
  <c r="B225" i="11"/>
  <c r="X224" i="11"/>
  <c r="V224" i="11"/>
  <c r="T224" i="11"/>
  <c r="R224" i="11"/>
  <c r="P224" i="11"/>
  <c r="N224" i="11"/>
  <c r="L224" i="11"/>
  <c r="J224" i="11"/>
  <c r="H224" i="11"/>
  <c r="F224" i="11"/>
  <c r="D224" i="11"/>
  <c r="B224" i="11"/>
  <c r="X223" i="11"/>
  <c r="V223" i="11"/>
  <c r="S223" i="11"/>
  <c r="T223" i="11"/>
  <c r="R223" i="11"/>
  <c r="P223" i="11"/>
  <c r="N223" i="11"/>
  <c r="L223" i="11"/>
  <c r="J223" i="11"/>
  <c r="H223" i="11"/>
  <c r="F223" i="11"/>
  <c r="D223" i="11"/>
  <c r="B223" i="11"/>
  <c r="X222" i="11"/>
  <c r="V222" i="11"/>
  <c r="T222" i="11"/>
  <c r="R222" i="11"/>
  <c r="P222" i="11"/>
  <c r="N222" i="11"/>
  <c r="L222" i="11"/>
  <c r="J222" i="11"/>
  <c r="H222" i="11"/>
  <c r="F222" i="11"/>
  <c r="D222" i="11"/>
  <c r="B222" i="11"/>
  <c r="X221" i="11"/>
  <c r="V221" i="11"/>
  <c r="T221" i="11"/>
  <c r="R221" i="11"/>
  <c r="P221" i="11"/>
  <c r="N221" i="11"/>
  <c r="L221" i="11"/>
  <c r="J221" i="11"/>
  <c r="H221" i="11"/>
  <c r="F221" i="11"/>
  <c r="D221" i="11"/>
  <c r="B221" i="11"/>
  <c r="X220" i="11"/>
  <c r="V220" i="11"/>
  <c r="T220" i="11"/>
  <c r="R220" i="11"/>
  <c r="P220" i="11"/>
  <c r="N220" i="11"/>
  <c r="L220" i="11"/>
  <c r="J220" i="11"/>
  <c r="H220" i="11"/>
  <c r="F220" i="11"/>
  <c r="D220" i="11"/>
  <c r="B220" i="11"/>
  <c r="X219" i="11"/>
  <c r="V219" i="11"/>
  <c r="T219" i="11"/>
  <c r="R219" i="11"/>
  <c r="P219" i="11"/>
  <c r="N219" i="11"/>
  <c r="L219" i="11"/>
  <c r="J219" i="11"/>
  <c r="H219" i="11"/>
  <c r="F219" i="11"/>
  <c r="D219" i="11"/>
  <c r="B219" i="11"/>
  <c r="X218" i="11"/>
  <c r="V218" i="11"/>
  <c r="T218" i="11"/>
  <c r="R218" i="11"/>
  <c r="P218" i="11"/>
  <c r="N218" i="11"/>
  <c r="L218" i="11"/>
  <c r="J218" i="11"/>
  <c r="H218" i="11"/>
  <c r="F218" i="11"/>
  <c r="D218" i="11"/>
  <c r="B218" i="11"/>
  <c r="X217" i="11"/>
  <c r="V217" i="11"/>
  <c r="T217" i="11"/>
  <c r="R217" i="11"/>
  <c r="P217" i="11"/>
  <c r="N217" i="11"/>
  <c r="L217" i="11"/>
  <c r="J217" i="11"/>
  <c r="H217" i="11"/>
  <c r="F217" i="11"/>
  <c r="D217" i="11"/>
  <c r="B217" i="11"/>
  <c r="X216" i="11"/>
  <c r="V216" i="11"/>
  <c r="T216" i="11"/>
  <c r="R216" i="11"/>
  <c r="P216" i="11"/>
  <c r="N216" i="11"/>
  <c r="L216" i="11"/>
  <c r="J216" i="11"/>
  <c r="H216" i="11"/>
  <c r="F216" i="11"/>
  <c r="D216" i="11"/>
  <c r="B216" i="11"/>
  <c r="X215" i="11"/>
  <c r="V215" i="11"/>
  <c r="T215" i="11"/>
  <c r="R215" i="11"/>
  <c r="P215" i="11"/>
  <c r="N215" i="11"/>
  <c r="L215" i="11"/>
  <c r="J215" i="11"/>
  <c r="H215" i="11"/>
  <c r="F215" i="11"/>
  <c r="D215" i="11"/>
  <c r="B215" i="11"/>
  <c r="X214" i="11"/>
  <c r="V214" i="11"/>
  <c r="T214" i="11"/>
  <c r="R214" i="11"/>
  <c r="P214" i="11"/>
  <c r="N214" i="11"/>
  <c r="L214" i="11"/>
  <c r="J214" i="11"/>
  <c r="H214" i="11"/>
  <c r="F214" i="11"/>
  <c r="D214" i="11"/>
  <c r="B214" i="11"/>
  <c r="X213" i="11"/>
  <c r="V213" i="11"/>
  <c r="T213" i="11"/>
  <c r="R213" i="11"/>
  <c r="P213" i="11"/>
  <c r="N213" i="11"/>
  <c r="L213" i="11"/>
  <c r="J213" i="11"/>
  <c r="H213" i="11"/>
  <c r="F213" i="11"/>
  <c r="D213" i="11"/>
  <c r="B213" i="11"/>
  <c r="X212" i="11"/>
  <c r="V212" i="11"/>
  <c r="T212" i="11"/>
  <c r="R212" i="11"/>
  <c r="P212" i="11"/>
  <c r="N212" i="11"/>
  <c r="L212" i="11"/>
  <c r="J212" i="11"/>
  <c r="H212" i="11"/>
  <c r="F212" i="11"/>
  <c r="D212" i="11"/>
  <c r="B212" i="11"/>
  <c r="X211" i="11"/>
  <c r="V211" i="11"/>
  <c r="T211" i="11"/>
  <c r="R211" i="11"/>
  <c r="P211" i="11"/>
  <c r="N211" i="11"/>
  <c r="L211" i="11"/>
  <c r="J211" i="11"/>
  <c r="H211" i="11"/>
  <c r="F211" i="11"/>
  <c r="D211" i="11"/>
  <c r="B211" i="11"/>
  <c r="X210" i="11"/>
  <c r="V210" i="11"/>
  <c r="T210" i="11"/>
  <c r="R210" i="11"/>
  <c r="P210" i="11"/>
  <c r="N210" i="11"/>
  <c r="L210" i="11"/>
  <c r="J210" i="11"/>
  <c r="H210" i="11"/>
  <c r="F210" i="11"/>
  <c r="D210" i="11"/>
  <c r="B210" i="11"/>
  <c r="X209" i="11"/>
  <c r="V209" i="11"/>
  <c r="T209" i="11"/>
  <c r="R209" i="11"/>
  <c r="P209" i="11"/>
  <c r="N209" i="11"/>
  <c r="L209" i="11"/>
  <c r="J209" i="11"/>
  <c r="H209" i="11"/>
  <c r="F209" i="11"/>
  <c r="D209" i="11"/>
  <c r="B209" i="11"/>
  <c r="X208" i="11"/>
  <c r="V208" i="11"/>
  <c r="T208" i="11"/>
  <c r="R208" i="11"/>
  <c r="P208" i="11"/>
  <c r="N208" i="11"/>
  <c r="L208" i="11"/>
  <c r="J208" i="11"/>
  <c r="H208" i="11"/>
  <c r="F208" i="11"/>
  <c r="D208" i="11"/>
  <c r="B208" i="11"/>
  <c r="X207" i="11"/>
  <c r="V207" i="11"/>
  <c r="T207" i="11"/>
  <c r="R207" i="11"/>
  <c r="P207" i="11"/>
  <c r="N207" i="11"/>
  <c r="L207" i="11"/>
  <c r="J207" i="11"/>
  <c r="H207" i="11"/>
  <c r="F207" i="11"/>
  <c r="D207" i="11"/>
  <c r="B207" i="11"/>
  <c r="X206" i="11"/>
  <c r="V206" i="11"/>
  <c r="T206" i="11"/>
  <c r="R206" i="11"/>
  <c r="P206" i="11"/>
  <c r="N206" i="11"/>
  <c r="L206" i="11"/>
  <c r="J206" i="11"/>
  <c r="H206" i="11"/>
  <c r="F206" i="11"/>
  <c r="D206" i="11"/>
  <c r="B206" i="11"/>
  <c r="X205" i="11"/>
  <c r="V205" i="11"/>
  <c r="T205" i="11"/>
  <c r="R205" i="11"/>
  <c r="P205" i="11"/>
  <c r="N205" i="11"/>
  <c r="L205" i="11"/>
  <c r="J205" i="11"/>
  <c r="H205" i="11"/>
  <c r="F205" i="11"/>
  <c r="D205" i="11"/>
  <c r="B205" i="11"/>
  <c r="X204" i="11"/>
  <c r="V204" i="11"/>
  <c r="T204" i="11"/>
  <c r="R204" i="11"/>
  <c r="P204" i="11"/>
  <c r="N204" i="11"/>
  <c r="L204" i="11"/>
  <c r="J204" i="11"/>
  <c r="H204" i="11"/>
  <c r="F204" i="11"/>
  <c r="D204" i="11"/>
  <c r="B204" i="11"/>
  <c r="X203" i="11"/>
  <c r="V203" i="11"/>
  <c r="T203" i="11"/>
  <c r="R203" i="11"/>
  <c r="P203" i="11"/>
  <c r="N203" i="11"/>
  <c r="L203" i="11"/>
  <c r="J203" i="11"/>
  <c r="H203" i="11"/>
  <c r="F203" i="11"/>
  <c r="D203" i="11"/>
  <c r="B203" i="11"/>
  <c r="X202" i="11"/>
  <c r="V202" i="11"/>
  <c r="T202" i="11"/>
  <c r="R202" i="11"/>
  <c r="P202" i="11"/>
  <c r="N202" i="11"/>
  <c r="L202" i="11"/>
  <c r="J202" i="11"/>
  <c r="H202" i="11"/>
  <c r="F202" i="11"/>
  <c r="D202" i="11"/>
  <c r="B202" i="11"/>
  <c r="X201" i="11"/>
  <c r="V201" i="11"/>
  <c r="T201" i="11"/>
  <c r="R201" i="11"/>
  <c r="P201" i="11"/>
  <c r="N201" i="11"/>
  <c r="L201" i="11"/>
  <c r="J201" i="11"/>
  <c r="H201" i="11"/>
  <c r="F201" i="11"/>
  <c r="D201" i="11"/>
  <c r="B201" i="11"/>
  <c r="X200" i="11"/>
  <c r="V200" i="11"/>
  <c r="T200" i="11"/>
  <c r="R200" i="11"/>
  <c r="P200" i="11"/>
  <c r="N200" i="11"/>
  <c r="L200" i="11"/>
  <c r="J200" i="11"/>
  <c r="H200" i="11"/>
  <c r="F200" i="11"/>
  <c r="D200" i="11"/>
  <c r="B200" i="11"/>
  <c r="X199" i="11"/>
  <c r="V199" i="11"/>
  <c r="T199" i="11"/>
  <c r="R199" i="11"/>
  <c r="P199" i="11"/>
  <c r="N199" i="11"/>
  <c r="L199" i="11"/>
  <c r="J199" i="11"/>
  <c r="H199" i="11"/>
  <c r="F199" i="11"/>
  <c r="D199" i="11"/>
  <c r="B199" i="11"/>
  <c r="X198" i="11"/>
  <c r="V198" i="11"/>
  <c r="T198" i="11"/>
  <c r="R198" i="11"/>
  <c r="P198" i="11"/>
  <c r="N198" i="11"/>
  <c r="L198" i="11"/>
  <c r="J198" i="11"/>
  <c r="H198" i="11"/>
  <c r="F198" i="11"/>
  <c r="D198" i="11"/>
  <c r="B198" i="11"/>
  <c r="X197" i="11"/>
  <c r="V197" i="11"/>
  <c r="T197" i="11"/>
  <c r="R197" i="11"/>
  <c r="P197" i="11"/>
  <c r="N197" i="11"/>
  <c r="L197" i="11"/>
  <c r="J197" i="11"/>
  <c r="H197" i="11"/>
  <c r="F197" i="11"/>
  <c r="D197" i="11"/>
  <c r="B197" i="11"/>
  <c r="X196" i="11"/>
  <c r="V196" i="11"/>
  <c r="T196" i="11"/>
  <c r="R196" i="11"/>
  <c r="P196" i="11"/>
  <c r="N196" i="11"/>
  <c r="L196" i="11"/>
  <c r="J196" i="11"/>
  <c r="H196" i="11"/>
  <c r="F196" i="11"/>
  <c r="D196" i="11"/>
  <c r="B196" i="11"/>
  <c r="X195" i="11"/>
  <c r="V195" i="11"/>
  <c r="T195" i="11"/>
  <c r="R195" i="11"/>
  <c r="P195" i="11"/>
  <c r="N195" i="11"/>
  <c r="L195" i="11"/>
  <c r="J195" i="11"/>
  <c r="H195" i="11"/>
  <c r="F195" i="11"/>
  <c r="D195" i="11"/>
  <c r="B195" i="11"/>
  <c r="X194" i="11"/>
  <c r="V194" i="11"/>
  <c r="T194" i="11"/>
  <c r="R194" i="11"/>
  <c r="P194" i="11"/>
  <c r="N194" i="11"/>
  <c r="L194" i="11"/>
  <c r="J194" i="11"/>
  <c r="H194" i="11"/>
  <c r="F194" i="11"/>
  <c r="D194" i="11"/>
  <c r="B194" i="11"/>
  <c r="X193" i="11"/>
  <c r="V193" i="11"/>
  <c r="T193" i="11"/>
  <c r="R193" i="11"/>
  <c r="P193" i="11"/>
  <c r="N193" i="11"/>
  <c r="L193" i="11"/>
  <c r="J193" i="11"/>
  <c r="H193" i="11"/>
  <c r="F193" i="11"/>
  <c r="D193" i="11"/>
  <c r="B193" i="11"/>
  <c r="X192" i="11"/>
  <c r="V192" i="11"/>
  <c r="T192" i="11"/>
  <c r="R192" i="11"/>
  <c r="P192" i="11"/>
  <c r="N192" i="11"/>
  <c r="L192" i="11"/>
  <c r="J192" i="11"/>
  <c r="H192" i="11"/>
  <c r="F192" i="11"/>
  <c r="D192" i="11"/>
  <c r="B192" i="11"/>
  <c r="X191" i="11"/>
  <c r="V191" i="11"/>
  <c r="T191" i="11"/>
  <c r="R191" i="11"/>
  <c r="P191" i="11"/>
  <c r="N191" i="11"/>
  <c r="L191" i="11"/>
  <c r="J191" i="11"/>
  <c r="H191" i="11"/>
  <c r="F191" i="11"/>
  <c r="D191" i="11"/>
  <c r="B191" i="11"/>
  <c r="X190" i="11"/>
  <c r="V190" i="11"/>
  <c r="T190" i="11"/>
  <c r="R190" i="11"/>
  <c r="P190" i="11"/>
  <c r="N190" i="11"/>
  <c r="L190" i="11"/>
  <c r="J190" i="11"/>
  <c r="H190" i="11"/>
  <c r="F190" i="11"/>
  <c r="D190" i="11"/>
  <c r="B190" i="11"/>
  <c r="X189" i="11"/>
  <c r="V189" i="11"/>
  <c r="T189" i="11"/>
  <c r="R189" i="11"/>
  <c r="P189" i="11"/>
  <c r="N189" i="11"/>
  <c r="L189" i="11"/>
  <c r="J189" i="11"/>
  <c r="H189" i="11"/>
  <c r="F189" i="11"/>
  <c r="D189" i="11"/>
  <c r="B189" i="11"/>
  <c r="X188" i="11"/>
  <c r="V188" i="11"/>
  <c r="T188" i="11"/>
  <c r="R188" i="11"/>
  <c r="P188" i="11"/>
  <c r="N188" i="11"/>
  <c r="L188" i="11"/>
  <c r="J188" i="11"/>
  <c r="H188" i="11"/>
  <c r="D188" i="11"/>
  <c r="B188" i="11"/>
  <c r="X187" i="11"/>
  <c r="V187" i="11"/>
  <c r="S187" i="11"/>
  <c r="T186" i="11"/>
  <c r="Q187" i="11"/>
  <c r="R186" i="11"/>
  <c r="P187" i="11"/>
  <c r="N187" i="11"/>
  <c r="L187" i="11"/>
  <c r="J187" i="11"/>
  <c r="H187" i="11"/>
  <c r="E187" i="11"/>
  <c r="C187" i="11"/>
  <c r="D186" i="11"/>
  <c r="B187" i="11"/>
  <c r="X186" i="11"/>
  <c r="V186" i="11"/>
  <c r="P186" i="11"/>
  <c r="N186" i="11"/>
  <c r="L186" i="11"/>
  <c r="J186" i="11"/>
  <c r="H186" i="11"/>
  <c r="B186" i="11"/>
  <c r="W185" i="11"/>
  <c r="X185" i="11"/>
  <c r="V185" i="11"/>
  <c r="T185" i="11"/>
  <c r="R185" i="11"/>
  <c r="P185" i="11"/>
  <c r="N185" i="11"/>
  <c r="L185" i="11"/>
  <c r="J185" i="11"/>
  <c r="H185" i="11"/>
  <c r="F185" i="11"/>
  <c r="D185" i="11"/>
  <c r="B185" i="11"/>
  <c r="X184" i="11"/>
  <c r="V184" i="11"/>
  <c r="T184" i="11"/>
  <c r="R184" i="11"/>
  <c r="P184" i="11"/>
  <c r="N184" i="11"/>
  <c r="L184" i="11"/>
  <c r="J184" i="11"/>
  <c r="H184" i="11"/>
  <c r="F184" i="11"/>
  <c r="D184" i="11"/>
  <c r="B184" i="11"/>
  <c r="X183" i="11"/>
  <c r="V183" i="11"/>
  <c r="T183" i="11"/>
  <c r="R183" i="11"/>
  <c r="P183" i="11"/>
  <c r="N183" i="11"/>
  <c r="L183" i="11"/>
  <c r="J183" i="11"/>
  <c r="H183" i="11"/>
  <c r="F183" i="11"/>
  <c r="D183" i="11"/>
  <c r="B183" i="11"/>
  <c r="X182" i="11"/>
  <c r="V182" i="11"/>
  <c r="T182" i="11"/>
  <c r="R182" i="11"/>
  <c r="P182" i="11"/>
  <c r="N182" i="11"/>
  <c r="L182" i="11"/>
  <c r="J182" i="11"/>
  <c r="H182" i="11"/>
  <c r="F182" i="11"/>
  <c r="D182" i="11"/>
  <c r="B182" i="11"/>
  <c r="X181" i="11"/>
  <c r="V181" i="11"/>
  <c r="T181" i="11"/>
  <c r="R181" i="11"/>
  <c r="P181" i="11"/>
  <c r="N181" i="11"/>
  <c r="L181" i="11"/>
  <c r="J181" i="11"/>
  <c r="H181" i="11"/>
  <c r="F181" i="11"/>
  <c r="D181" i="11"/>
  <c r="B181" i="11"/>
  <c r="X180" i="11"/>
  <c r="V180" i="11"/>
  <c r="T180" i="11"/>
  <c r="R180" i="11"/>
  <c r="P180" i="11"/>
  <c r="N180" i="11"/>
  <c r="L180" i="11"/>
  <c r="J180" i="11"/>
  <c r="H180" i="11"/>
  <c r="F180" i="11"/>
  <c r="D180" i="11"/>
  <c r="B180" i="11"/>
  <c r="X179" i="11"/>
  <c r="V179" i="11"/>
  <c r="T179" i="11"/>
  <c r="R179" i="11"/>
  <c r="P179" i="11"/>
  <c r="N179" i="11"/>
  <c r="L179" i="11"/>
  <c r="J179" i="11"/>
  <c r="H179" i="11"/>
  <c r="F179" i="11"/>
  <c r="D179" i="11"/>
  <c r="B179" i="11"/>
  <c r="X178" i="11"/>
  <c r="V178" i="11"/>
  <c r="T178" i="11"/>
  <c r="R178" i="11"/>
  <c r="P178" i="11"/>
  <c r="N178" i="11"/>
  <c r="L178" i="11"/>
  <c r="J178" i="11"/>
  <c r="H178" i="11"/>
  <c r="F178" i="11"/>
  <c r="D178" i="11"/>
  <c r="B178" i="11"/>
  <c r="X177" i="11"/>
  <c r="V177" i="11"/>
  <c r="T177" i="11"/>
  <c r="R177" i="11"/>
  <c r="P177" i="11"/>
  <c r="N177" i="11"/>
  <c r="L177" i="11"/>
  <c r="J177" i="11"/>
  <c r="H177" i="11"/>
  <c r="F177" i="11"/>
  <c r="D177" i="11"/>
  <c r="B177" i="11"/>
  <c r="X176" i="11"/>
  <c r="V176" i="11"/>
  <c r="T176" i="11"/>
  <c r="R176" i="11"/>
  <c r="P176" i="11"/>
  <c r="N176" i="11"/>
  <c r="L176" i="11"/>
  <c r="J176" i="11"/>
  <c r="H176" i="11"/>
  <c r="F176" i="11"/>
  <c r="D176" i="11"/>
  <c r="B176" i="11"/>
  <c r="X175" i="11"/>
  <c r="V175" i="11"/>
  <c r="T175" i="11"/>
  <c r="R175" i="11"/>
  <c r="P175" i="11"/>
  <c r="N175" i="11"/>
  <c r="L175" i="11"/>
  <c r="J175" i="11"/>
  <c r="H175" i="11"/>
  <c r="F175" i="11"/>
  <c r="D175" i="11"/>
  <c r="B175" i="11"/>
  <c r="X174" i="11"/>
  <c r="V174" i="11"/>
  <c r="T174" i="11"/>
  <c r="R174" i="11"/>
  <c r="P174" i="11"/>
  <c r="N174" i="11"/>
  <c r="L174" i="11"/>
  <c r="J174" i="11"/>
  <c r="H174" i="11"/>
  <c r="F174" i="11"/>
  <c r="D174" i="11"/>
  <c r="B174" i="11"/>
  <c r="X173" i="11"/>
  <c r="V173" i="11"/>
  <c r="T173" i="11"/>
  <c r="R173" i="11"/>
  <c r="P173" i="11"/>
  <c r="N173" i="11"/>
  <c r="L173" i="11"/>
  <c r="J173" i="11"/>
  <c r="H173" i="11"/>
  <c r="F173" i="11"/>
  <c r="D173" i="11"/>
  <c r="B173" i="11"/>
  <c r="X172" i="11"/>
  <c r="V172" i="11"/>
  <c r="T172" i="11"/>
  <c r="R172" i="11"/>
  <c r="P172" i="11"/>
  <c r="N172" i="11"/>
  <c r="L172" i="11"/>
  <c r="J172" i="11"/>
  <c r="H172" i="11"/>
  <c r="F172" i="11"/>
  <c r="D172" i="11"/>
  <c r="B172" i="11"/>
  <c r="X171" i="11"/>
  <c r="V171" i="11"/>
  <c r="T171" i="11"/>
  <c r="R171" i="11"/>
  <c r="P171" i="11"/>
  <c r="N171" i="11"/>
  <c r="L171" i="11"/>
  <c r="J171" i="11"/>
  <c r="H171" i="11"/>
  <c r="F171" i="11"/>
  <c r="D171" i="11"/>
  <c r="B171" i="11"/>
  <c r="X170" i="11"/>
  <c r="V170" i="11"/>
  <c r="T170" i="11"/>
  <c r="R170" i="11"/>
  <c r="P170" i="11"/>
  <c r="N170" i="11"/>
  <c r="L170" i="11"/>
  <c r="J170" i="11"/>
  <c r="H170" i="11"/>
  <c r="F170" i="11"/>
  <c r="D170" i="11"/>
  <c r="B170" i="11"/>
  <c r="X169" i="11"/>
  <c r="V169" i="11"/>
  <c r="T169" i="11"/>
  <c r="R169" i="11"/>
  <c r="P169" i="11"/>
  <c r="N169" i="11"/>
  <c r="L169" i="11"/>
  <c r="J169" i="11"/>
  <c r="H169" i="11"/>
  <c r="F169" i="11"/>
  <c r="D169" i="11"/>
  <c r="B169" i="11"/>
  <c r="X168" i="11"/>
  <c r="V168" i="11"/>
  <c r="T168" i="11"/>
  <c r="R168" i="11"/>
  <c r="P168" i="11"/>
  <c r="N168" i="11"/>
  <c r="L168" i="11"/>
  <c r="J168" i="11"/>
  <c r="H168" i="11"/>
  <c r="F168" i="11"/>
  <c r="D168" i="11"/>
  <c r="B168" i="11"/>
  <c r="X167" i="11"/>
  <c r="V167" i="11"/>
  <c r="T167" i="11"/>
  <c r="R167" i="11"/>
  <c r="P167" i="11"/>
  <c r="N167" i="11"/>
  <c r="L167" i="11"/>
  <c r="J167" i="11"/>
  <c r="H167" i="11"/>
  <c r="F167" i="11"/>
  <c r="D167" i="11"/>
  <c r="B167" i="11"/>
  <c r="X166" i="11"/>
  <c r="V166" i="11"/>
  <c r="T166" i="11"/>
  <c r="R166" i="11"/>
  <c r="P166" i="11"/>
  <c r="N166" i="11"/>
  <c r="L166" i="11"/>
  <c r="J166" i="11"/>
  <c r="H166" i="11"/>
  <c r="F166" i="11"/>
  <c r="D166" i="11"/>
  <c r="B166" i="11"/>
  <c r="X165" i="11"/>
  <c r="V165" i="11"/>
  <c r="T165" i="11"/>
  <c r="R165" i="11"/>
  <c r="P165" i="11"/>
  <c r="N165" i="11"/>
  <c r="L165" i="11"/>
  <c r="J165" i="11"/>
  <c r="H165" i="11"/>
  <c r="F165" i="11"/>
  <c r="D165" i="11"/>
  <c r="B165" i="11"/>
  <c r="X164" i="11"/>
  <c r="V164" i="11"/>
  <c r="T164" i="11"/>
  <c r="R164" i="11"/>
  <c r="P164" i="11"/>
  <c r="N164" i="11"/>
  <c r="L164" i="11"/>
  <c r="J164" i="11"/>
  <c r="H164" i="11"/>
  <c r="F164" i="11"/>
  <c r="D164" i="11"/>
  <c r="B164" i="11"/>
  <c r="X163" i="11"/>
  <c r="V163" i="11"/>
  <c r="T163" i="11"/>
  <c r="R163" i="11"/>
  <c r="P163" i="11"/>
  <c r="N163" i="11"/>
  <c r="L163" i="11"/>
  <c r="J163" i="11"/>
  <c r="H163" i="11"/>
  <c r="F163" i="11"/>
  <c r="D163" i="11"/>
  <c r="B163" i="11"/>
  <c r="X162" i="11"/>
  <c r="V162" i="11"/>
  <c r="T162" i="11"/>
  <c r="R162" i="11"/>
  <c r="P162" i="11"/>
  <c r="N162" i="11"/>
  <c r="L162" i="11"/>
  <c r="J162" i="11"/>
  <c r="H162" i="11"/>
  <c r="F162" i="11"/>
  <c r="D162" i="11"/>
  <c r="B162" i="11"/>
  <c r="X161" i="11"/>
  <c r="V161" i="11"/>
  <c r="T161" i="11"/>
  <c r="R161" i="11"/>
  <c r="P161" i="11"/>
  <c r="N161" i="11"/>
  <c r="L161" i="11"/>
  <c r="J161" i="11"/>
  <c r="H161" i="11"/>
  <c r="F161" i="11"/>
  <c r="D161" i="11"/>
  <c r="B161" i="11"/>
  <c r="X160" i="11"/>
  <c r="V160" i="11"/>
  <c r="T160" i="11"/>
  <c r="R160" i="11"/>
  <c r="P160" i="11"/>
  <c r="N160" i="11"/>
  <c r="L160" i="11"/>
  <c r="J160" i="11"/>
  <c r="H160" i="11"/>
  <c r="F160" i="11"/>
  <c r="D160" i="11"/>
  <c r="B160" i="11"/>
  <c r="X159" i="11"/>
  <c r="V159" i="11"/>
  <c r="T159" i="11"/>
  <c r="R159" i="11"/>
  <c r="P159" i="11"/>
  <c r="N159" i="11"/>
  <c r="L159" i="11"/>
  <c r="J159" i="11"/>
  <c r="H159" i="11"/>
  <c r="F159" i="11"/>
  <c r="D159" i="11"/>
  <c r="B159" i="11"/>
  <c r="X158" i="11"/>
  <c r="V158" i="11"/>
  <c r="T158" i="11"/>
  <c r="R158" i="11"/>
  <c r="P158" i="11"/>
  <c r="N158" i="11"/>
  <c r="L158" i="11"/>
  <c r="J158" i="11"/>
  <c r="H158" i="11"/>
  <c r="F158" i="11"/>
  <c r="D158" i="11"/>
  <c r="B158" i="11"/>
  <c r="X157" i="11"/>
  <c r="V157" i="11"/>
  <c r="T157" i="11"/>
  <c r="R157" i="11"/>
  <c r="P157" i="11"/>
  <c r="N157" i="11"/>
  <c r="L157" i="11"/>
  <c r="J157" i="11"/>
  <c r="H157" i="11"/>
  <c r="F157" i="11"/>
  <c r="D157" i="11"/>
  <c r="B157" i="11"/>
  <c r="X156" i="11"/>
  <c r="V156" i="11"/>
  <c r="T156" i="11"/>
  <c r="R156" i="11"/>
  <c r="P156" i="11"/>
  <c r="N156" i="11"/>
  <c r="L156" i="11"/>
  <c r="J156" i="11"/>
  <c r="H156" i="11"/>
  <c r="F156" i="11"/>
  <c r="D156" i="11"/>
  <c r="B156" i="11"/>
  <c r="X155" i="11"/>
  <c r="V155" i="11"/>
  <c r="T155" i="11"/>
  <c r="R155" i="11"/>
  <c r="P155" i="11"/>
  <c r="N155" i="11"/>
  <c r="L155" i="11"/>
  <c r="J155" i="11"/>
  <c r="H155" i="11"/>
  <c r="F155" i="11"/>
  <c r="D155" i="11"/>
  <c r="B155" i="11"/>
  <c r="X154" i="11"/>
  <c r="V154" i="11"/>
  <c r="T154" i="11"/>
  <c r="R154" i="11"/>
  <c r="P154" i="11"/>
  <c r="N154" i="11"/>
  <c r="L154" i="11"/>
  <c r="J154" i="11"/>
  <c r="H154" i="11"/>
  <c r="F154" i="11"/>
  <c r="D154" i="11"/>
  <c r="B154" i="11"/>
  <c r="X153" i="11"/>
  <c r="V153" i="11"/>
  <c r="T153" i="11"/>
  <c r="R153" i="11"/>
  <c r="P153" i="11"/>
  <c r="N153" i="11"/>
  <c r="L153" i="11"/>
  <c r="J153" i="11"/>
  <c r="H153" i="11"/>
  <c r="F153" i="11"/>
  <c r="D153" i="11"/>
  <c r="B153" i="11"/>
  <c r="X152" i="11"/>
  <c r="V152" i="11"/>
  <c r="T152" i="11"/>
  <c r="R152" i="11"/>
  <c r="P152" i="11"/>
  <c r="N152" i="11"/>
  <c r="L152" i="11"/>
  <c r="J152" i="11"/>
  <c r="H152" i="11"/>
  <c r="F152" i="11"/>
  <c r="D152" i="11"/>
  <c r="B152" i="11"/>
  <c r="X151" i="11"/>
  <c r="V151" i="11"/>
  <c r="T151" i="11"/>
  <c r="R151" i="11"/>
  <c r="P151" i="11"/>
  <c r="N151" i="11"/>
  <c r="L151" i="11"/>
  <c r="J151" i="11"/>
  <c r="H151" i="11"/>
  <c r="F151" i="11"/>
  <c r="D151" i="11"/>
  <c r="B151" i="11"/>
  <c r="X150" i="11"/>
  <c r="V150" i="11"/>
  <c r="T150" i="11"/>
  <c r="R150" i="11"/>
  <c r="P150" i="11"/>
  <c r="N150" i="11"/>
  <c r="L150" i="11"/>
  <c r="J150" i="11"/>
  <c r="H150" i="11"/>
  <c r="F150" i="11"/>
  <c r="D150" i="11"/>
  <c r="B150" i="11"/>
  <c r="X149" i="11"/>
  <c r="V149" i="11"/>
  <c r="T149" i="11"/>
  <c r="R149" i="11"/>
  <c r="P149" i="11"/>
  <c r="N149" i="11"/>
  <c r="L149" i="11"/>
  <c r="J149" i="11"/>
  <c r="H149" i="11"/>
  <c r="F149" i="11"/>
  <c r="D149" i="11"/>
  <c r="B149" i="11"/>
  <c r="X148" i="11"/>
  <c r="V148" i="11"/>
  <c r="T148" i="11"/>
  <c r="R148" i="11"/>
  <c r="P148" i="11"/>
  <c r="N148" i="11"/>
  <c r="L148" i="11"/>
  <c r="J148" i="11"/>
  <c r="H148" i="11"/>
  <c r="F148" i="11"/>
  <c r="D148" i="11"/>
  <c r="B148" i="11"/>
  <c r="X147" i="11"/>
  <c r="V147" i="11"/>
  <c r="T147" i="11"/>
  <c r="R147" i="11"/>
  <c r="P147" i="11"/>
  <c r="N147" i="11"/>
  <c r="L147" i="11"/>
  <c r="J147" i="11"/>
  <c r="H147" i="11"/>
  <c r="F147" i="11"/>
  <c r="D147" i="11"/>
  <c r="B147" i="11"/>
  <c r="X146" i="11"/>
  <c r="V146" i="11"/>
  <c r="T146" i="11"/>
  <c r="R146" i="11"/>
  <c r="P146" i="11"/>
  <c r="N146" i="11"/>
  <c r="L146" i="11"/>
  <c r="J146" i="11"/>
  <c r="H146" i="11"/>
  <c r="F146" i="11"/>
  <c r="D146" i="11"/>
  <c r="B146" i="11"/>
  <c r="X145" i="11"/>
  <c r="V145" i="11"/>
  <c r="T145" i="11"/>
  <c r="R145" i="11"/>
  <c r="P145" i="11"/>
  <c r="N145" i="11"/>
  <c r="L145" i="11"/>
  <c r="J145" i="11"/>
  <c r="H145" i="11"/>
  <c r="F145" i="11"/>
  <c r="D145" i="11"/>
  <c r="B145" i="11"/>
  <c r="X144" i="11"/>
  <c r="V144" i="11"/>
  <c r="T144" i="11"/>
  <c r="R144" i="11"/>
  <c r="P144" i="11"/>
  <c r="N144" i="11"/>
  <c r="L144" i="11"/>
  <c r="J144" i="11"/>
  <c r="H144" i="11"/>
  <c r="F144" i="11"/>
  <c r="D144" i="11"/>
  <c r="B144" i="11"/>
  <c r="X143" i="11"/>
  <c r="V143" i="11"/>
  <c r="T143" i="11"/>
  <c r="R143" i="11"/>
  <c r="P143" i="11"/>
  <c r="N143" i="11"/>
  <c r="L143" i="11"/>
  <c r="J143" i="11"/>
  <c r="H143" i="11"/>
  <c r="F143" i="11"/>
  <c r="D143" i="11"/>
  <c r="B143" i="11"/>
  <c r="X142" i="11"/>
  <c r="V142" i="11"/>
  <c r="T142" i="11"/>
  <c r="R142" i="11"/>
  <c r="P142" i="11"/>
  <c r="N142" i="11"/>
  <c r="L142" i="11"/>
  <c r="J142" i="11"/>
  <c r="H142" i="11"/>
  <c r="F142" i="11"/>
  <c r="D142" i="11"/>
  <c r="B142" i="11"/>
  <c r="X141" i="11"/>
  <c r="V141" i="11"/>
  <c r="T141" i="11"/>
  <c r="R141" i="11"/>
  <c r="P141" i="11"/>
  <c r="N141" i="11"/>
  <c r="L141" i="11"/>
  <c r="J141" i="11"/>
  <c r="H141" i="11"/>
  <c r="F141" i="11"/>
  <c r="D141" i="11"/>
  <c r="B141" i="11"/>
  <c r="X140" i="11"/>
  <c r="V140" i="11"/>
  <c r="T140" i="11"/>
  <c r="R140" i="11"/>
  <c r="P140" i="11"/>
  <c r="N140" i="11"/>
  <c r="L140" i="11"/>
  <c r="J140" i="11"/>
  <c r="H140" i="11"/>
  <c r="F140" i="11"/>
  <c r="D140" i="11"/>
  <c r="B140" i="11"/>
  <c r="X139" i="11"/>
  <c r="V139" i="11"/>
  <c r="T139" i="11"/>
  <c r="R139" i="11"/>
  <c r="P139" i="11"/>
  <c r="N139" i="11"/>
  <c r="L139" i="11"/>
  <c r="J139" i="11"/>
  <c r="H139" i="11"/>
  <c r="F139" i="11"/>
  <c r="D139" i="11"/>
  <c r="B139" i="11"/>
  <c r="X138" i="11"/>
  <c r="V138" i="11"/>
  <c r="T138" i="11"/>
  <c r="R138" i="11"/>
  <c r="P138" i="11"/>
  <c r="N138" i="11"/>
  <c r="L138" i="11"/>
  <c r="J138" i="11"/>
  <c r="H138" i="11"/>
  <c r="F138" i="11"/>
  <c r="D138" i="11"/>
  <c r="B138" i="11"/>
  <c r="X137" i="11"/>
  <c r="V137" i="11"/>
  <c r="T137" i="11"/>
  <c r="R137" i="11"/>
  <c r="P137" i="11"/>
  <c r="N137" i="11"/>
  <c r="L137" i="11"/>
  <c r="J137" i="11"/>
  <c r="H137" i="11"/>
  <c r="F137" i="11"/>
  <c r="D137" i="11"/>
  <c r="B137" i="11"/>
  <c r="X136" i="11"/>
  <c r="V136" i="11"/>
  <c r="T136" i="11"/>
  <c r="R136" i="11"/>
  <c r="P136" i="11"/>
  <c r="N136" i="11"/>
  <c r="L136" i="11"/>
  <c r="J136" i="11"/>
  <c r="H136" i="11"/>
  <c r="F136" i="11"/>
  <c r="D136" i="11"/>
  <c r="B136" i="11"/>
  <c r="X135" i="11"/>
  <c r="V135" i="11"/>
  <c r="T135" i="11"/>
  <c r="R135" i="11"/>
  <c r="P135" i="11"/>
  <c r="N135" i="11"/>
  <c r="L135" i="11"/>
  <c r="J135" i="11"/>
  <c r="H135" i="11"/>
  <c r="F135" i="11"/>
  <c r="D135" i="11"/>
  <c r="B135" i="11"/>
  <c r="X134" i="11"/>
  <c r="V134" i="11"/>
  <c r="T134" i="11"/>
  <c r="R134" i="11"/>
  <c r="P134" i="11"/>
  <c r="N134" i="11"/>
  <c r="L134" i="11"/>
  <c r="J134" i="11"/>
  <c r="H134" i="11"/>
  <c r="F134" i="11"/>
  <c r="D134" i="11"/>
  <c r="B134" i="11"/>
  <c r="X133" i="11"/>
  <c r="V133" i="11"/>
  <c r="T133" i="11"/>
  <c r="R133" i="11"/>
  <c r="P133" i="11"/>
  <c r="N133" i="11"/>
  <c r="L133" i="11"/>
  <c r="J133" i="11"/>
  <c r="H133" i="11"/>
  <c r="F133" i="11"/>
  <c r="D133" i="11"/>
  <c r="B133" i="11"/>
  <c r="X132" i="11"/>
  <c r="V132" i="11"/>
  <c r="T132" i="11"/>
  <c r="R132" i="11"/>
  <c r="P132" i="11"/>
  <c r="N132" i="11"/>
  <c r="L132" i="11"/>
  <c r="J132" i="11"/>
  <c r="H132" i="11"/>
  <c r="F132" i="11"/>
  <c r="D132" i="11"/>
  <c r="B132" i="11"/>
  <c r="X131" i="11"/>
  <c r="V131" i="11"/>
  <c r="T131" i="11"/>
  <c r="R131" i="11"/>
  <c r="P131" i="11"/>
  <c r="N131" i="11"/>
  <c r="L131" i="11"/>
  <c r="J131" i="11"/>
  <c r="H131" i="11"/>
  <c r="F131" i="11"/>
  <c r="D131" i="11"/>
  <c r="B131" i="11"/>
  <c r="X130" i="11"/>
  <c r="V130" i="11"/>
  <c r="T130" i="11"/>
  <c r="R130" i="11"/>
  <c r="P130" i="11"/>
  <c r="N130" i="11"/>
  <c r="L130" i="11"/>
  <c r="J130" i="11"/>
  <c r="H130" i="11"/>
  <c r="F130" i="11"/>
  <c r="D130" i="11"/>
  <c r="B130" i="11"/>
  <c r="X129" i="11"/>
  <c r="V129" i="11"/>
  <c r="T129" i="11"/>
  <c r="R129" i="11"/>
  <c r="P129" i="11"/>
  <c r="N129" i="11"/>
  <c r="L129" i="11"/>
  <c r="J129" i="11"/>
  <c r="H129" i="11"/>
  <c r="F129" i="11"/>
  <c r="D129" i="11"/>
  <c r="B129" i="11"/>
  <c r="X128" i="11"/>
  <c r="V128" i="11"/>
  <c r="T128" i="11"/>
  <c r="R128" i="11"/>
  <c r="P128" i="11"/>
  <c r="N128" i="11"/>
  <c r="L128" i="11"/>
  <c r="J128" i="11"/>
  <c r="H128" i="11"/>
  <c r="F128" i="11"/>
  <c r="D128" i="11"/>
  <c r="B128" i="11"/>
  <c r="X127" i="11"/>
  <c r="V127" i="11"/>
  <c r="T127" i="11"/>
  <c r="R127" i="11"/>
  <c r="P127" i="11"/>
  <c r="N127" i="11"/>
  <c r="L127" i="11"/>
  <c r="J127" i="11"/>
  <c r="H127" i="11"/>
  <c r="F127" i="11"/>
  <c r="D127" i="11"/>
  <c r="B127" i="11"/>
  <c r="X126" i="11"/>
  <c r="V126" i="11"/>
  <c r="T126" i="11"/>
  <c r="R126" i="11"/>
  <c r="P126" i="11"/>
  <c r="N126" i="11"/>
  <c r="L126" i="11"/>
  <c r="J126" i="11"/>
  <c r="H126" i="11"/>
  <c r="F126" i="11"/>
  <c r="D126" i="11"/>
  <c r="B126" i="11"/>
  <c r="X125" i="11"/>
  <c r="V125" i="11"/>
  <c r="T125" i="11"/>
  <c r="R125" i="11"/>
  <c r="P125" i="11"/>
  <c r="N125" i="11"/>
  <c r="L125" i="11"/>
  <c r="J125" i="11"/>
  <c r="H125" i="11"/>
  <c r="F125" i="11"/>
  <c r="D125" i="11"/>
  <c r="B125" i="11"/>
  <c r="X124" i="11"/>
  <c r="V124" i="11"/>
  <c r="T124" i="11"/>
  <c r="R124" i="11"/>
  <c r="P124" i="11"/>
  <c r="N124" i="11"/>
  <c r="L124" i="11"/>
  <c r="J124" i="11"/>
  <c r="H124" i="11"/>
  <c r="F124" i="11"/>
  <c r="D124" i="11"/>
  <c r="B124" i="11"/>
  <c r="X123" i="11"/>
  <c r="V123" i="11"/>
  <c r="T123" i="11"/>
  <c r="R123" i="11"/>
  <c r="P123" i="11"/>
  <c r="N123" i="11"/>
  <c r="L123" i="11"/>
  <c r="J123" i="11"/>
  <c r="H123" i="11"/>
  <c r="F123" i="11"/>
  <c r="D123" i="11"/>
  <c r="B123" i="11"/>
  <c r="X122" i="11"/>
  <c r="V122" i="11"/>
  <c r="T122" i="11"/>
  <c r="R122" i="11"/>
  <c r="P122" i="11"/>
  <c r="N122" i="11"/>
  <c r="L122" i="11"/>
  <c r="J122" i="11"/>
  <c r="H122" i="11"/>
  <c r="F122" i="11"/>
  <c r="D122" i="11"/>
  <c r="B122" i="11"/>
  <c r="X121" i="11"/>
  <c r="V121" i="11"/>
  <c r="T121" i="11"/>
  <c r="R121" i="11"/>
  <c r="P121" i="11"/>
  <c r="N121" i="11"/>
  <c r="L121" i="11"/>
  <c r="J121" i="11"/>
  <c r="H121" i="11"/>
  <c r="F121" i="11"/>
  <c r="D121" i="11"/>
  <c r="B121" i="11"/>
  <c r="X120" i="11"/>
  <c r="V120" i="11"/>
  <c r="T120" i="11"/>
  <c r="R120" i="11"/>
  <c r="P120" i="11"/>
  <c r="N120" i="11"/>
  <c r="L120" i="11"/>
  <c r="J120" i="11"/>
  <c r="H120" i="11"/>
  <c r="F120" i="11"/>
  <c r="D120" i="11"/>
  <c r="B120" i="11"/>
  <c r="X119" i="11"/>
  <c r="V119" i="11"/>
  <c r="T119" i="11"/>
  <c r="R119" i="11"/>
  <c r="P119" i="11"/>
  <c r="N119" i="11"/>
  <c r="L119" i="11"/>
  <c r="J119" i="11"/>
  <c r="H119" i="11"/>
  <c r="F119" i="11"/>
  <c r="D119" i="11"/>
  <c r="B119" i="11"/>
  <c r="X118" i="11"/>
  <c r="V118" i="11"/>
  <c r="T118" i="11"/>
  <c r="R118" i="11"/>
  <c r="P118" i="11"/>
  <c r="N118" i="11"/>
  <c r="L118" i="11"/>
  <c r="J118" i="11"/>
  <c r="H118" i="11"/>
  <c r="F118" i="11"/>
  <c r="D118" i="11"/>
  <c r="B118" i="11"/>
  <c r="X117" i="11"/>
  <c r="V117" i="11"/>
  <c r="T117" i="11"/>
  <c r="R117" i="11"/>
  <c r="P117" i="11"/>
  <c r="N117" i="11"/>
  <c r="L117" i="11"/>
  <c r="J117" i="11"/>
  <c r="H117" i="11"/>
  <c r="F117" i="11"/>
  <c r="D117" i="11"/>
  <c r="B117" i="11"/>
  <c r="X116" i="11"/>
  <c r="V116" i="11"/>
  <c r="T116" i="11"/>
  <c r="R116" i="11"/>
  <c r="P116" i="11"/>
  <c r="N116" i="11"/>
  <c r="L116" i="11"/>
  <c r="J116" i="11"/>
  <c r="H116" i="11"/>
  <c r="F116" i="11"/>
  <c r="D116" i="11"/>
  <c r="B116" i="11"/>
  <c r="X115" i="11"/>
  <c r="V115" i="11"/>
  <c r="T115" i="11"/>
  <c r="R115" i="11"/>
  <c r="P115" i="11"/>
  <c r="N115" i="11"/>
  <c r="L115" i="11"/>
  <c r="J115" i="11"/>
  <c r="H115" i="11"/>
  <c r="F115" i="11"/>
  <c r="D115" i="11"/>
  <c r="B115" i="11"/>
  <c r="X114" i="11"/>
  <c r="V114" i="11"/>
  <c r="T114" i="11"/>
  <c r="R114" i="11"/>
  <c r="P114" i="11"/>
  <c r="N114" i="11"/>
  <c r="L114" i="11"/>
  <c r="J114" i="11"/>
  <c r="H114" i="11"/>
  <c r="F114" i="11"/>
  <c r="D114" i="11"/>
  <c r="B114" i="11"/>
  <c r="X113" i="11"/>
  <c r="V113" i="11"/>
  <c r="T113" i="11"/>
  <c r="R113" i="11"/>
  <c r="P113" i="11"/>
  <c r="N113" i="11"/>
  <c r="L113" i="11"/>
  <c r="J113" i="11"/>
  <c r="H113" i="11"/>
  <c r="F113" i="11"/>
  <c r="D113" i="11"/>
  <c r="B113" i="11"/>
  <c r="X112" i="11"/>
  <c r="V112" i="11"/>
  <c r="T112" i="11"/>
  <c r="R112" i="11"/>
  <c r="P112" i="11"/>
  <c r="N112" i="11"/>
  <c r="L112" i="11"/>
  <c r="J112" i="11"/>
  <c r="H112" i="11"/>
  <c r="F112" i="11"/>
  <c r="D112" i="11"/>
  <c r="B112" i="11"/>
  <c r="X111" i="11"/>
  <c r="V111" i="11"/>
  <c r="T111" i="11"/>
  <c r="R111" i="11"/>
  <c r="P111" i="11"/>
  <c r="N111" i="11"/>
  <c r="L111" i="11"/>
  <c r="J111" i="11"/>
  <c r="H111" i="11"/>
  <c r="F111" i="11"/>
  <c r="D111" i="11"/>
  <c r="B111" i="11"/>
  <c r="X110" i="11"/>
  <c r="V110" i="11"/>
  <c r="T110" i="11"/>
  <c r="R110" i="11"/>
  <c r="P110" i="11"/>
  <c r="N110" i="11"/>
  <c r="L110" i="11"/>
  <c r="J110" i="11"/>
  <c r="H110" i="11"/>
  <c r="F110" i="11"/>
  <c r="D110" i="11"/>
  <c r="B110" i="11"/>
  <c r="X109" i="11"/>
  <c r="V109" i="11"/>
  <c r="T109" i="11"/>
  <c r="R109" i="11"/>
  <c r="P109" i="11"/>
  <c r="N109" i="11"/>
  <c r="L109" i="11"/>
  <c r="J109" i="11"/>
  <c r="H109" i="11"/>
  <c r="F109" i="11"/>
  <c r="D109" i="11"/>
  <c r="B109" i="11"/>
  <c r="X108" i="11"/>
  <c r="V108" i="11"/>
  <c r="T108" i="11"/>
  <c r="R108" i="11"/>
  <c r="P108" i="11"/>
  <c r="N108" i="11"/>
  <c r="K108" i="11"/>
  <c r="L108" i="11"/>
  <c r="J108" i="11"/>
  <c r="H108" i="11"/>
  <c r="F108" i="11"/>
  <c r="D108" i="11"/>
  <c r="B108" i="11"/>
  <c r="X107" i="11"/>
  <c r="V107" i="11"/>
  <c r="T107" i="11"/>
  <c r="R107" i="11"/>
  <c r="P107" i="11"/>
  <c r="N107" i="11"/>
  <c r="L107" i="11"/>
  <c r="J107" i="11"/>
  <c r="H107" i="11"/>
  <c r="F107" i="11"/>
  <c r="D107" i="11"/>
  <c r="B107" i="11"/>
  <c r="X106" i="11"/>
  <c r="V106" i="11"/>
  <c r="T106" i="11"/>
  <c r="R106" i="11"/>
  <c r="P106" i="11"/>
  <c r="N106" i="11"/>
  <c r="L106" i="11"/>
  <c r="J106" i="11"/>
  <c r="H106" i="11"/>
  <c r="F106" i="11"/>
  <c r="D106" i="11"/>
  <c r="B106" i="11"/>
  <c r="X105" i="11"/>
  <c r="V105" i="11"/>
  <c r="T105" i="11"/>
  <c r="R105" i="11"/>
  <c r="P105" i="11"/>
  <c r="N105" i="11"/>
  <c r="L105" i="11"/>
  <c r="J105" i="11"/>
  <c r="H105" i="11"/>
  <c r="F105" i="11"/>
  <c r="D105" i="11"/>
  <c r="B105" i="11"/>
  <c r="X104" i="11"/>
  <c r="V104" i="11"/>
  <c r="T104" i="11"/>
  <c r="R104" i="11"/>
  <c r="P104" i="11"/>
  <c r="N104" i="11"/>
  <c r="L104" i="11"/>
  <c r="J104" i="11"/>
  <c r="H104" i="11"/>
  <c r="F104" i="11"/>
  <c r="D104" i="11"/>
  <c r="B104" i="11"/>
  <c r="X103" i="11"/>
  <c r="V103" i="11"/>
  <c r="T103" i="11"/>
  <c r="R103" i="11"/>
  <c r="P103" i="11"/>
  <c r="N103" i="11"/>
  <c r="L103" i="11"/>
  <c r="J103" i="11"/>
  <c r="H103" i="11"/>
  <c r="F103" i="11"/>
  <c r="D103" i="11"/>
  <c r="B103" i="11"/>
  <c r="X102" i="11"/>
  <c r="V102" i="11"/>
  <c r="T102" i="11"/>
  <c r="R102" i="11"/>
  <c r="P102" i="11"/>
  <c r="N102" i="11"/>
  <c r="L102" i="11"/>
  <c r="J102" i="11"/>
  <c r="H102" i="11"/>
  <c r="F102" i="11"/>
  <c r="D102" i="11"/>
  <c r="B102" i="11"/>
  <c r="X101" i="11"/>
  <c r="V101" i="11"/>
  <c r="T101" i="11"/>
  <c r="R101" i="11"/>
  <c r="P101" i="11"/>
  <c r="N101" i="11"/>
  <c r="L101" i="11"/>
  <c r="J101" i="11"/>
  <c r="H101" i="11"/>
  <c r="F101" i="11"/>
  <c r="D101" i="11"/>
  <c r="B101" i="11"/>
  <c r="X100" i="11"/>
  <c r="V100" i="11"/>
  <c r="T100" i="11"/>
  <c r="R100" i="11"/>
  <c r="P100" i="11"/>
  <c r="N100" i="11"/>
  <c r="L100" i="11"/>
  <c r="J100" i="11"/>
  <c r="H100" i="11"/>
  <c r="F100" i="11"/>
  <c r="D100" i="11"/>
  <c r="B100" i="11"/>
  <c r="X99" i="11"/>
  <c r="V99" i="11"/>
  <c r="T99" i="11"/>
  <c r="R99" i="11"/>
  <c r="P99" i="11"/>
  <c r="N99" i="11"/>
  <c r="L99" i="11"/>
  <c r="J99" i="11"/>
  <c r="H99" i="11"/>
  <c r="F99" i="11"/>
  <c r="D99" i="11"/>
  <c r="B99" i="11"/>
  <c r="X98" i="11"/>
  <c r="V98" i="11"/>
  <c r="T98" i="11"/>
  <c r="R98" i="11"/>
  <c r="P98" i="11"/>
  <c r="N98" i="11"/>
  <c r="L98" i="11"/>
  <c r="J98" i="11"/>
  <c r="H98" i="11"/>
  <c r="F98" i="11"/>
  <c r="D98" i="11"/>
  <c r="B98" i="11"/>
  <c r="X97" i="11"/>
  <c r="V97" i="11"/>
  <c r="T97" i="11"/>
  <c r="R97" i="11"/>
  <c r="P97" i="11"/>
  <c r="N97" i="11"/>
  <c r="L97" i="11"/>
  <c r="J97" i="11"/>
  <c r="H97" i="11"/>
  <c r="F97" i="11"/>
  <c r="D97" i="11"/>
  <c r="B97" i="11"/>
  <c r="X96" i="11"/>
  <c r="V96" i="11"/>
  <c r="T96" i="11"/>
  <c r="R96" i="11"/>
  <c r="P96" i="11"/>
  <c r="N96" i="11"/>
  <c r="L96" i="11"/>
  <c r="J96" i="11"/>
  <c r="H96" i="11"/>
  <c r="F96" i="11"/>
  <c r="D96" i="11"/>
  <c r="B96" i="11"/>
  <c r="X95" i="11"/>
  <c r="V95" i="11"/>
  <c r="T95" i="11"/>
  <c r="R95" i="11"/>
  <c r="P95" i="11"/>
  <c r="N95" i="11"/>
  <c r="L95" i="11"/>
  <c r="J95" i="11"/>
  <c r="H95" i="11"/>
  <c r="F95" i="11"/>
  <c r="D95" i="11"/>
  <c r="B95" i="11"/>
  <c r="X94" i="11"/>
  <c r="V94" i="11"/>
  <c r="T94" i="11"/>
  <c r="R94" i="11"/>
  <c r="P94" i="11"/>
  <c r="N94" i="11"/>
  <c r="L94" i="11"/>
  <c r="J94" i="11"/>
  <c r="H94" i="11"/>
  <c r="F94" i="11"/>
  <c r="D94" i="11"/>
  <c r="B94" i="11"/>
  <c r="X93" i="11"/>
  <c r="V93" i="11"/>
  <c r="T93" i="11"/>
  <c r="R93" i="11"/>
  <c r="P93" i="11"/>
  <c r="N93" i="11"/>
  <c r="L93" i="11"/>
  <c r="J93" i="11"/>
  <c r="H93" i="11"/>
  <c r="F93" i="11"/>
  <c r="D93" i="11"/>
  <c r="B93" i="11"/>
  <c r="X92" i="11"/>
  <c r="V92" i="11"/>
  <c r="T92" i="11"/>
  <c r="R92" i="11"/>
  <c r="P92" i="11"/>
  <c r="N92" i="11"/>
  <c r="L92" i="11"/>
  <c r="J92" i="11"/>
  <c r="H92" i="11"/>
  <c r="F92" i="11"/>
  <c r="D92" i="11"/>
  <c r="B92" i="11"/>
  <c r="X91" i="11"/>
  <c r="V91" i="11"/>
  <c r="T91" i="11"/>
  <c r="R91" i="11"/>
  <c r="P91" i="11"/>
  <c r="N91" i="11"/>
  <c r="L91" i="11"/>
  <c r="J91" i="11"/>
  <c r="H91" i="11"/>
  <c r="F91" i="11"/>
  <c r="D91" i="11"/>
  <c r="B91" i="11"/>
  <c r="X90" i="11"/>
  <c r="V90" i="11"/>
  <c r="T90" i="11"/>
  <c r="R90" i="11"/>
  <c r="P90" i="11"/>
  <c r="N90" i="11"/>
  <c r="L90" i="11"/>
  <c r="J90" i="11"/>
  <c r="H90" i="11"/>
  <c r="F90" i="11"/>
  <c r="D90" i="11"/>
  <c r="B90" i="11"/>
  <c r="X89" i="11"/>
  <c r="V89" i="11"/>
  <c r="T89" i="11"/>
  <c r="R89" i="11"/>
  <c r="P89" i="11"/>
  <c r="N89" i="11"/>
  <c r="L89" i="11"/>
  <c r="J89" i="11"/>
  <c r="H89" i="11"/>
  <c r="F89" i="11"/>
  <c r="D89" i="11"/>
  <c r="B89" i="11"/>
  <c r="X88" i="11"/>
  <c r="V88" i="11"/>
  <c r="T88" i="11"/>
  <c r="R88" i="11"/>
  <c r="P88" i="11"/>
  <c r="N88" i="11"/>
  <c r="L88" i="11"/>
  <c r="J88" i="11"/>
  <c r="H88" i="11"/>
  <c r="F88" i="11"/>
  <c r="D88" i="11"/>
  <c r="B88" i="11"/>
  <c r="X87" i="11"/>
  <c r="V87" i="11"/>
  <c r="T87" i="11"/>
  <c r="R87" i="11"/>
  <c r="P87" i="11"/>
  <c r="N87" i="11"/>
  <c r="L87" i="11"/>
  <c r="J87" i="11"/>
  <c r="H87" i="11"/>
  <c r="F87" i="11"/>
  <c r="D87" i="11"/>
  <c r="B87" i="11"/>
  <c r="X86" i="11"/>
  <c r="V86" i="11"/>
  <c r="T86" i="11"/>
  <c r="R86" i="11"/>
  <c r="P86" i="11"/>
  <c r="N86" i="11"/>
  <c r="L86" i="11"/>
  <c r="J86" i="11"/>
  <c r="H86" i="11"/>
  <c r="F86" i="11"/>
  <c r="D86" i="11"/>
  <c r="B86" i="11"/>
  <c r="X85" i="11"/>
  <c r="V85" i="11"/>
  <c r="T85" i="11"/>
  <c r="R85" i="11"/>
  <c r="P85" i="11"/>
  <c r="N85" i="11"/>
  <c r="L85" i="11"/>
  <c r="J85" i="11"/>
  <c r="H85" i="11"/>
  <c r="F85" i="11"/>
  <c r="D85" i="11"/>
  <c r="B85" i="11"/>
  <c r="X84" i="11"/>
  <c r="V84" i="11"/>
  <c r="T84" i="11"/>
  <c r="R84" i="11"/>
  <c r="P84" i="11"/>
  <c r="N84" i="11"/>
  <c r="L84" i="11"/>
  <c r="J84" i="11"/>
  <c r="H84" i="11"/>
  <c r="F84" i="11"/>
  <c r="D84" i="11"/>
  <c r="B84" i="11"/>
  <c r="X83" i="11"/>
  <c r="V83" i="11"/>
  <c r="T83" i="11"/>
  <c r="R83" i="11"/>
  <c r="P83" i="11"/>
  <c r="N83" i="11"/>
  <c r="L83" i="11"/>
  <c r="J83" i="11"/>
  <c r="H83" i="11"/>
  <c r="F83" i="11"/>
  <c r="D83" i="11"/>
  <c r="B83" i="11"/>
  <c r="X82" i="11"/>
  <c r="V82" i="11"/>
  <c r="T82" i="11"/>
  <c r="R82" i="11"/>
  <c r="P82" i="11"/>
  <c r="N82" i="11"/>
  <c r="L82" i="11"/>
  <c r="J82" i="11"/>
  <c r="H82" i="11"/>
  <c r="F82" i="11"/>
  <c r="D82" i="11"/>
  <c r="B82" i="11"/>
  <c r="X81" i="11"/>
  <c r="V81" i="11"/>
  <c r="T81" i="11"/>
  <c r="R81" i="11"/>
  <c r="P81" i="11"/>
  <c r="N81" i="11"/>
  <c r="L81" i="11"/>
  <c r="J81" i="11"/>
  <c r="H81" i="11"/>
  <c r="F81" i="11"/>
  <c r="D81" i="11"/>
  <c r="B81" i="11"/>
  <c r="X80" i="11"/>
  <c r="V80" i="11"/>
  <c r="T80" i="11"/>
  <c r="R80" i="11"/>
  <c r="P80" i="11"/>
  <c r="N80" i="11"/>
  <c r="L80" i="11"/>
  <c r="J80" i="11"/>
  <c r="H80" i="11"/>
  <c r="F80" i="11"/>
  <c r="D80" i="11"/>
  <c r="B80" i="11"/>
  <c r="X79" i="11"/>
  <c r="V79" i="11"/>
  <c r="T79" i="11"/>
  <c r="R79" i="11"/>
  <c r="P79" i="11"/>
  <c r="N79" i="11"/>
  <c r="L79" i="11"/>
  <c r="J79" i="11"/>
  <c r="H79" i="11"/>
  <c r="F79" i="11"/>
  <c r="D79" i="11"/>
  <c r="B79" i="11"/>
  <c r="X78" i="11"/>
  <c r="V78" i="11"/>
  <c r="T78" i="11"/>
  <c r="R78" i="11"/>
  <c r="P78" i="11"/>
  <c r="N78" i="11"/>
  <c r="L78" i="11"/>
  <c r="J78" i="11"/>
  <c r="H78" i="11"/>
  <c r="F78" i="11"/>
  <c r="D78" i="11"/>
  <c r="B78" i="11"/>
  <c r="X77" i="11"/>
  <c r="V77" i="11"/>
  <c r="T77" i="11"/>
  <c r="R77" i="11"/>
  <c r="P77" i="11"/>
  <c r="N77" i="11"/>
  <c r="L77" i="11"/>
  <c r="J77" i="11"/>
  <c r="H77" i="11"/>
  <c r="F77" i="11"/>
  <c r="D77" i="11"/>
  <c r="B77" i="11"/>
  <c r="X76" i="11"/>
  <c r="V76" i="11"/>
  <c r="T76" i="11"/>
  <c r="R76" i="11"/>
  <c r="P76" i="11"/>
  <c r="N76" i="11"/>
  <c r="L76" i="11"/>
  <c r="J76" i="11"/>
  <c r="H76" i="11"/>
  <c r="F76" i="11"/>
  <c r="D76" i="11"/>
  <c r="B76" i="11"/>
  <c r="X75" i="11"/>
  <c r="V75" i="11"/>
  <c r="T75" i="11"/>
  <c r="R75" i="11"/>
  <c r="P75" i="11"/>
  <c r="N75" i="11"/>
  <c r="L75" i="11"/>
  <c r="J75" i="11"/>
  <c r="H75" i="11"/>
  <c r="F75" i="11"/>
  <c r="D75" i="11"/>
  <c r="B75" i="11"/>
  <c r="X74" i="11"/>
  <c r="V74" i="11"/>
  <c r="T74" i="11"/>
  <c r="R74" i="11"/>
  <c r="P74" i="11"/>
  <c r="N74" i="11"/>
  <c r="L74" i="11"/>
  <c r="J74" i="11"/>
  <c r="H74" i="11"/>
  <c r="F74" i="11"/>
  <c r="D74" i="11"/>
  <c r="B74" i="11"/>
  <c r="X73" i="11"/>
  <c r="V73" i="11"/>
  <c r="T73" i="11"/>
  <c r="R73" i="11"/>
  <c r="P73" i="11"/>
  <c r="N73" i="11"/>
  <c r="L73" i="11"/>
  <c r="J73" i="11"/>
  <c r="H73" i="11"/>
  <c r="F73" i="11"/>
  <c r="D73" i="11"/>
  <c r="B73" i="11"/>
  <c r="X72" i="11"/>
  <c r="V72" i="11"/>
  <c r="T72" i="11"/>
  <c r="R72" i="11"/>
  <c r="P72" i="11"/>
  <c r="N72" i="11"/>
  <c r="L72" i="11"/>
  <c r="J72" i="11"/>
  <c r="H72" i="11"/>
  <c r="F72" i="11"/>
  <c r="D72" i="11"/>
  <c r="B72" i="11"/>
  <c r="X71" i="11"/>
  <c r="V71" i="11"/>
  <c r="T71" i="11"/>
  <c r="R71" i="11"/>
  <c r="P71" i="11"/>
  <c r="N71" i="11"/>
  <c r="L71" i="11"/>
  <c r="J71" i="11"/>
  <c r="H71" i="11"/>
  <c r="F71" i="11"/>
  <c r="D71" i="11"/>
  <c r="B71" i="11"/>
  <c r="X70" i="11"/>
  <c r="V70" i="11"/>
  <c r="T70" i="11"/>
  <c r="R70" i="11"/>
  <c r="P70" i="11"/>
  <c r="N70" i="11"/>
  <c r="L70" i="11"/>
  <c r="J70" i="11"/>
  <c r="H70" i="11"/>
  <c r="F70" i="11"/>
  <c r="D70" i="11"/>
  <c r="B70" i="11"/>
  <c r="X69" i="11"/>
  <c r="V69" i="11"/>
  <c r="T69" i="11"/>
  <c r="R69" i="11"/>
  <c r="P69" i="11"/>
  <c r="N69" i="11"/>
  <c r="L69" i="11"/>
  <c r="J69" i="11"/>
  <c r="H69" i="11"/>
  <c r="F69" i="11"/>
  <c r="D69" i="11"/>
  <c r="B69" i="11"/>
  <c r="X68" i="11"/>
  <c r="V68" i="11"/>
  <c r="T68" i="11"/>
  <c r="R68" i="11"/>
  <c r="P68" i="11"/>
  <c r="N68" i="11"/>
  <c r="L68" i="11"/>
  <c r="J68" i="11"/>
  <c r="H68" i="11"/>
  <c r="F68" i="11"/>
  <c r="D68" i="11"/>
  <c r="B68" i="11"/>
  <c r="X67" i="11"/>
  <c r="V67" i="11"/>
  <c r="T67" i="11"/>
  <c r="R67" i="11"/>
  <c r="P67" i="11"/>
  <c r="N67" i="11"/>
  <c r="L67" i="11"/>
  <c r="J67" i="11"/>
  <c r="H67" i="11"/>
  <c r="F67" i="11"/>
  <c r="D67" i="11"/>
  <c r="B67" i="11"/>
  <c r="X66" i="11"/>
  <c r="V66" i="11"/>
  <c r="T66" i="11"/>
  <c r="R66" i="11"/>
  <c r="P66" i="11"/>
  <c r="N66" i="11"/>
  <c r="L66" i="11"/>
  <c r="J66" i="11"/>
  <c r="H66" i="11"/>
  <c r="F66" i="11"/>
  <c r="D66" i="11"/>
  <c r="B66" i="11"/>
  <c r="X65" i="11"/>
  <c r="V65" i="11"/>
  <c r="T65" i="11"/>
  <c r="R65" i="11"/>
  <c r="P65" i="11"/>
  <c r="N65" i="11"/>
  <c r="L65" i="11"/>
  <c r="J65" i="11"/>
  <c r="H65" i="11"/>
  <c r="F65" i="11"/>
  <c r="D65" i="11"/>
  <c r="B65" i="11"/>
  <c r="X64" i="11"/>
  <c r="V64" i="11"/>
  <c r="T64" i="11"/>
  <c r="R64" i="11"/>
  <c r="P64" i="11"/>
  <c r="N64" i="11"/>
  <c r="L64" i="11"/>
  <c r="J64" i="11"/>
  <c r="H64" i="11"/>
  <c r="F64" i="11"/>
  <c r="D64" i="11"/>
  <c r="B64" i="11"/>
  <c r="X63" i="11"/>
  <c r="V63" i="11"/>
  <c r="T63" i="11"/>
  <c r="R63" i="11"/>
  <c r="P63" i="11"/>
  <c r="N63" i="11"/>
  <c r="L63" i="11"/>
  <c r="J63" i="11"/>
  <c r="H63" i="11"/>
  <c r="F63" i="11"/>
  <c r="D63" i="11"/>
  <c r="B63" i="11"/>
  <c r="AB29" i="11"/>
  <c r="AD29" i="11"/>
  <c r="X62" i="11"/>
  <c r="V62" i="11"/>
  <c r="T62" i="11"/>
  <c r="Q62" i="11"/>
  <c r="R62" i="11"/>
  <c r="P62" i="11"/>
  <c r="N62" i="11"/>
  <c r="L62" i="11"/>
  <c r="J62" i="11"/>
  <c r="H62" i="11"/>
  <c r="F62" i="11"/>
  <c r="D62" i="11"/>
  <c r="B62" i="11"/>
  <c r="X61" i="11"/>
  <c r="V61" i="11"/>
  <c r="T61" i="11"/>
  <c r="P61" i="11"/>
  <c r="N61" i="11"/>
  <c r="L61" i="11"/>
  <c r="J61" i="11"/>
  <c r="G61" i="11"/>
  <c r="H61" i="11"/>
  <c r="F61" i="11"/>
  <c r="D61" i="11"/>
  <c r="B61" i="11"/>
  <c r="X60" i="11"/>
  <c r="V60" i="11"/>
  <c r="T60" i="11"/>
  <c r="R60" i="11"/>
  <c r="P60" i="11"/>
  <c r="N60" i="11"/>
  <c r="L60" i="11"/>
  <c r="J60" i="11"/>
  <c r="H60" i="11"/>
  <c r="F60" i="11"/>
  <c r="D60" i="11"/>
  <c r="B60" i="11"/>
  <c r="X59" i="11"/>
  <c r="V59" i="11"/>
  <c r="T59" i="11"/>
  <c r="R59" i="11"/>
  <c r="P59" i="11"/>
  <c r="N59" i="11"/>
  <c r="L59" i="11"/>
  <c r="J59" i="11"/>
  <c r="H59" i="11"/>
  <c r="F59" i="11"/>
  <c r="D59" i="11"/>
  <c r="B59" i="11"/>
  <c r="X58" i="11"/>
  <c r="V58" i="11"/>
  <c r="T58" i="11"/>
  <c r="R58" i="11"/>
  <c r="P58" i="11"/>
  <c r="N58" i="11"/>
  <c r="L58" i="11"/>
  <c r="J58" i="11"/>
  <c r="H58" i="11"/>
  <c r="F58" i="11"/>
  <c r="D58" i="11"/>
  <c r="B58" i="11"/>
  <c r="X57" i="11"/>
  <c r="V57" i="11"/>
  <c r="T57" i="11"/>
  <c r="R57" i="11"/>
  <c r="P57" i="11"/>
  <c r="N57" i="11"/>
  <c r="L57" i="11"/>
  <c r="J57" i="11"/>
  <c r="H57" i="11"/>
  <c r="F57" i="11"/>
  <c r="D57" i="11"/>
  <c r="B57" i="11"/>
  <c r="X56" i="11"/>
  <c r="V56" i="11"/>
  <c r="T56" i="11"/>
  <c r="R56" i="11"/>
  <c r="P56" i="11"/>
  <c r="N56" i="11"/>
  <c r="L56" i="11"/>
  <c r="J56" i="11"/>
  <c r="H56" i="11"/>
  <c r="F56" i="11"/>
  <c r="D56" i="11"/>
  <c r="B56" i="11"/>
  <c r="X55" i="11"/>
  <c r="V55" i="11"/>
  <c r="T55" i="11"/>
  <c r="R55" i="11"/>
  <c r="P55" i="11"/>
  <c r="N55" i="11"/>
  <c r="L55" i="11"/>
  <c r="J55" i="11"/>
  <c r="H55" i="11"/>
  <c r="F55" i="11"/>
  <c r="D55" i="11"/>
  <c r="B55" i="11"/>
  <c r="X54" i="11"/>
  <c r="V54" i="11"/>
  <c r="T54" i="11"/>
  <c r="R54" i="11"/>
  <c r="P54" i="11"/>
  <c r="N54" i="11"/>
  <c r="L54" i="11"/>
  <c r="J54" i="11"/>
  <c r="H54" i="11"/>
  <c r="F54" i="11"/>
  <c r="D54" i="11"/>
  <c r="B54" i="11"/>
  <c r="X53" i="11"/>
  <c r="V53" i="11"/>
  <c r="T53" i="11"/>
  <c r="R53" i="11"/>
  <c r="P53" i="11"/>
  <c r="N53" i="11"/>
  <c r="L53" i="11"/>
  <c r="J53" i="11"/>
  <c r="H53" i="11"/>
  <c r="F53" i="11"/>
  <c r="D53" i="11"/>
  <c r="B53" i="11"/>
  <c r="X52" i="11"/>
  <c r="V52" i="11"/>
  <c r="T52" i="11"/>
  <c r="R52" i="11"/>
  <c r="P52" i="11"/>
  <c r="N52" i="11"/>
  <c r="L52" i="11"/>
  <c r="J52" i="11"/>
  <c r="H52" i="11"/>
  <c r="F52" i="11"/>
  <c r="D52" i="11"/>
  <c r="B52" i="11"/>
  <c r="X51" i="11"/>
  <c r="V51" i="11"/>
  <c r="T51" i="11"/>
  <c r="R51" i="11"/>
  <c r="P51" i="11"/>
  <c r="N51" i="11"/>
  <c r="L51" i="11"/>
  <c r="J51" i="11"/>
  <c r="H51" i="11"/>
  <c r="F51" i="11"/>
  <c r="D51" i="11"/>
  <c r="B51" i="11"/>
  <c r="X50" i="11"/>
  <c r="V50" i="11"/>
  <c r="T50" i="11"/>
  <c r="R50" i="11"/>
  <c r="P50" i="11"/>
  <c r="N50" i="11"/>
  <c r="L50" i="11"/>
  <c r="J50" i="11"/>
  <c r="H50" i="11"/>
  <c r="F50" i="11"/>
  <c r="D50" i="11"/>
  <c r="B50" i="11"/>
  <c r="X49" i="11"/>
  <c r="V49" i="11"/>
  <c r="T49" i="11"/>
  <c r="R49" i="11"/>
  <c r="P49" i="11"/>
  <c r="N49" i="11"/>
  <c r="L49" i="11"/>
  <c r="J49" i="11"/>
  <c r="H49" i="11"/>
  <c r="F49" i="11"/>
  <c r="D49" i="11"/>
  <c r="B49" i="11"/>
  <c r="X48" i="11"/>
  <c r="V48" i="11"/>
  <c r="T48" i="11"/>
  <c r="R48" i="11"/>
  <c r="P48" i="11"/>
  <c r="N48" i="11"/>
  <c r="L48" i="11"/>
  <c r="J48" i="11"/>
  <c r="H48" i="11"/>
  <c r="F48" i="11"/>
  <c r="D48" i="11"/>
  <c r="B48" i="11"/>
  <c r="X47" i="11"/>
  <c r="V47" i="11"/>
  <c r="T47" i="11"/>
  <c r="R47" i="11"/>
  <c r="P47" i="11"/>
  <c r="N47" i="11"/>
  <c r="L47" i="11"/>
  <c r="J47" i="11"/>
  <c r="H47" i="11"/>
  <c r="F47" i="11"/>
  <c r="D47" i="11"/>
  <c r="B47" i="11"/>
  <c r="X46" i="11"/>
  <c r="V46" i="11"/>
  <c r="T46" i="11"/>
  <c r="R46" i="11"/>
  <c r="P46" i="11"/>
  <c r="N46" i="11"/>
  <c r="L46" i="11"/>
  <c r="J46" i="11"/>
  <c r="H46" i="11"/>
  <c r="F46" i="11"/>
  <c r="D46" i="11"/>
  <c r="B46" i="11"/>
  <c r="X45" i="11"/>
  <c r="V45" i="11"/>
  <c r="T45" i="11"/>
  <c r="R45" i="11"/>
  <c r="P45" i="11"/>
  <c r="N45" i="11"/>
  <c r="L45" i="11"/>
  <c r="J45" i="11"/>
  <c r="H45" i="11"/>
  <c r="F45" i="11"/>
  <c r="D45" i="11"/>
  <c r="B45" i="11"/>
  <c r="X44" i="11"/>
  <c r="V44" i="11"/>
  <c r="T44" i="11"/>
  <c r="R44" i="11"/>
  <c r="P44" i="11"/>
  <c r="N44" i="11"/>
  <c r="L44" i="11"/>
  <c r="J44" i="11"/>
  <c r="H44" i="11"/>
  <c r="F44" i="11"/>
  <c r="D44" i="11"/>
  <c r="B44" i="11"/>
  <c r="X43" i="11"/>
  <c r="V43" i="11"/>
  <c r="T43" i="11"/>
  <c r="R43" i="11"/>
  <c r="P43" i="11"/>
  <c r="N43" i="11"/>
  <c r="L43" i="11"/>
  <c r="J43" i="11"/>
  <c r="H43" i="11"/>
  <c r="F43" i="11"/>
  <c r="D43" i="11"/>
  <c r="B43" i="11"/>
  <c r="X42" i="11"/>
  <c r="V42" i="11"/>
  <c r="T42" i="11"/>
  <c r="R42" i="11"/>
  <c r="P42" i="11"/>
  <c r="N42" i="11"/>
  <c r="L42" i="11"/>
  <c r="J42" i="11"/>
  <c r="H42" i="11"/>
  <c r="F42" i="11"/>
  <c r="D42" i="11"/>
  <c r="B42" i="11"/>
  <c r="X41" i="11"/>
  <c r="V41" i="11"/>
  <c r="T41" i="11"/>
  <c r="R41" i="11"/>
  <c r="P41" i="11"/>
  <c r="N41" i="11"/>
  <c r="L41" i="11"/>
  <c r="J41" i="11"/>
  <c r="H41" i="11"/>
  <c r="F41" i="11"/>
  <c r="D41" i="11"/>
  <c r="B41" i="11"/>
  <c r="X40" i="11"/>
  <c r="V40" i="11"/>
  <c r="T40" i="11"/>
  <c r="R40" i="11"/>
  <c r="P40" i="11"/>
  <c r="N40" i="11"/>
  <c r="L40" i="11"/>
  <c r="J40" i="11"/>
  <c r="H40" i="11"/>
  <c r="F40" i="11"/>
  <c r="D40" i="11"/>
  <c r="B40" i="11"/>
  <c r="X39" i="11"/>
  <c r="V39" i="11"/>
  <c r="T39" i="11"/>
  <c r="R39" i="11"/>
  <c r="P39" i="11"/>
  <c r="N39" i="11"/>
  <c r="L39" i="11"/>
  <c r="J39" i="11"/>
  <c r="H39" i="11"/>
  <c r="F39" i="11"/>
  <c r="D39" i="11"/>
  <c r="B39" i="11"/>
  <c r="X38" i="11"/>
  <c r="V38" i="11"/>
  <c r="T38" i="11"/>
  <c r="R38" i="11"/>
  <c r="P38" i="11"/>
  <c r="N38" i="11"/>
  <c r="L38" i="11"/>
  <c r="J38" i="11"/>
  <c r="H38" i="11"/>
  <c r="F38" i="11"/>
  <c r="D38" i="11"/>
  <c r="B38" i="11"/>
  <c r="X37" i="11"/>
  <c r="V37" i="11"/>
  <c r="T37" i="11"/>
  <c r="R37" i="11"/>
  <c r="P37" i="11"/>
  <c r="N37" i="11"/>
  <c r="L37" i="11"/>
  <c r="J37" i="11"/>
  <c r="H37" i="11"/>
  <c r="F37" i="11"/>
  <c r="D37" i="11"/>
  <c r="B37" i="11"/>
  <c r="X36" i="11"/>
  <c r="V36" i="11"/>
  <c r="T36" i="11"/>
  <c r="R36" i="11"/>
  <c r="P36" i="11"/>
  <c r="N36" i="11"/>
  <c r="L36" i="11"/>
  <c r="J36" i="11"/>
  <c r="H36" i="11"/>
  <c r="F36" i="11"/>
  <c r="D36" i="11"/>
  <c r="B36" i="11"/>
  <c r="X35" i="11"/>
  <c r="V35" i="11"/>
  <c r="T35" i="11"/>
  <c r="R35" i="11"/>
  <c r="P35" i="11"/>
  <c r="N35" i="11"/>
  <c r="L35" i="11"/>
  <c r="J35" i="11"/>
  <c r="H35" i="11"/>
  <c r="F35" i="11"/>
  <c r="D35" i="11"/>
  <c r="B35" i="11"/>
  <c r="X34" i="11"/>
  <c r="V34" i="11"/>
  <c r="T34" i="11"/>
  <c r="R34" i="11"/>
  <c r="P34" i="11"/>
  <c r="N34" i="11"/>
  <c r="L34" i="11"/>
  <c r="J34" i="11"/>
  <c r="H34" i="11"/>
  <c r="F34" i="11"/>
  <c r="D34" i="11"/>
  <c r="B34" i="11"/>
  <c r="X33" i="11"/>
  <c r="V33" i="11"/>
  <c r="T33" i="11"/>
  <c r="R33" i="11"/>
  <c r="P33" i="11"/>
  <c r="N33" i="11"/>
  <c r="L33" i="11"/>
  <c r="J33" i="11"/>
  <c r="H33" i="11"/>
  <c r="F33" i="11"/>
  <c r="D33" i="11"/>
  <c r="B33" i="11"/>
  <c r="X32" i="11"/>
  <c r="V32" i="11"/>
  <c r="T32" i="11"/>
  <c r="R32" i="11"/>
  <c r="P32" i="11"/>
  <c r="N32" i="11"/>
  <c r="L32" i="11"/>
  <c r="J32" i="11"/>
  <c r="H32" i="11"/>
  <c r="F32" i="11"/>
  <c r="D32" i="11"/>
  <c r="B32" i="11"/>
  <c r="X31" i="11"/>
  <c r="V31" i="11"/>
  <c r="T31" i="11"/>
  <c r="R31" i="11"/>
  <c r="P31" i="11"/>
  <c r="N31" i="11"/>
  <c r="L31" i="11"/>
  <c r="J31" i="11"/>
  <c r="H31" i="11"/>
  <c r="F31" i="11"/>
  <c r="D31" i="11"/>
  <c r="B31" i="11"/>
  <c r="X30" i="11"/>
  <c r="V30" i="11"/>
  <c r="T30" i="11"/>
  <c r="R30" i="11"/>
  <c r="P30" i="11"/>
  <c r="N30" i="11"/>
  <c r="L30" i="11"/>
  <c r="J30" i="11"/>
  <c r="H30" i="11"/>
  <c r="F30" i="11"/>
  <c r="D30" i="11"/>
  <c r="B30" i="11"/>
  <c r="X29" i="11"/>
  <c r="V29" i="11"/>
  <c r="T29" i="11"/>
  <c r="R29" i="11"/>
  <c r="P29" i="11"/>
  <c r="N29" i="11"/>
  <c r="L29" i="11"/>
  <c r="J29" i="11"/>
  <c r="H29" i="11"/>
  <c r="F29" i="11"/>
  <c r="D29" i="11"/>
  <c r="B29" i="11"/>
  <c r="X28" i="11"/>
  <c r="V28" i="11"/>
  <c r="T28" i="11"/>
  <c r="R28" i="11"/>
  <c r="P28" i="11"/>
  <c r="N28" i="11"/>
  <c r="L28" i="11"/>
  <c r="J28" i="11"/>
  <c r="H28" i="11"/>
  <c r="F28" i="11"/>
  <c r="D28" i="11"/>
  <c r="B28" i="11"/>
  <c r="X27" i="11"/>
  <c r="V27" i="11"/>
  <c r="T27" i="11"/>
  <c r="R27" i="11"/>
  <c r="P27" i="11"/>
  <c r="N27" i="11"/>
  <c r="L27" i="11"/>
  <c r="J27" i="11"/>
  <c r="H27" i="11"/>
  <c r="F27" i="11"/>
  <c r="D27" i="11"/>
  <c r="B27" i="11"/>
  <c r="X26" i="11"/>
  <c r="V26" i="11"/>
  <c r="T26" i="11"/>
  <c r="R26" i="11"/>
  <c r="P26" i="11"/>
  <c r="N26" i="11"/>
  <c r="L26" i="11"/>
  <c r="J26" i="11"/>
  <c r="H26" i="11"/>
  <c r="F26" i="11"/>
  <c r="D26" i="11"/>
  <c r="B26" i="11"/>
  <c r="X25" i="11"/>
  <c r="V25" i="11"/>
  <c r="T25" i="11"/>
  <c r="R25" i="11"/>
  <c r="P25" i="11"/>
  <c r="N25" i="11"/>
  <c r="L25" i="11"/>
  <c r="J25" i="11"/>
  <c r="H25" i="11"/>
  <c r="F25" i="11"/>
  <c r="D25" i="11"/>
  <c r="B25" i="11"/>
  <c r="X24" i="11"/>
  <c r="V24" i="11"/>
  <c r="T24" i="11"/>
  <c r="R24" i="11"/>
  <c r="P24" i="11"/>
  <c r="N24" i="11"/>
  <c r="L24" i="11"/>
  <c r="J24" i="11"/>
  <c r="H24" i="11"/>
  <c r="F24" i="11"/>
  <c r="D24" i="11"/>
  <c r="B24" i="11"/>
  <c r="X23" i="11"/>
  <c r="V23" i="11"/>
  <c r="T23" i="11"/>
  <c r="R23" i="11"/>
  <c r="P23" i="11"/>
  <c r="N23" i="11"/>
  <c r="L23" i="11"/>
  <c r="J23" i="11"/>
  <c r="H23" i="11"/>
  <c r="F23" i="11"/>
  <c r="D23" i="11"/>
  <c r="B23" i="11"/>
  <c r="X22" i="11"/>
  <c r="V22" i="11"/>
  <c r="T22" i="11"/>
  <c r="R22" i="11"/>
  <c r="P22" i="11"/>
  <c r="N22" i="11"/>
  <c r="L22" i="11"/>
  <c r="J22" i="11"/>
  <c r="H22" i="11"/>
  <c r="F22" i="11"/>
  <c r="D22" i="11"/>
  <c r="B22" i="11"/>
  <c r="X21" i="11"/>
  <c r="V21" i="11"/>
  <c r="T21" i="11"/>
  <c r="R21" i="11"/>
  <c r="P21" i="11"/>
  <c r="N21" i="11"/>
  <c r="L21" i="11"/>
  <c r="J21" i="11"/>
  <c r="H21" i="11"/>
  <c r="F21" i="11"/>
  <c r="D21" i="11"/>
  <c r="B21" i="11"/>
  <c r="X20" i="11"/>
  <c r="V20" i="11"/>
  <c r="T20" i="11"/>
  <c r="R20" i="11"/>
  <c r="P20" i="11"/>
  <c r="N20" i="11"/>
  <c r="L20" i="11"/>
  <c r="J20" i="11"/>
  <c r="H20" i="11"/>
  <c r="F20" i="11"/>
  <c r="D20" i="11"/>
  <c r="B20" i="11"/>
  <c r="X19" i="11"/>
  <c r="V19" i="11"/>
  <c r="T19" i="11"/>
  <c r="R19" i="11"/>
  <c r="P19" i="11"/>
  <c r="N19" i="11"/>
  <c r="L19" i="11"/>
  <c r="J19" i="11"/>
  <c r="H19" i="11"/>
  <c r="F19" i="11"/>
  <c r="D19" i="11"/>
  <c r="B19" i="11"/>
  <c r="X18" i="11"/>
  <c r="V18" i="11"/>
  <c r="T18" i="11"/>
  <c r="R18" i="11"/>
  <c r="P18" i="11"/>
  <c r="N18" i="11"/>
  <c r="L18" i="11"/>
  <c r="J18" i="11"/>
  <c r="H18" i="11"/>
  <c r="F18" i="11"/>
  <c r="D18" i="11"/>
  <c r="B18" i="11"/>
  <c r="X17" i="11"/>
  <c r="V17" i="11"/>
  <c r="T17" i="11"/>
  <c r="R17" i="11"/>
  <c r="P17" i="11"/>
  <c r="N17" i="11"/>
  <c r="L17" i="11"/>
  <c r="J17" i="11"/>
  <c r="H17" i="11"/>
  <c r="F17" i="11"/>
  <c r="D17" i="11"/>
  <c r="B17" i="11"/>
  <c r="X16" i="11"/>
  <c r="V16" i="11"/>
  <c r="T16" i="11"/>
  <c r="R16" i="11"/>
  <c r="P16" i="11"/>
  <c r="N16" i="11"/>
  <c r="L16" i="11"/>
  <c r="J16" i="11"/>
  <c r="H16" i="11"/>
  <c r="F16" i="11"/>
  <c r="D16" i="11"/>
  <c r="B16" i="11"/>
  <c r="X15" i="11"/>
  <c r="V15" i="11"/>
  <c r="T15" i="11"/>
  <c r="R15" i="11"/>
  <c r="P15" i="11"/>
  <c r="N15" i="11"/>
  <c r="L15" i="11"/>
  <c r="J15" i="11"/>
  <c r="H15" i="11"/>
  <c r="F15" i="11"/>
  <c r="D15" i="11"/>
  <c r="B15" i="11"/>
  <c r="X14" i="11"/>
  <c r="V14" i="11"/>
  <c r="T14" i="11"/>
  <c r="R14" i="11"/>
  <c r="P14" i="11"/>
  <c r="N14" i="11"/>
  <c r="L14" i="11"/>
  <c r="J14" i="11"/>
  <c r="H14" i="11"/>
  <c r="F14" i="11"/>
  <c r="D14" i="11"/>
  <c r="B14" i="11"/>
  <c r="X13" i="11"/>
  <c r="V13" i="11"/>
  <c r="T13" i="11"/>
  <c r="R13" i="11"/>
  <c r="P13" i="11"/>
  <c r="N13" i="11"/>
  <c r="L13" i="11"/>
  <c r="J13" i="11"/>
  <c r="H13" i="11"/>
  <c r="F13" i="11"/>
  <c r="D13" i="11"/>
  <c r="B13" i="11"/>
  <c r="X12" i="11"/>
  <c r="V12" i="11"/>
  <c r="T12" i="11"/>
  <c r="R12" i="11"/>
  <c r="P12" i="11"/>
  <c r="N12" i="11"/>
  <c r="L12" i="11"/>
  <c r="J12" i="11"/>
  <c r="H12" i="11"/>
  <c r="F12" i="11"/>
  <c r="D12" i="11"/>
  <c r="B12" i="11"/>
  <c r="X11" i="11"/>
  <c r="V11" i="11"/>
  <c r="T11" i="11"/>
  <c r="R11" i="11"/>
  <c r="P11" i="11"/>
  <c r="N11" i="11"/>
  <c r="L11" i="11"/>
  <c r="J11" i="11"/>
  <c r="H11" i="11"/>
  <c r="F11" i="11"/>
  <c r="D11" i="11"/>
  <c r="B11" i="11"/>
  <c r="X10" i="11"/>
  <c r="V10" i="11"/>
  <c r="T10" i="11"/>
  <c r="R10" i="11"/>
  <c r="P10" i="11"/>
  <c r="N10" i="11"/>
  <c r="L10" i="11"/>
  <c r="J10" i="11"/>
  <c r="H10" i="11"/>
  <c r="F10" i="11"/>
  <c r="D10" i="11"/>
  <c r="B10" i="11"/>
  <c r="X9" i="11"/>
  <c r="V9" i="11"/>
  <c r="T9" i="11"/>
  <c r="R9" i="11"/>
  <c r="P9" i="11"/>
  <c r="N9" i="11"/>
  <c r="L9" i="11"/>
  <c r="J9" i="11"/>
  <c r="H9" i="11"/>
  <c r="F9" i="11"/>
  <c r="D9" i="11"/>
  <c r="B9" i="11"/>
  <c r="X8" i="11"/>
  <c r="V8" i="11"/>
  <c r="T8" i="11"/>
  <c r="R8" i="11"/>
  <c r="P8" i="11"/>
  <c r="N8" i="11"/>
  <c r="L8" i="11"/>
  <c r="J8" i="11"/>
  <c r="H8" i="11"/>
  <c r="F8" i="11"/>
  <c r="AF19" i="11"/>
  <c r="D8" i="11"/>
  <c r="B8" i="11"/>
  <c r="X7" i="11"/>
  <c r="V7" i="11"/>
  <c r="T7" i="11"/>
  <c r="R7" i="11"/>
  <c r="P7" i="11"/>
  <c r="N7" i="11"/>
  <c r="L7" i="11"/>
  <c r="J7" i="11"/>
  <c r="H7" i="11"/>
  <c r="F7" i="11"/>
  <c r="D7" i="11"/>
  <c r="B7" i="11"/>
  <c r="X6" i="11"/>
  <c r="V6" i="11"/>
  <c r="T6" i="11"/>
  <c r="R6" i="11"/>
  <c r="P6" i="11"/>
  <c r="N6" i="11"/>
  <c r="L6" i="11"/>
  <c r="J6" i="11"/>
  <c r="H6" i="11"/>
  <c r="F6" i="11"/>
  <c r="D6" i="11"/>
  <c r="B6" i="11"/>
  <c r="X5" i="11"/>
  <c r="V5" i="11"/>
  <c r="T5" i="11"/>
  <c r="R5" i="11"/>
  <c r="P5" i="11"/>
  <c r="N5" i="11"/>
  <c r="L5" i="11"/>
  <c r="J5" i="11"/>
  <c r="H5" i="11"/>
  <c r="F5" i="11"/>
  <c r="D5" i="11"/>
  <c r="B5" i="11"/>
  <c r="X4" i="11"/>
  <c r="V4" i="11"/>
  <c r="T4" i="11"/>
  <c r="R4" i="11"/>
  <c r="P4" i="11"/>
  <c r="N4" i="11"/>
  <c r="L4" i="11"/>
  <c r="J4" i="11"/>
  <c r="H4" i="11"/>
  <c r="F4" i="11"/>
  <c r="D4" i="11"/>
  <c r="B4" i="11"/>
  <c r="X3" i="11"/>
  <c r="V3" i="11"/>
  <c r="T3" i="11"/>
  <c r="R3" i="11"/>
  <c r="P3" i="11"/>
  <c r="N3" i="11"/>
  <c r="L3" i="11"/>
  <c r="J3" i="11"/>
  <c r="H3" i="11"/>
  <c r="F3" i="11"/>
  <c r="D3" i="11"/>
  <c r="B3" i="11"/>
  <c r="AF20" i="11"/>
  <c r="H265" i="11"/>
  <c r="X266" i="11"/>
  <c r="L265" i="11"/>
  <c r="P265" i="11"/>
  <c r="T187" i="11"/>
  <c r="N265" i="11"/>
  <c r="F266" i="11"/>
  <c r="J266" i="11"/>
  <c r="R266" i="11"/>
  <c r="AB18" i="11"/>
  <c r="AD18" i="11"/>
  <c r="AB21" i="11"/>
  <c r="AD21" i="11"/>
  <c r="D298" i="11"/>
  <c r="AF23" i="11"/>
  <c r="AF25" i="11"/>
  <c r="AB33" i="11"/>
  <c r="AD33" i="11"/>
  <c r="AB25" i="11"/>
  <c r="AD25" i="11"/>
  <c r="Z3" i="11"/>
  <c r="D187" i="11"/>
  <c r="R187" i="11"/>
  <c r="AF32" i="11"/>
  <c r="AF34" i="11"/>
  <c r="AF36" i="11"/>
  <c r="AF14" i="11"/>
  <c r="AF16" i="11"/>
  <c r="AB32" i="11"/>
  <c r="AD32" i="11"/>
  <c r="AB28" i="11"/>
  <c r="AD28" i="11"/>
  <c r="AB24" i="11"/>
  <c r="AD24" i="11"/>
  <c r="AB20" i="11"/>
  <c r="AD20" i="11"/>
  <c r="AB16" i="11"/>
  <c r="AD16" i="11"/>
  <c r="AF18" i="11"/>
  <c r="AF28" i="11"/>
  <c r="AF17" i="11"/>
  <c r="AF30" i="11"/>
  <c r="AB14" i="11"/>
  <c r="AD14" i="11"/>
  <c r="AB34" i="11"/>
  <c r="AD34" i="11"/>
  <c r="AB30" i="11"/>
  <c r="AD30" i="11"/>
  <c r="AB26" i="11"/>
  <c r="AD26" i="11"/>
  <c r="AB22" i="11"/>
  <c r="AD22" i="11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68" i="6"/>
  <c r="E367" i="6"/>
  <c r="E366" i="6"/>
  <c r="E365" i="6"/>
  <c r="E364" i="6"/>
  <c r="E363" i="6"/>
  <c r="E362" i="6"/>
  <c r="E361" i="6"/>
  <c r="E360" i="6"/>
  <c r="E359" i="6"/>
  <c r="E358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I7" i="6"/>
  <c r="E2" i="6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G945" i="5"/>
  <c r="H944" i="5"/>
  <c r="G944" i="5"/>
  <c r="H943" i="5"/>
  <c r="G943" i="5"/>
  <c r="H942" i="5"/>
  <c r="G942" i="5"/>
  <c r="H941" i="5"/>
  <c r="G941" i="5"/>
  <c r="H940" i="5"/>
  <c r="G940" i="5"/>
  <c r="H939" i="5"/>
  <c r="G939" i="5"/>
  <c r="H938" i="5"/>
  <c r="G938" i="5"/>
  <c r="H937" i="5"/>
  <c r="G937" i="5"/>
  <c r="H936" i="5"/>
  <c r="G936" i="5"/>
  <c r="H935" i="5"/>
  <c r="G935" i="5"/>
  <c r="H934" i="5"/>
  <c r="G934" i="5"/>
  <c r="H933" i="5"/>
  <c r="G933" i="5"/>
  <c r="H932" i="5"/>
  <c r="G932" i="5"/>
  <c r="H931" i="5"/>
  <c r="G931" i="5"/>
  <c r="H930" i="5"/>
  <c r="G930" i="5"/>
  <c r="H929" i="5"/>
  <c r="G929" i="5"/>
  <c r="H928" i="5"/>
  <c r="G928" i="5"/>
  <c r="H927" i="5"/>
  <c r="G927" i="5"/>
  <c r="H926" i="5"/>
  <c r="G926" i="5"/>
  <c r="H925" i="5"/>
  <c r="G925" i="5"/>
  <c r="H924" i="5"/>
  <c r="G924" i="5"/>
  <c r="H923" i="5"/>
  <c r="G923" i="5"/>
  <c r="H922" i="5"/>
  <c r="G922" i="5"/>
  <c r="H921" i="5"/>
  <c r="G921" i="5"/>
  <c r="H920" i="5"/>
  <c r="G920" i="5"/>
  <c r="H919" i="5"/>
  <c r="G919" i="5"/>
  <c r="H918" i="5"/>
  <c r="G918" i="5"/>
  <c r="H917" i="5"/>
  <c r="G917" i="5"/>
  <c r="H916" i="5"/>
  <c r="G916" i="5"/>
  <c r="H915" i="5"/>
  <c r="G915" i="5"/>
  <c r="H914" i="5"/>
  <c r="G914" i="5"/>
  <c r="H913" i="5"/>
  <c r="G913" i="5"/>
  <c r="H912" i="5"/>
  <c r="G912" i="5"/>
  <c r="H911" i="5"/>
  <c r="G911" i="5"/>
  <c r="H910" i="5"/>
  <c r="G910" i="5"/>
  <c r="H909" i="5"/>
  <c r="G909" i="5"/>
  <c r="H908" i="5"/>
  <c r="G908" i="5"/>
  <c r="H907" i="5"/>
  <c r="G907" i="5"/>
  <c r="H906" i="5"/>
  <c r="G906" i="5"/>
  <c r="H905" i="5"/>
  <c r="G905" i="5"/>
  <c r="H904" i="5"/>
  <c r="G904" i="5"/>
  <c r="H903" i="5"/>
  <c r="G903" i="5"/>
  <c r="H902" i="5"/>
  <c r="G902" i="5"/>
  <c r="H901" i="5"/>
  <c r="G901" i="5"/>
  <c r="H900" i="5"/>
  <c r="G900" i="5"/>
  <c r="H899" i="5"/>
  <c r="G899" i="5"/>
  <c r="H898" i="5"/>
  <c r="G898" i="5"/>
  <c r="H897" i="5"/>
  <c r="G897" i="5"/>
  <c r="H896" i="5"/>
  <c r="G896" i="5"/>
  <c r="H895" i="5"/>
  <c r="G895" i="5"/>
  <c r="H894" i="5"/>
  <c r="G894" i="5"/>
  <c r="H893" i="5"/>
  <c r="G893" i="5"/>
  <c r="H892" i="5"/>
  <c r="G892" i="5"/>
  <c r="H891" i="5"/>
  <c r="G891" i="5"/>
  <c r="H890" i="5"/>
  <c r="G890" i="5"/>
  <c r="H889" i="5"/>
  <c r="G889" i="5"/>
  <c r="H888" i="5"/>
  <c r="G888" i="5"/>
  <c r="H887" i="5"/>
  <c r="G887" i="5"/>
  <c r="H886" i="5"/>
  <c r="G886" i="5"/>
  <c r="H885" i="5"/>
  <c r="G885" i="5"/>
  <c r="H884" i="5"/>
  <c r="G884" i="5"/>
  <c r="H883" i="5"/>
  <c r="G883" i="5"/>
  <c r="H882" i="5"/>
  <c r="G882" i="5"/>
  <c r="H881" i="5"/>
  <c r="G881" i="5"/>
  <c r="H880" i="5"/>
  <c r="G880" i="5"/>
  <c r="H879" i="5"/>
  <c r="G879" i="5"/>
  <c r="H878" i="5"/>
  <c r="G878" i="5"/>
  <c r="H877" i="5"/>
  <c r="G877" i="5"/>
  <c r="H876" i="5"/>
  <c r="G876" i="5"/>
  <c r="H875" i="5"/>
  <c r="G875" i="5"/>
  <c r="H874" i="5"/>
  <c r="G874" i="5"/>
  <c r="H873" i="5"/>
  <c r="G873" i="5"/>
  <c r="H872" i="5"/>
  <c r="G872" i="5"/>
  <c r="H871" i="5"/>
  <c r="G871" i="5"/>
  <c r="H870" i="5"/>
  <c r="G870" i="5"/>
  <c r="H869" i="5"/>
  <c r="G869" i="5"/>
  <c r="H868" i="5"/>
  <c r="G868" i="5"/>
  <c r="H867" i="5"/>
  <c r="G867" i="5"/>
  <c r="H866" i="5"/>
  <c r="G866" i="5"/>
  <c r="H865" i="5"/>
  <c r="G865" i="5"/>
  <c r="H864" i="5"/>
  <c r="G864" i="5"/>
  <c r="H863" i="5"/>
  <c r="G863" i="5"/>
  <c r="H862" i="5"/>
  <c r="G862" i="5"/>
  <c r="H861" i="5"/>
  <c r="G861" i="5"/>
  <c r="H860" i="5"/>
  <c r="G860" i="5"/>
  <c r="H859" i="5"/>
  <c r="G859" i="5"/>
  <c r="H858" i="5"/>
  <c r="G858" i="5"/>
  <c r="H857" i="5"/>
  <c r="G857" i="5"/>
  <c r="H856" i="5"/>
  <c r="G856" i="5"/>
  <c r="H855" i="5"/>
  <c r="G855" i="5"/>
  <c r="H854" i="5"/>
  <c r="G854" i="5"/>
  <c r="H853" i="5"/>
  <c r="G853" i="5"/>
  <c r="H852" i="5"/>
  <c r="G852" i="5"/>
  <c r="H851" i="5"/>
  <c r="G851" i="5"/>
  <c r="H850" i="5"/>
  <c r="G850" i="5"/>
  <c r="H849" i="5"/>
  <c r="G849" i="5"/>
  <c r="H848" i="5"/>
  <c r="G848" i="5"/>
  <c r="H847" i="5"/>
  <c r="G847" i="5"/>
  <c r="H846" i="5"/>
  <c r="G846" i="5"/>
  <c r="H845" i="5"/>
  <c r="G845" i="5"/>
  <c r="H844" i="5"/>
  <c r="G844" i="5"/>
  <c r="H843" i="5"/>
  <c r="G843" i="5"/>
  <c r="H842" i="5"/>
  <c r="G842" i="5"/>
  <c r="H841" i="5"/>
  <c r="G841" i="5"/>
  <c r="H840" i="5"/>
  <c r="G840" i="5"/>
  <c r="H839" i="5"/>
  <c r="G839" i="5"/>
  <c r="H838" i="5"/>
  <c r="G838" i="5"/>
  <c r="H837" i="5"/>
  <c r="G837" i="5"/>
  <c r="H836" i="5"/>
  <c r="G836" i="5"/>
  <c r="H835" i="5"/>
  <c r="G835" i="5"/>
  <c r="H834" i="5"/>
  <c r="G834" i="5"/>
  <c r="H833" i="5"/>
  <c r="G833" i="5"/>
  <c r="H832" i="5"/>
  <c r="G832" i="5"/>
  <c r="H831" i="5"/>
  <c r="G831" i="5"/>
  <c r="H830" i="5"/>
  <c r="G830" i="5"/>
  <c r="H829" i="5"/>
  <c r="G829" i="5"/>
  <c r="H828" i="5"/>
  <c r="G828" i="5"/>
  <c r="H827" i="5"/>
  <c r="G827" i="5"/>
  <c r="H826" i="5"/>
  <c r="G826" i="5"/>
  <c r="H825" i="5"/>
  <c r="G825" i="5"/>
  <c r="H824" i="5"/>
  <c r="G824" i="5"/>
  <c r="H823" i="5"/>
  <c r="G823" i="5"/>
  <c r="H822" i="5"/>
  <c r="G822" i="5"/>
  <c r="H821" i="5"/>
  <c r="G821" i="5"/>
  <c r="H820" i="5"/>
  <c r="G820" i="5"/>
  <c r="H819" i="5"/>
  <c r="G819" i="5"/>
  <c r="H818" i="5"/>
  <c r="G818" i="5"/>
  <c r="H817" i="5"/>
  <c r="G817" i="5"/>
  <c r="H816" i="5"/>
  <c r="G816" i="5"/>
  <c r="H815" i="5"/>
  <c r="G815" i="5"/>
  <c r="H814" i="5"/>
  <c r="G814" i="5"/>
  <c r="H813" i="5"/>
  <c r="G813" i="5"/>
  <c r="H812" i="5"/>
  <c r="G812" i="5"/>
  <c r="H811" i="5"/>
  <c r="G811" i="5"/>
  <c r="H810" i="5"/>
  <c r="G810" i="5"/>
  <c r="H809" i="5"/>
  <c r="G809" i="5"/>
  <c r="H808" i="5"/>
  <c r="G808" i="5"/>
  <c r="H807" i="5"/>
  <c r="G807" i="5"/>
  <c r="H806" i="5"/>
  <c r="G806" i="5"/>
  <c r="H805" i="5"/>
  <c r="G805" i="5"/>
  <c r="H804" i="5"/>
  <c r="G804" i="5"/>
  <c r="H803" i="5"/>
  <c r="G803" i="5"/>
  <c r="H802" i="5"/>
  <c r="G802" i="5"/>
  <c r="H801" i="5"/>
  <c r="G801" i="5"/>
  <c r="H800" i="5"/>
  <c r="G800" i="5"/>
  <c r="H799" i="5"/>
  <c r="G799" i="5"/>
  <c r="H798" i="5"/>
  <c r="G798" i="5"/>
  <c r="H797" i="5"/>
  <c r="G797" i="5"/>
  <c r="H796" i="5"/>
  <c r="G796" i="5"/>
  <c r="H795" i="5"/>
  <c r="G795" i="5"/>
  <c r="H794" i="5"/>
  <c r="G794" i="5"/>
  <c r="H793" i="5"/>
  <c r="G793" i="5"/>
  <c r="H792" i="5"/>
  <c r="G792" i="5"/>
  <c r="H791" i="5"/>
  <c r="G791" i="5"/>
  <c r="H790" i="5"/>
  <c r="G790" i="5"/>
  <c r="H789" i="5"/>
  <c r="G789" i="5"/>
  <c r="H788" i="5"/>
  <c r="G788" i="5"/>
  <c r="H787" i="5"/>
  <c r="G787" i="5"/>
  <c r="H786" i="5"/>
  <c r="G786" i="5"/>
  <c r="H785" i="5"/>
  <c r="G785" i="5"/>
  <c r="H784" i="5"/>
  <c r="G784" i="5"/>
  <c r="H783" i="5"/>
  <c r="G783" i="5"/>
  <c r="H782" i="5"/>
  <c r="G782" i="5"/>
  <c r="H781" i="5"/>
  <c r="G781" i="5"/>
  <c r="H780" i="5"/>
  <c r="G780" i="5"/>
  <c r="H779" i="5"/>
  <c r="G779" i="5"/>
  <c r="H778" i="5"/>
  <c r="G778" i="5"/>
  <c r="H777" i="5"/>
  <c r="G777" i="5"/>
  <c r="H776" i="5"/>
  <c r="G776" i="5"/>
  <c r="H775" i="5"/>
  <c r="G775" i="5"/>
  <c r="H774" i="5"/>
  <c r="G774" i="5"/>
  <c r="H773" i="5"/>
  <c r="G773" i="5"/>
  <c r="H772" i="5"/>
  <c r="G772" i="5"/>
  <c r="H771" i="5"/>
  <c r="G771" i="5"/>
  <c r="H770" i="5"/>
  <c r="G770" i="5"/>
  <c r="H769" i="5"/>
  <c r="G769" i="5"/>
  <c r="H768" i="5"/>
  <c r="G768" i="5"/>
  <c r="H767" i="5"/>
  <c r="G767" i="5"/>
  <c r="H766" i="5"/>
  <c r="G766" i="5"/>
  <c r="H765" i="5"/>
  <c r="G765" i="5"/>
  <c r="H764" i="5"/>
  <c r="G764" i="5"/>
  <c r="H763" i="5"/>
  <c r="G763" i="5"/>
  <c r="H762" i="5"/>
  <c r="G762" i="5"/>
  <c r="H761" i="5"/>
  <c r="G761" i="5"/>
  <c r="H760" i="5"/>
  <c r="G760" i="5"/>
  <c r="H759" i="5"/>
  <c r="G759" i="5"/>
  <c r="H758" i="5"/>
  <c r="G758" i="5"/>
  <c r="H757" i="5"/>
  <c r="G757" i="5"/>
  <c r="H756" i="5"/>
  <c r="G756" i="5"/>
  <c r="H755" i="5"/>
  <c r="G755" i="5"/>
  <c r="H754" i="5"/>
  <c r="G754" i="5"/>
  <c r="H753" i="5"/>
  <c r="G753" i="5"/>
  <c r="H752" i="5"/>
  <c r="G752" i="5"/>
  <c r="H751" i="5"/>
  <c r="G751" i="5"/>
  <c r="H750" i="5"/>
  <c r="G750" i="5"/>
  <c r="H749" i="5"/>
  <c r="G749" i="5"/>
  <c r="H748" i="5"/>
  <c r="G748" i="5"/>
  <c r="H747" i="5"/>
  <c r="G747" i="5"/>
  <c r="H746" i="5"/>
  <c r="G746" i="5"/>
  <c r="H745" i="5"/>
  <c r="G745" i="5"/>
  <c r="H744" i="5"/>
  <c r="G744" i="5"/>
  <c r="H743" i="5"/>
  <c r="G743" i="5"/>
  <c r="H742" i="5"/>
  <c r="G742" i="5"/>
  <c r="H741" i="5"/>
  <c r="G741" i="5"/>
  <c r="H740" i="5"/>
  <c r="G740" i="5"/>
  <c r="H739" i="5"/>
  <c r="G739" i="5"/>
  <c r="H738" i="5"/>
  <c r="G738" i="5"/>
  <c r="H737" i="5"/>
  <c r="G737" i="5"/>
  <c r="H736" i="5"/>
  <c r="G736" i="5"/>
  <c r="H735" i="5"/>
  <c r="G735" i="5"/>
  <c r="H734" i="5"/>
  <c r="G734" i="5"/>
  <c r="H733" i="5"/>
  <c r="G733" i="5"/>
  <c r="H732" i="5"/>
  <c r="G732" i="5"/>
  <c r="H731" i="5"/>
  <c r="G731" i="5"/>
  <c r="H730" i="5"/>
  <c r="G730" i="5"/>
  <c r="H729" i="5"/>
  <c r="G729" i="5"/>
  <c r="H728" i="5"/>
  <c r="G728" i="5"/>
  <c r="H727" i="5"/>
  <c r="G727" i="5"/>
  <c r="H726" i="5"/>
  <c r="G726" i="5"/>
  <c r="H725" i="5"/>
  <c r="G725" i="5"/>
  <c r="H724" i="5"/>
  <c r="G724" i="5"/>
  <c r="H723" i="5"/>
  <c r="G723" i="5"/>
  <c r="H722" i="5"/>
  <c r="G722" i="5"/>
  <c r="H721" i="5"/>
  <c r="G721" i="5"/>
  <c r="H720" i="5"/>
  <c r="G720" i="5"/>
  <c r="H719" i="5"/>
  <c r="G719" i="5"/>
  <c r="H718" i="5"/>
  <c r="G718" i="5"/>
  <c r="H717" i="5"/>
  <c r="G717" i="5"/>
  <c r="H716" i="5"/>
  <c r="G716" i="5"/>
  <c r="H715" i="5"/>
  <c r="G715" i="5"/>
  <c r="H714" i="5"/>
  <c r="G714" i="5"/>
  <c r="H713" i="5"/>
  <c r="G713" i="5"/>
  <c r="H712" i="5"/>
  <c r="G712" i="5"/>
  <c r="H711" i="5"/>
  <c r="G711" i="5"/>
  <c r="H710" i="5"/>
  <c r="G710" i="5"/>
  <c r="H709" i="5"/>
  <c r="G709" i="5"/>
  <c r="H708" i="5"/>
  <c r="G708" i="5"/>
  <c r="H707" i="5"/>
  <c r="G707" i="5"/>
  <c r="H706" i="5"/>
  <c r="G706" i="5"/>
  <c r="H705" i="5"/>
  <c r="G705" i="5"/>
  <c r="H704" i="5"/>
  <c r="G704" i="5"/>
  <c r="H703" i="5"/>
  <c r="G703" i="5"/>
  <c r="H702" i="5"/>
  <c r="G702" i="5"/>
  <c r="H701" i="5"/>
  <c r="G701" i="5"/>
  <c r="H700" i="5"/>
  <c r="G700" i="5"/>
  <c r="H699" i="5"/>
  <c r="G699" i="5"/>
  <c r="H698" i="5"/>
  <c r="G698" i="5"/>
  <c r="H697" i="5"/>
  <c r="G697" i="5"/>
  <c r="H696" i="5"/>
  <c r="G696" i="5"/>
  <c r="H695" i="5"/>
  <c r="G695" i="5"/>
  <c r="H694" i="5"/>
  <c r="G694" i="5"/>
  <c r="H693" i="5"/>
  <c r="G693" i="5"/>
  <c r="H692" i="5"/>
  <c r="G692" i="5"/>
  <c r="H691" i="5"/>
  <c r="G691" i="5"/>
  <c r="H690" i="5"/>
  <c r="G690" i="5"/>
  <c r="H689" i="5"/>
  <c r="G689" i="5"/>
  <c r="H688" i="5"/>
  <c r="G688" i="5"/>
  <c r="H687" i="5"/>
  <c r="G687" i="5"/>
  <c r="H686" i="5"/>
  <c r="G686" i="5"/>
  <c r="H685" i="5"/>
  <c r="G685" i="5"/>
  <c r="H684" i="5"/>
  <c r="G684" i="5"/>
  <c r="H683" i="5"/>
  <c r="G683" i="5"/>
  <c r="H682" i="5"/>
  <c r="G682" i="5"/>
  <c r="H681" i="5"/>
  <c r="G681" i="5"/>
  <c r="H680" i="5"/>
  <c r="G680" i="5"/>
  <c r="H679" i="5"/>
  <c r="G679" i="5"/>
  <c r="H678" i="5"/>
  <c r="G678" i="5"/>
  <c r="H677" i="5"/>
  <c r="G677" i="5"/>
  <c r="H676" i="5"/>
  <c r="G676" i="5"/>
  <c r="H675" i="5"/>
  <c r="G675" i="5"/>
  <c r="H674" i="5"/>
  <c r="G674" i="5"/>
  <c r="H673" i="5"/>
  <c r="G673" i="5"/>
  <c r="H672" i="5"/>
  <c r="G672" i="5"/>
  <c r="H671" i="5"/>
  <c r="G671" i="5"/>
  <c r="H670" i="5"/>
  <c r="G670" i="5"/>
  <c r="H669" i="5"/>
  <c r="G669" i="5"/>
  <c r="H668" i="5"/>
  <c r="G668" i="5"/>
  <c r="H667" i="5"/>
  <c r="G667" i="5"/>
  <c r="H666" i="5"/>
  <c r="G666" i="5"/>
  <c r="H665" i="5"/>
  <c r="G665" i="5"/>
  <c r="H664" i="5"/>
  <c r="G664" i="5"/>
  <c r="H663" i="5"/>
  <c r="G663" i="5"/>
  <c r="H662" i="5"/>
  <c r="G662" i="5"/>
  <c r="H661" i="5"/>
  <c r="G661" i="5"/>
  <c r="H660" i="5"/>
  <c r="G660" i="5"/>
  <c r="H659" i="5"/>
  <c r="G659" i="5"/>
  <c r="H658" i="5"/>
  <c r="G658" i="5"/>
  <c r="H657" i="5"/>
  <c r="G657" i="5"/>
  <c r="H656" i="5"/>
  <c r="G656" i="5"/>
  <c r="H655" i="5"/>
  <c r="G655" i="5"/>
  <c r="H654" i="5"/>
  <c r="G654" i="5"/>
  <c r="H653" i="5"/>
  <c r="G653" i="5"/>
  <c r="H652" i="5"/>
  <c r="G652" i="5"/>
  <c r="H651" i="5"/>
  <c r="G651" i="5"/>
  <c r="H650" i="5"/>
  <c r="G650" i="5"/>
  <c r="H649" i="5"/>
  <c r="G649" i="5"/>
  <c r="H648" i="5"/>
  <c r="G648" i="5"/>
  <c r="H647" i="5"/>
  <c r="G647" i="5"/>
  <c r="H646" i="5"/>
  <c r="G646" i="5"/>
  <c r="H645" i="5"/>
  <c r="G645" i="5"/>
  <c r="H644" i="5"/>
  <c r="G644" i="5"/>
  <c r="H643" i="5"/>
  <c r="G643" i="5"/>
  <c r="H642" i="5"/>
  <c r="G642" i="5"/>
  <c r="H641" i="5"/>
  <c r="G641" i="5"/>
  <c r="H640" i="5"/>
  <c r="G640" i="5"/>
  <c r="H639" i="5"/>
  <c r="G639" i="5"/>
  <c r="H638" i="5"/>
  <c r="G638" i="5"/>
  <c r="H637" i="5"/>
  <c r="G637" i="5"/>
  <c r="H636" i="5"/>
  <c r="G636" i="5"/>
  <c r="H635" i="5"/>
  <c r="G635" i="5"/>
  <c r="H634" i="5"/>
  <c r="G634" i="5"/>
  <c r="H633" i="5"/>
  <c r="G633" i="5"/>
  <c r="H632" i="5"/>
  <c r="G632" i="5"/>
  <c r="H631" i="5"/>
  <c r="G631" i="5"/>
  <c r="H630" i="5"/>
  <c r="G630" i="5"/>
  <c r="H629" i="5"/>
  <c r="G629" i="5"/>
  <c r="H628" i="5"/>
  <c r="G628" i="5"/>
  <c r="H627" i="5"/>
  <c r="G627" i="5"/>
  <c r="H626" i="5"/>
  <c r="G626" i="5"/>
  <c r="H625" i="5"/>
  <c r="G625" i="5"/>
  <c r="H624" i="5"/>
  <c r="G624" i="5"/>
  <c r="H623" i="5"/>
  <c r="G623" i="5"/>
  <c r="H622" i="5"/>
  <c r="G622" i="5"/>
  <c r="H621" i="5"/>
  <c r="G621" i="5"/>
  <c r="H620" i="5"/>
  <c r="G620" i="5"/>
  <c r="H619" i="5"/>
  <c r="G619" i="5"/>
  <c r="H618" i="5"/>
  <c r="G618" i="5"/>
  <c r="H617" i="5"/>
  <c r="G617" i="5"/>
  <c r="H616" i="5"/>
  <c r="G616" i="5"/>
  <c r="H615" i="5"/>
  <c r="G615" i="5"/>
  <c r="H614" i="5"/>
  <c r="G614" i="5"/>
  <c r="H613" i="5"/>
  <c r="G613" i="5"/>
  <c r="H612" i="5"/>
  <c r="G612" i="5"/>
  <c r="H611" i="5"/>
  <c r="G611" i="5"/>
  <c r="H610" i="5"/>
  <c r="G610" i="5"/>
  <c r="H609" i="5"/>
  <c r="G609" i="5"/>
  <c r="H608" i="5"/>
  <c r="G608" i="5"/>
  <c r="H607" i="5"/>
  <c r="G607" i="5"/>
  <c r="H606" i="5"/>
  <c r="G606" i="5"/>
  <c r="H605" i="5"/>
  <c r="G605" i="5"/>
  <c r="H604" i="5"/>
  <c r="G604" i="5"/>
  <c r="H603" i="5"/>
  <c r="G603" i="5"/>
  <c r="H602" i="5"/>
  <c r="G602" i="5"/>
  <c r="H601" i="5"/>
  <c r="G601" i="5"/>
  <c r="H600" i="5"/>
  <c r="G600" i="5"/>
  <c r="H599" i="5"/>
  <c r="G599" i="5"/>
  <c r="H598" i="5"/>
  <c r="G598" i="5"/>
  <c r="H597" i="5"/>
  <c r="G597" i="5"/>
  <c r="H596" i="5"/>
  <c r="G596" i="5"/>
  <c r="H595" i="5"/>
  <c r="G595" i="5"/>
  <c r="H594" i="5"/>
  <c r="G594" i="5"/>
  <c r="H593" i="5"/>
  <c r="G593" i="5"/>
  <c r="H592" i="5"/>
  <c r="G592" i="5"/>
  <c r="H591" i="5"/>
  <c r="G591" i="5"/>
  <c r="H590" i="5"/>
  <c r="G590" i="5"/>
  <c r="H589" i="5"/>
  <c r="G589" i="5"/>
  <c r="H588" i="5"/>
  <c r="G588" i="5"/>
  <c r="H587" i="5"/>
  <c r="G587" i="5"/>
  <c r="H586" i="5"/>
  <c r="G586" i="5"/>
  <c r="H585" i="5"/>
  <c r="G585" i="5"/>
  <c r="H584" i="5"/>
  <c r="G584" i="5"/>
  <c r="H583" i="5"/>
  <c r="G583" i="5"/>
  <c r="H582" i="5"/>
  <c r="G582" i="5"/>
  <c r="H581" i="5"/>
  <c r="G581" i="5"/>
  <c r="H580" i="5"/>
  <c r="G580" i="5"/>
  <c r="H579" i="5"/>
  <c r="G579" i="5"/>
  <c r="H578" i="5"/>
  <c r="G578" i="5"/>
  <c r="H577" i="5"/>
  <c r="G577" i="5"/>
  <c r="H576" i="5"/>
  <c r="G576" i="5"/>
  <c r="H575" i="5"/>
  <c r="G575" i="5"/>
  <c r="H574" i="5"/>
  <c r="G574" i="5"/>
  <c r="H573" i="5"/>
  <c r="G573" i="5"/>
  <c r="H572" i="5"/>
  <c r="G572" i="5"/>
  <c r="H571" i="5"/>
  <c r="G571" i="5"/>
  <c r="H570" i="5"/>
  <c r="G570" i="5"/>
  <c r="H569" i="5"/>
  <c r="G569" i="5"/>
  <c r="H568" i="5"/>
  <c r="G568" i="5"/>
  <c r="H567" i="5"/>
  <c r="G567" i="5"/>
  <c r="H566" i="5"/>
  <c r="G566" i="5"/>
  <c r="H565" i="5"/>
  <c r="G565" i="5"/>
  <c r="H564" i="5"/>
  <c r="G564" i="5"/>
  <c r="H563" i="5"/>
  <c r="G563" i="5"/>
  <c r="H562" i="5"/>
  <c r="G562" i="5"/>
  <c r="H561" i="5"/>
  <c r="G561" i="5"/>
  <c r="H560" i="5"/>
  <c r="G560" i="5"/>
  <c r="H559" i="5"/>
  <c r="G559" i="5"/>
  <c r="H558" i="5"/>
  <c r="G558" i="5"/>
  <c r="H557" i="5"/>
  <c r="G557" i="5"/>
  <c r="H556" i="5"/>
  <c r="G556" i="5"/>
  <c r="H555" i="5"/>
  <c r="G555" i="5"/>
  <c r="H554" i="5"/>
  <c r="G554" i="5"/>
  <c r="H553" i="5"/>
  <c r="G553" i="5"/>
  <c r="H552" i="5"/>
  <c r="G552" i="5"/>
  <c r="H551" i="5"/>
  <c r="G551" i="5"/>
  <c r="H550" i="5"/>
  <c r="G550" i="5"/>
  <c r="H549" i="5"/>
  <c r="G549" i="5"/>
  <c r="H548" i="5"/>
  <c r="G548" i="5"/>
  <c r="H547" i="5"/>
  <c r="G547" i="5"/>
  <c r="H546" i="5"/>
  <c r="G546" i="5"/>
  <c r="H545" i="5"/>
  <c r="G545" i="5"/>
  <c r="H544" i="5"/>
  <c r="G544" i="5"/>
  <c r="H543" i="5"/>
  <c r="G543" i="5"/>
  <c r="H542" i="5"/>
  <c r="G542" i="5"/>
  <c r="H541" i="5"/>
  <c r="G541" i="5"/>
  <c r="H540" i="5"/>
  <c r="G540" i="5"/>
  <c r="H539" i="5"/>
  <c r="G539" i="5"/>
  <c r="H538" i="5"/>
  <c r="G538" i="5"/>
  <c r="H537" i="5"/>
  <c r="G537" i="5"/>
  <c r="H536" i="5"/>
  <c r="G536" i="5"/>
  <c r="H535" i="5"/>
  <c r="G535" i="5"/>
  <c r="H534" i="5"/>
  <c r="G534" i="5"/>
  <c r="H533" i="5"/>
  <c r="G533" i="5"/>
  <c r="H532" i="5"/>
  <c r="G532" i="5"/>
  <c r="H531" i="5"/>
  <c r="G531" i="5"/>
  <c r="H530" i="5"/>
  <c r="G530" i="5"/>
  <c r="H529" i="5"/>
  <c r="G529" i="5"/>
  <c r="H528" i="5"/>
  <c r="G528" i="5"/>
  <c r="H527" i="5"/>
  <c r="G527" i="5"/>
  <c r="H526" i="5"/>
  <c r="G526" i="5"/>
  <c r="H525" i="5"/>
  <c r="G525" i="5"/>
  <c r="H524" i="5"/>
  <c r="G524" i="5"/>
  <c r="H523" i="5"/>
  <c r="G523" i="5"/>
  <c r="H522" i="5"/>
  <c r="G522" i="5"/>
  <c r="H521" i="5"/>
  <c r="G521" i="5"/>
  <c r="H520" i="5"/>
  <c r="G520" i="5"/>
  <c r="H519" i="5"/>
  <c r="G519" i="5"/>
  <c r="H518" i="5"/>
  <c r="G518" i="5"/>
  <c r="H517" i="5"/>
  <c r="G517" i="5"/>
  <c r="H516" i="5"/>
  <c r="G516" i="5"/>
  <c r="H515" i="5"/>
  <c r="G515" i="5"/>
  <c r="H514" i="5"/>
  <c r="G514" i="5"/>
  <c r="H513" i="5"/>
  <c r="G513" i="5"/>
  <c r="H512" i="5"/>
  <c r="G512" i="5"/>
  <c r="H511" i="5"/>
  <c r="G511" i="5"/>
  <c r="H510" i="5"/>
  <c r="G510" i="5"/>
  <c r="H509" i="5"/>
  <c r="G509" i="5"/>
  <c r="H508" i="5"/>
  <c r="G508" i="5"/>
  <c r="H507" i="5"/>
  <c r="G507" i="5"/>
  <c r="H506" i="5"/>
  <c r="G506" i="5"/>
  <c r="H505" i="5"/>
  <c r="G505" i="5"/>
  <c r="H504" i="5"/>
  <c r="G504" i="5"/>
  <c r="H503" i="5"/>
  <c r="G503" i="5"/>
  <c r="H502" i="5"/>
  <c r="G502" i="5"/>
  <c r="H501" i="5"/>
  <c r="G501" i="5"/>
  <c r="H500" i="5"/>
  <c r="G500" i="5"/>
  <c r="H499" i="5"/>
  <c r="G499" i="5"/>
  <c r="H498" i="5"/>
  <c r="G498" i="5"/>
  <c r="H497" i="5"/>
  <c r="G497" i="5"/>
  <c r="H496" i="5"/>
  <c r="G496" i="5"/>
  <c r="H495" i="5"/>
  <c r="G495" i="5"/>
  <c r="H494" i="5"/>
  <c r="G494" i="5"/>
  <c r="H493" i="5"/>
  <c r="G493" i="5"/>
  <c r="H492" i="5"/>
  <c r="G492" i="5"/>
  <c r="H491" i="5"/>
  <c r="G491" i="5"/>
  <c r="H490" i="5"/>
  <c r="G490" i="5"/>
  <c r="H489" i="5"/>
  <c r="G489" i="5"/>
  <c r="H488" i="5"/>
  <c r="G488" i="5"/>
  <c r="H487" i="5"/>
  <c r="G487" i="5"/>
  <c r="H486" i="5"/>
  <c r="G486" i="5"/>
  <c r="H485" i="5"/>
  <c r="G485" i="5"/>
  <c r="H484" i="5"/>
  <c r="G484" i="5"/>
  <c r="H483" i="5"/>
  <c r="G483" i="5"/>
  <c r="H482" i="5"/>
  <c r="G482" i="5"/>
  <c r="H481" i="5"/>
  <c r="G481" i="5"/>
  <c r="H480" i="5"/>
  <c r="G480" i="5"/>
  <c r="H479" i="5"/>
  <c r="G479" i="5"/>
  <c r="H478" i="5"/>
  <c r="G478" i="5"/>
  <c r="H477" i="5"/>
  <c r="G477" i="5"/>
  <c r="H476" i="5"/>
  <c r="G476" i="5"/>
  <c r="H475" i="5"/>
  <c r="G475" i="5"/>
  <c r="H474" i="5"/>
  <c r="G474" i="5"/>
  <c r="H473" i="5"/>
  <c r="G473" i="5"/>
  <c r="H472" i="5"/>
  <c r="G472" i="5"/>
  <c r="H471" i="5"/>
  <c r="G471" i="5"/>
  <c r="H470" i="5"/>
  <c r="G470" i="5"/>
  <c r="H469" i="5"/>
  <c r="G469" i="5"/>
  <c r="H468" i="5"/>
  <c r="G468" i="5"/>
  <c r="H467" i="5"/>
  <c r="G467" i="5"/>
  <c r="H466" i="5"/>
  <c r="G466" i="5"/>
  <c r="H465" i="5"/>
  <c r="G465" i="5"/>
  <c r="H464" i="5"/>
  <c r="G464" i="5"/>
  <c r="H463" i="5"/>
  <c r="G463" i="5"/>
  <c r="H462" i="5"/>
  <c r="G462" i="5"/>
  <c r="H461" i="5"/>
  <c r="G461" i="5"/>
  <c r="H460" i="5"/>
  <c r="G460" i="5"/>
  <c r="H459" i="5"/>
  <c r="G459" i="5"/>
  <c r="H458" i="5"/>
  <c r="G458" i="5"/>
  <c r="H457" i="5"/>
  <c r="G457" i="5"/>
  <c r="H456" i="5"/>
  <c r="G456" i="5"/>
  <c r="H455" i="5"/>
  <c r="G455" i="5"/>
  <c r="H454" i="5"/>
  <c r="G454" i="5"/>
  <c r="H453" i="5"/>
  <c r="G453" i="5"/>
  <c r="H452" i="5"/>
  <c r="G452" i="5"/>
  <c r="H451" i="5"/>
  <c r="G451" i="5"/>
  <c r="H450" i="5"/>
  <c r="G450" i="5"/>
  <c r="H449" i="5"/>
  <c r="G449" i="5"/>
  <c r="H448" i="5"/>
  <c r="G448" i="5"/>
  <c r="H447" i="5"/>
  <c r="G447" i="5"/>
  <c r="H446" i="5"/>
  <c r="G446" i="5"/>
  <c r="H445" i="5"/>
  <c r="G445" i="5"/>
  <c r="H444" i="5"/>
  <c r="G444" i="5"/>
  <c r="H443" i="5"/>
  <c r="G443" i="5"/>
  <c r="H442" i="5"/>
  <c r="G442" i="5"/>
  <c r="H441" i="5"/>
  <c r="G441" i="5"/>
  <c r="H440" i="5"/>
  <c r="G440" i="5"/>
  <c r="H439" i="5"/>
  <c r="G439" i="5"/>
  <c r="H438" i="5"/>
  <c r="G438" i="5"/>
  <c r="H437" i="5"/>
  <c r="G437" i="5"/>
  <c r="H436" i="5"/>
  <c r="G436" i="5"/>
  <c r="H435" i="5"/>
  <c r="G435" i="5"/>
  <c r="H434" i="5"/>
  <c r="G434" i="5"/>
  <c r="H433" i="5"/>
  <c r="G433" i="5"/>
  <c r="H432" i="5"/>
  <c r="G432" i="5"/>
  <c r="H431" i="5"/>
  <c r="G431" i="5"/>
  <c r="H430" i="5"/>
  <c r="G430" i="5"/>
  <c r="H429" i="5"/>
  <c r="G429" i="5"/>
  <c r="H428" i="5"/>
  <c r="G428" i="5"/>
  <c r="H427" i="5"/>
  <c r="G427" i="5"/>
  <c r="H426" i="5"/>
  <c r="G426" i="5"/>
  <c r="H425" i="5"/>
  <c r="G425" i="5"/>
  <c r="H424" i="5"/>
  <c r="G424" i="5"/>
  <c r="H423" i="5"/>
  <c r="G423" i="5"/>
  <c r="H422" i="5"/>
  <c r="G422" i="5"/>
  <c r="H421" i="5"/>
  <c r="G421" i="5"/>
  <c r="H420" i="5"/>
  <c r="G420" i="5"/>
  <c r="H419" i="5"/>
  <c r="G419" i="5"/>
  <c r="H418" i="5"/>
  <c r="G418" i="5"/>
  <c r="H417" i="5"/>
  <c r="G417" i="5"/>
  <c r="H416" i="5"/>
  <c r="G416" i="5"/>
  <c r="H415" i="5"/>
  <c r="G415" i="5"/>
  <c r="H414" i="5"/>
  <c r="G414" i="5"/>
  <c r="H413" i="5"/>
  <c r="G413" i="5"/>
  <c r="H412" i="5"/>
  <c r="G412" i="5"/>
  <c r="H411" i="5"/>
  <c r="G411" i="5"/>
  <c r="H410" i="5"/>
  <c r="G410" i="5"/>
  <c r="H409" i="5"/>
  <c r="G409" i="5"/>
  <c r="H408" i="5"/>
  <c r="G408" i="5"/>
  <c r="H407" i="5"/>
  <c r="G407" i="5"/>
  <c r="H406" i="5"/>
  <c r="G406" i="5"/>
  <c r="H405" i="5"/>
  <c r="G405" i="5"/>
  <c r="H404" i="5"/>
  <c r="G404" i="5"/>
  <c r="H403" i="5"/>
  <c r="G403" i="5"/>
  <c r="H402" i="5"/>
  <c r="G402" i="5"/>
  <c r="H401" i="5"/>
  <c r="G401" i="5"/>
  <c r="H400" i="5"/>
  <c r="G400" i="5"/>
  <c r="H399" i="5"/>
  <c r="G399" i="5"/>
  <c r="H398" i="5"/>
  <c r="G398" i="5"/>
  <c r="H397" i="5"/>
  <c r="G397" i="5"/>
  <c r="H396" i="5"/>
  <c r="G396" i="5"/>
  <c r="H395" i="5"/>
  <c r="G395" i="5"/>
  <c r="H394" i="5"/>
  <c r="G394" i="5"/>
  <c r="H393" i="5"/>
  <c r="G393" i="5"/>
  <c r="H392" i="5"/>
  <c r="G392" i="5"/>
  <c r="H391" i="5"/>
  <c r="G391" i="5"/>
  <c r="H390" i="5"/>
  <c r="G390" i="5"/>
  <c r="H389" i="5"/>
  <c r="G389" i="5"/>
  <c r="H388" i="5"/>
  <c r="G388" i="5"/>
  <c r="H387" i="5"/>
  <c r="G387" i="5"/>
  <c r="H386" i="5"/>
  <c r="G386" i="5"/>
  <c r="H385" i="5"/>
  <c r="G385" i="5"/>
  <c r="H384" i="5"/>
  <c r="G384" i="5"/>
  <c r="H383" i="5"/>
  <c r="G383" i="5"/>
  <c r="H382" i="5"/>
  <c r="G382" i="5"/>
  <c r="H381" i="5"/>
  <c r="G381" i="5"/>
  <c r="H380" i="5"/>
  <c r="G380" i="5"/>
  <c r="H379" i="5"/>
  <c r="G379" i="5"/>
  <c r="H378" i="5"/>
  <c r="G378" i="5"/>
  <c r="H377" i="5"/>
  <c r="G377" i="5"/>
  <c r="H376" i="5"/>
  <c r="G376" i="5"/>
  <c r="H375" i="5"/>
  <c r="G375" i="5"/>
  <c r="H374" i="5"/>
  <c r="G374" i="5"/>
  <c r="H373" i="5"/>
  <c r="G373" i="5"/>
  <c r="H372" i="5"/>
  <c r="G372" i="5"/>
  <c r="H371" i="5"/>
  <c r="G371" i="5"/>
  <c r="H370" i="5"/>
  <c r="M125" i="5"/>
  <c r="G370" i="5"/>
  <c r="H369" i="5"/>
  <c r="G369" i="5"/>
  <c r="H368" i="5"/>
  <c r="G368" i="5"/>
  <c r="H367" i="5"/>
  <c r="G367" i="5"/>
  <c r="H366" i="5"/>
  <c r="G366" i="5"/>
  <c r="H365" i="5"/>
  <c r="G365" i="5"/>
  <c r="H364" i="5"/>
  <c r="G364" i="5"/>
  <c r="H363" i="5"/>
  <c r="G363" i="5"/>
  <c r="H362" i="5"/>
  <c r="G362" i="5"/>
  <c r="H361" i="5"/>
  <c r="G361" i="5"/>
  <c r="H360" i="5"/>
  <c r="G360" i="5"/>
  <c r="H359" i="5"/>
  <c r="G359" i="5"/>
  <c r="H358" i="5"/>
  <c r="G358" i="5"/>
  <c r="H357" i="5"/>
  <c r="G357" i="5"/>
  <c r="H356" i="5"/>
  <c r="G356" i="5"/>
  <c r="H355" i="5"/>
  <c r="G355" i="5"/>
  <c r="H354" i="5"/>
  <c r="G354" i="5"/>
  <c r="H353" i="5"/>
  <c r="G353" i="5"/>
  <c r="H352" i="5"/>
  <c r="G352" i="5"/>
  <c r="H351" i="5"/>
  <c r="G351" i="5"/>
  <c r="H350" i="5"/>
  <c r="G350" i="5"/>
  <c r="H349" i="5"/>
  <c r="G349" i="5"/>
  <c r="H348" i="5"/>
  <c r="G348" i="5"/>
  <c r="H347" i="5"/>
  <c r="G347" i="5"/>
  <c r="H346" i="5"/>
  <c r="G346" i="5"/>
  <c r="H345" i="5"/>
  <c r="G345" i="5"/>
  <c r="H344" i="5"/>
  <c r="G344" i="5"/>
  <c r="H343" i="5"/>
  <c r="G343" i="5"/>
  <c r="H342" i="5"/>
  <c r="G342" i="5"/>
  <c r="H341" i="5"/>
  <c r="G341" i="5"/>
  <c r="H340" i="5"/>
  <c r="G340" i="5"/>
  <c r="H339" i="5"/>
  <c r="G339" i="5"/>
  <c r="H338" i="5"/>
  <c r="G338" i="5"/>
  <c r="H337" i="5"/>
  <c r="G337" i="5"/>
  <c r="H336" i="5"/>
  <c r="G336" i="5"/>
  <c r="H335" i="5"/>
  <c r="G335" i="5"/>
  <c r="H334" i="5"/>
  <c r="G334" i="5"/>
  <c r="H333" i="5"/>
  <c r="G333" i="5"/>
  <c r="H332" i="5"/>
  <c r="G332" i="5"/>
  <c r="H331" i="5"/>
  <c r="G331" i="5"/>
  <c r="H330" i="5"/>
  <c r="G330" i="5"/>
  <c r="H329" i="5"/>
  <c r="G329" i="5"/>
  <c r="H328" i="5"/>
  <c r="G328" i="5"/>
  <c r="H327" i="5"/>
  <c r="G327" i="5"/>
  <c r="H326" i="5"/>
  <c r="G326" i="5"/>
  <c r="H325" i="5"/>
  <c r="G325" i="5"/>
  <c r="H324" i="5"/>
  <c r="G324" i="5"/>
  <c r="H323" i="5"/>
  <c r="G323" i="5"/>
  <c r="H322" i="5"/>
  <c r="G322" i="5"/>
  <c r="H321" i="5"/>
  <c r="G321" i="5"/>
  <c r="H320" i="5"/>
  <c r="G320" i="5"/>
  <c r="H319" i="5"/>
  <c r="G319" i="5"/>
  <c r="H318" i="5"/>
  <c r="G318" i="5"/>
  <c r="H317" i="5"/>
  <c r="G317" i="5"/>
  <c r="H316" i="5"/>
  <c r="G316" i="5"/>
  <c r="H315" i="5"/>
  <c r="G315" i="5"/>
  <c r="H314" i="5"/>
  <c r="G314" i="5"/>
  <c r="H313" i="5"/>
  <c r="G313" i="5"/>
  <c r="H312" i="5"/>
  <c r="G312" i="5"/>
  <c r="H311" i="5"/>
  <c r="G311" i="5"/>
  <c r="H310" i="5"/>
  <c r="G310" i="5"/>
  <c r="H309" i="5"/>
  <c r="G309" i="5"/>
  <c r="H308" i="5"/>
  <c r="G308" i="5"/>
  <c r="H307" i="5"/>
  <c r="G307" i="5"/>
  <c r="H306" i="5"/>
  <c r="G306" i="5"/>
  <c r="H305" i="5"/>
  <c r="G305" i="5"/>
  <c r="H304" i="5"/>
  <c r="G304" i="5"/>
  <c r="H303" i="5"/>
  <c r="G303" i="5"/>
  <c r="H302" i="5"/>
  <c r="G302" i="5"/>
  <c r="H301" i="5"/>
  <c r="G301" i="5"/>
  <c r="H300" i="5"/>
  <c r="G300" i="5"/>
  <c r="H299" i="5"/>
  <c r="G299" i="5"/>
  <c r="H298" i="5"/>
  <c r="G298" i="5"/>
  <c r="H297" i="5"/>
  <c r="G297" i="5"/>
  <c r="H296" i="5"/>
  <c r="G296" i="5"/>
  <c r="H295" i="5"/>
  <c r="G295" i="5"/>
  <c r="H294" i="5"/>
  <c r="G294" i="5"/>
  <c r="H293" i="5"/>
  <c r="G293" i="5"/>
  <c r="H292" i="5"/>
  <c r="G292" i="5"/>
  <c r="H291" i="5"/>
  <c r="G291" i="5"/>
  <c r="H290" i="5"/>
  <c r="G290" i="5"/>
  <c r="H289" i="5"/>
  <c r="G289" i="5"/>
  <c r="H288" i="5"/>
  <c r="G288" i="5"/>
  <c r="H287" i="5"/>
  <c r="G287" i="5"/>
  <c r="H286" i="5"/>
  <c r="G286" i="5"/>
  <c r="H285" i="5"/>
  <c r="G285" i="5"/>
  <c r="H284" i="5"/>
  <c r="G284" i="5"/>
  <c r="H283" i="5"/>
  <c r="G283" i="5"/>
  <c r="H282" i="5"/>
  <c r="G282" i="5"/>
  <c r="H281" i="5"/>
  <c r="G281" i="5"/>
  <c r="H280" i="5"/>
  <c r="G280" i="5"/>
  <c r="H279" i="5"/>
  <c r="G279" i="5"/>
  <c r="H278" i="5"/>
  <c r="G278" i="5"/>
  <c r="H277" i="5"/>
  <c r="G277" i="5"/>
  <c r="H276" i="5"/>
  <c r="G276" i="5"/>
  <c r="H275" i="5"/>
  <c r="G275" i="5"/>
  <c r="H274" i="5"/>
  <c r="G274" i="5"/>
  <c r="H273" i="5"/>
  <c r="G273" i="5"/>
  <c r="H272" i="5"/>
  <c r="G272" i="5"/>
  <c r="H271" i="5"/>
  <c r="G271" i="5"/>
  <c r="H270" i="5"/>
  <c r="G270" i="5"/>
  <c r="H269" i="5"/>
  <c r="G269" i="5"/>
  <c r="H268" i="5"/>
  <c r="G268" i="5"/>
  <c r="H267" i="5"/>
  <c r="G267" i="5"/>
  <c r="H266" i="5"/>
  <c r="G266" i="5"/>
  <c r="H265" i="5"/>
  <c r="G265" i="5"/>
  <c r="H264" i="5"/>
  <c r="G264" i="5"/>
  <c r="H263" i="5"/>
  <c r="G263" i="5"/>
  <c r="H262" i="5"/>
  <c r="G262" i="5"/>
  <c r="H261" i="5"/>
  <c r="G261" i="5"/>
  <c r="H260" i="5"/>
  <c r="G260" i="5"/>
  <c r="H259" i="5"/>
  <c r="G259" i="5"/>
  <c r="H258" i="5"/>
  <c r="G258" i="5"/>
  <c r="H257" i="5"/>
  <c r="G257" i="5"/>
  <c r="H256" i="5"/>
  <c r="G256" i="5"/>
  <c r="H255" i="5"/>
  <c r="G255" i="5"/>
  <c r="H254" i="5"/>
  <c r="G254" i="5"/>
  <c r="H253" i="5"/>
  <c r="G253" i="5"/>
  <c r="H252" i="5"/>
  <c r="G252" i="5"/>
  <c r="H251" i="5"/>
  <c r="G251" i="5"/>
  <c r="H250" i="5"/>
  <c r="G250" i="5"/>
  <c r="H249" i="5"/>
  <c r="G249" i="5"/>
  <c r="H248" i="5"/>
  <c r="G248" i="5"/>
  <c r="H247" i="5"/>
  <c r="G247" i="5"/>
  <c r="H246" i="5"/>
  <c r="G246" i="5"/>
  <c r="H245" i="5"/>
  <c r="G245" i="5"/>
  <c r="H244" i="5"/>
  <c r="G244" i="5"/>
  <c r="H243" i="5"/>
  <c r="G243" i="5"/>
  <c r="H242" i="5"/>
  <c r="G242" i="5"/>
  <c r="H241" i="5"/>
  <c r="G241" i="5"/>
  <c r="H240" i="5"/>
  <c r="G240" i="5"/>
  <c r="H239" i="5"/>
  <c r="G239" i="5"/>
  <c r="H238" i="5"/>
  <c r="G238" i="5"/>
  <c r="H237" i="5"/>
  <c r="G237" i="5"/>
  <c r="H236" i="5"/>
  <c r="G236" i="5"/>
  <c r="H235" i="5"/>
  <c r="G235" i="5"/>
  <c r="H234" i="5"/>
  <c r="G234" i="5"/>
  <c r="H233" i="5"/>
  <c r="G233" i="5"/>
  <c r="H232" i="5"/>
  <c r="G232" i="5"/>
  <c r="H231" i="5"/>
  <c r="G231" i="5"/>
  <c r="H230" i="5"/>
  <c r="G230" i="5"/>
  <c r="H229" i="5"/>
  <c r="G229" i="5"/>
  <c r="H228" i="5"/>
  <c r="G228" i="5"/>
  <c r="H227" i="5"/>
  <c r="G227" i="5"/>
  <c r="H226" i="5"/>
  <c r="G226" i="5"/>
  <c r="H225" i="5"/>
  <c r="G225" i="5"/>
  <c r="H224" i="5"/>
  <c r="G224" i="5"/>
  <c r="H223" i="5"/>
  <c r="G223" i="5"/>
  <c r="H222" i="5"/>
  <c r="G222" i="5"/>
  <c r="H221" i="5"/>
  <c r="G221" i="5"/>
  <c r="H220" i="5"/>
  <c r="G220" i="5"/>
  <c r="H219" i="5"/>
  <c r="G219" i="5"/>
  <c r="H218" i="5"/>
  <c r="G218" i="5"/>
  <c r="H217" i="5"/>
  <c r="G217" i="5"/>
  <c r="H216" i="5"/>
  <c r="G216" i="5"/>
  <c r="H215" i="5"/>
  <c r="G215" i="5"/>
  <c r="H214" i="5"/>
  <c r="G214" i="5"/>
  <c r="H213" i="5"/>
  <c r="G213" i="5"/>
  <c r="H212" i="5"/>
  <c r="G212" i="5"/>
  <c r="H211" i="5"/>
  <c r="G211" i="5"/>
  <c r="H210" i="5"/>
  <c r="G210" i="5"/>
  <c r="H209" i="5"/>
  <c r="G209" i="5"/>
  <c r="H208" i="5"/>
  <c r="G208" i="5"/>
  <c r="H207" i="5"/>
  <c r="G207" i="5"/>
  <c r="H206" i="5"/>
  <c r="G206" i="5"/>
  <c r="H205" i="5"/>
  <c r="G205" i="5"/>
  <c r="H204" i="5"/>
  <c r="G204" i="5"/>
  <c r="H203" i="5"/>
  <c r="G203" i="5"/>
  <c r="H202" i="5"/>
  <c r="G202" i="5"/>
  <c r="H201" i="5"/>
  <c r="G201" i="5"/>
  <c r="H200" i="5"/>
  <c r="G200" i="5"/>
  <c r="H199" i="5"/>
  <c r="G199" i="5"/>
  <c r="H198" i="5"/>
  <c r="G198" i="5"/>
  <c r="H197" i="5"/>
  <c r="G197" i="5"/>
  <c r="H196" i="5"/>
  <c r="G196" i="5"/>
  <c r="H195" i="5"/>
  <c r="G195" i="5"/>
  <c r="H194" i="5"/>
  <c r="G194" i="5"/>
  <c r="H193" i="5"/>
  <c r="G193" i="5"/>
  <c r="H192" i="5"/>
  <c r="G192" i="5"/>
  <c r="H191" i="5"/>
  <c r="G191" i="5"/>
  <c r="H190" i="5"/>
  <c r="G190" i="5"/>
  <c r="H189" i="5"/>
  <c r="G189" i="5"/>
  <c r="H188" i="5"/>
  <c r="G188" i="5"/>
  <c r="H187" i="5"/>
  <c r="G187" i="5"/>
  <c r="H186" i="5"/>
  <c r="G186" i="5"/>
  <c r="H185" i="5"/>
  <c r="G185" i="5"/>
  <c r="H184" i="5"/>
  <c r="G184" i="5"/>
  <c r="H183" i="5"/>
  <c r="G183" i="5"/>
  <c r="H182" i="5"/>
  <c r="G182" i="5"/>
  <c r="H181" i="5"/>
  <c r="G181" i="5"/>
  <c r="H180" i="5"/>
  <c r="G180" i="5"/>
  <c r="H179" i="5"/>
  <c r="G179" i="5"/>
  <c r="H178" i="5"/>
  <c r="G178" i="5"/>
  <c r="H177" i="5"/>
  <c r="G177" i="5"/>
  <c r="H176" i="5"/>
  <c r="G176" i="5"/>
  <c r="H175" i="5"/>
  <c r="G175" i="5"/>
  <c r="H174" i="5"/>
  <c r="G174" i="5"/>
  <c r="H173" i="5"/>
  <c r="G173" i="5"/>
  <c r="H172" i="5"/>
  <c r="G172" i="5"/>
  <c r="H171" i="5"/>
  <c r="G171" i="5"/>
  <c r="H170" i="5"/>
  <c r="G170" i="5"/>
  <c r="H169" i="5"/>
  <c r="G169" i="5"/>
  <c r="H168" i="5"/>
  <c r="G168" i="5"/>
  <c r="H167" i="5"/>
  <c r="G167" i="5"/>
  <c r="H166" i="5"/>
  <c r="G166" i="5"/>
  <c r="H165" i="5"/>
  <c r="G165" i="5"/>
  <c r="H164" i="5"/>
  <c r="G164" i="5"/>
  <c r="H163" i="5"/>
  <c r="G163" i="5"/>
  <c r="H162" i="5"/>
  <c r="G162" i="5"/>
  <c r="H161" i="5"/>
  <c r="G161" i="5"/>
  <c r="H160" i="5"/>
  <c r="G160" i="5"/>
  <c r="H159" i="5"/>
  <c r="G159" i="5"/>
  <c r="H158" i="5"/>
  <c r="G158" i="5"/>
  <c r="H157" i="5"/>
  <c r="G157" i="5"/>
  <c r="H156" i="5"/>
  <c r="G156" i="5"/>
  <c r="H155" i="5"/>
  <c r="G155" i="5"/>
  <c r="H154" i="5"/>
  <c r="G154" i="5"/>
  <c r="H153" i="5"/>
  <c r="G153" i="5"/>
  <c r="H152" i="5"/>
  <c r="G152" i="5"/>
  <c r="H151" i="5"/>
  <c r="G151" i="5"/>
  <c r="H150" i="5"/>
  <c r="G150" i="5"/>
  <c r="H149" i="5"/>
  <c r="G149" i="5"/>
  <c r="H148" i="5"/>
  <c r="G148" i="5"/>
  <c r="H147" i="5"/>
  <c r="G147" i="5"/>
  <c r="H146" i="5"/>
  <c r="G146" i="5"/>
  <c r="H145" i="5"/>
  <c r="G145" i="5"/>
  <c r="H144" i="5"/>
  <c r="G144" i="5"/>
  <c r="H143" i="5"/>
  <c r="G143" i="5"/>
  <c r="H142" i="5"/>
  <c r="G142" i="5"/>
  <c r="H141" i="5"/>
  <c r="G141" i="5"/>
  <c r="H140" i="5"/>
  <c r="G140" i="5"/>
  <c r="H139" i="5"/>
  <c r="G139" i="5"/>
  <c r="H138" i="5"/>
  <c r="G138" i="5"/>
  <c r="H137" i="5"/>
  <c r="G137" i="5"/>
  <c r="H136" i="5"/>
  <c r="G136" i="5"/>
  <c r="H135" i="5"/>
  <c r="G135" i="5"/>
  <c r="H134" i="5"/>
  <c r="M34" i="5"/>
  <c r="G134" i="5"/>
  <c r="H133" i="5"/>
  <c r="G133" i="5"/>
  <c r="H132" i="5"/>
  <c r="G132" i="5"/>
  <c r="H131" i="5"/>
  <c r="G131" i="5"/>
  <c r="H130" i="5"/>
  <c r="G130" i="5"/>
  <c r="H129" i="5"/>
  <c r="G129" i="5"/>
  <c r="H128" i="5"/>
  <c r="G128" i="5"/>
  <c r="H127" i="5"/>
  <c r="G127" i="5"/>
  <c r="H126" i="5"/>
  <c r="G126" i="5"/>
  <c r="H125" i="5"/>
  <c r="G125" i="5"/>
  <c r="H124" i="5"/>
  <c r="G124" i="5"/>
  <c r="H123" i="5"/>
  <c r="G123" i="5"/>
  <c r="H122" i="5"/>
  <c r="G122" i="5"/>
  <c r="H121" i="5"/>
  <c r="G121" i="5"/>
  <c r="H120" i="5"/>
  <c r="G120" i="5"/>
  <c r="H119" i="5"/>
  <c r="G119" i="5"/>
  <c r="H118" i="5"/>
  <c r="G118" i="5"/>
  <c r="H117" i="5"/>
  <c r="G117" i="5"/>
  <c r="H116" i="5"/>
  <c r="G116" i="5"/>
  <c r="H115" i="5"/>
  <c r="G115" i="5"/>
  <c r="H114" i="5"/>
  <c r="G114" i="5"/>
  <c r="H113" i="5"/>
  <c r="G113" i="5"/>
  <c r="H112" i="5"/>
  <c r="G112" i="5"/>
  <c r="H111" i="5"/>
  <c r="G111" i="5"/>
  <c r="H110" i="5"/>
  <c r="G110" i="5"/>
  <c r="H109" i="5"/>
  <c r="G109" i="5"/>
  <c r="H108" i="5"/>
  <c r="G108" i="5"/>
  <c r="H107" i="5"/>
  <c r="G107" i="5"/>
  <c r="H106" i="5"/>
  <c r="G106" i="5"/>
  <c r="H105" i="5"/>
  <c r="G105" i="5"/>
  <c r="H104" i="5"/>
  <c r="G104" i="5"/>
  <c r="H103" i="5"/>
  <c r="G103" i="5"/>
  <c r="H102" i="5"/>
  <c r="G102" i="5"/>
  <c r="H101" i="5"/>
  <c r="G101" i="5"/>
  <c r="H100" i="5"/>
  <c r="G100" i="5"/>
  <c r="H99" i="5"/>
  <c r="G99" i="5"/>
  <c r="H98" i="5"/>
  <c r="G98" i="5"/>
  <c r="H97" i="5"/>
  <c r="G97" i="5"/>
  <c r="H96" i="5"/>
  <c r="G96" i="5"/>
  <c r="H95" i="5"/>
  <c r="G95" i="5"/>
  <c r="H94" i="5"/>
  <c r="G94" i="5"/>
  <c r="H93" i="5"/>
  <c r="G93" i="5"/>
  <c r="H92" i="5"/>
  <c r="G92" i="5"/>
  <c r="H91" i="5"/>
  <c r="G91" i="5"/>
  <c r="H90" i="5"/>
  <c r="G90" i="5"/>
  <c r="H89" i="5"/>
  <c r="G89" i="5"/>
  <c r="H88" i="5"/>
  <c r="G88" i="5"/>
  <c r="H87" i="5"/>
  <c r="G87" i="5"/>
  <c r="H86" i="5"/>
  <c r="G86" i="5"/>
  <c r="H85" i="5"/>
  <c r="G85" i="5"/>
  <c r="H84" i="5"/>
  <c r="G84" i="5"/>
  <c r="H83" i="5"/>
  <c r="G83" i="5"/>
  <c r="H82" i="5"/>
  <c r="G82" i="5"/>
  <c r="H81" i="5"/>
  <c r="G81" i="5"/>
  <c r="H80" i="5"/>
  <c r="G80" i="5"/>
  <c r="H79" i="5"/>
  <c r="G79" i="5"/>
  <c r="H78" i="5"/>
  <c r="G78" i="5"/>
  <c r="H77" i="5"/>
  <c r="G77" i="5"/>
  <c r="H76" i="5"/>
  <c r="G76" i="5"/>
  <c r="H75" i="5"/>
  <c r="G75" i="5"/>
  <c r="H74" i="5"/>
  <c r="G74" i="5"/>
  <c r="H73" i="5"/>
  <c r="G73" i="5"/>
  <c r="H72" i="5"/>
  <c r="G72" i="5"/>
  <c r="H71" i="5"/>
  <c r="G71" i="5"/>
  <c r="H70" i="5"/>
  <c r="G70" i="5"/>
  <c r="H69" i="5"/>
  <c r="G69" i="5"/>
  <c r="H68" i="5"/>
  <c r="G68" i="5"/>
  <c r="H67" i="5"/>
  <c r="G67" i="5"/>
  <c r="H66" i="5"/>
  <c r="G66" i="5"/>
  <c r="H65" i="5"/>
  <c r="G65" i="5"/>
  <c r="H64" i="5"/>
  <c r="G64" i="5"/>
  <c r="H63" i="5"/>
  <c r="G63" i="5"/>
  <c r="H62" i="5"/>
  <c r="G62" i="5"/>
  <c r="H61" i="5"/>
  <c r="G61" i="5"/>
  <c r="H60" i="5"/>
  <c r="G60" i="5"/>
  <c r="H59" i="5"/>
  <c r="G59" i="5"/>
  <c r="H58" i="5"/>
  <c r="G58" i="5"/>
  <c r="H57" i="5"/>
  <c r="G57" i="5"/>
  <c r="H56" i="5"/>
  <c r="G56" i="5"/>
  <c r="H55" i="5"/>
  <c r="G55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H54" i="5"/>
  <c r="G54" i="5"/>
  <c r="H53" i="5"/>
  <c r="G53" i="5"/>
  <c r="Q52" i="5"/>
  <c r="H52" i="5"/>
  <c r="G52" i="5"/>
  <c r="H51" i="5"/>
  <c r="G51" i="5"/>
  <c r="H50" i="5"/>
  <c r="G50" i="5"/>
  <c r="H49" i="5"/>
  <c r="G49" i="5"/>
  <c r="H48" i="5"/>
  <c r="G48" i="5"/>
  <c r="H47" i="5"/>
  <c r="G47" i="5"/>
  <c r="H46" i="5"/>
  <c r="G46" i="5"/>
  <c r="H45" i="5"/>
  <c r="G45" i="5"/>
  <c r="H44" i="5"/>
  <c r="G44" i="5"/>
  <c r="H43" i="5"/>
  <c r="G43" i="5"/>
  <c r="H42" i="5"/>
  <c r="G42" i="5"/>
  <c r="H41" i="5"/>
  <c r="G41" i="5"/>
  <c r="H40" i="5"/>
  <c r="G40" i="5"/>
  <c r="H39" i="5"/>
  <c r="G39" i="5"/>
  <c r="H38" i="5"/>
  <c r="G38" i="5"/>
  <c r="H37" i="5"/>
  <c r="G37" i="5"/>
  <c r="H36" i="5"/>
  <c r="G36" i="5"/>
  <c r="H35" i="5"/>
  <c r="G35" i="5"/>
  <c r="H34" i="5"/>
  <c r="G34" i="5"/>
  <c r="H33" i="5"/>
  <c r="G33" i="5"/>
  <c r="AE32" i="5"/>
  <c r="AD32" i="5"/>
  <c r="AC32" i="5"/>
  <c r="AB32" i="5"/>
  <c r="AA32" i="5"/>
  <c r="H32" i="5"/>
  <c r="G32" i="5"/>
  <c r="AW31" i="5"/>
  <c r="AV31" i="5"/>
  <c r="AU31" i="5"/>
  <c r="AT31" i="5"/>
  <c r="AS31" i="5"/>
  <c r="AE31" i="5"/>
  <c r="AD31" i="5"/>
  <c r="AC31" i="5"/>
  <c r="AB31" i="5"/>
  <c r="AA31" i="5"/>
  <c r="H31" i="5"/>
  <c r="G31" i="5"/>
  <c r="AW30" i="5"/>
  <c r="AV30" i="5"/>
  <c r="AU30" i="5"/>
  <c r="AT30" i="5"/>
  <c r="AS30" i="5"/>
  <c r="AE30" i="5"/>
  <c r="AD30" i="5"/>
  <c r="AC30" i="5"/>
  <c r="AB30" i="5"/>
  <c r="AA30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H30" i="5"/>
  <c r="G30" i="5"/>
  <c r="AW29" i="5"/>
  <c r="AV29" i="5"/>
  <c r="AU29" i="5"/>
  <c r="AT29" i="5"/>
  <c r="AS29" i="5"/>
  <c r="AE29" i="5"/>
  <c r="AD29" i="5"/>
  <c r="AC29" i="5"/>
  <c r="AB29" i="5"/>
  <c r="AA29" i="5"/>
  <c r="H29" i="5"/>
  <c r="G29" i="5"/>
  <c r="AW28" i="5"/>
  <c r="AV28" i="5"/>
  <c r="AU28" i="5"/>
  <c r="AT28" i="5"/>
  <c r="AS28" i="5"/>
  <c r="AE28" i="5"/>
  <c r="AD28" i="5"/>
  <c r="AC28" i="5"/>
  <c r="AB28" i="5"/>
  <c r="AA28" i="5"/>
  <c r="H28" i="5"/>
  <c r="G28" i="5"/>
  <c r="AW27" i="5"/>
  <c r="AV27" i="5"/>
  <c r="AU27" i="5"/>
  <c r="AT27" i="5"/>
  <c r="AS27" i="5"/>
  <c r="AE27" i="5"/>
  <c r="AD27" i="5"/>
  <c r="AC27" i="5"/>
  <c r="AH22" i="5"/>
  <c r="AH30" i="5"/>
  <c r="AB27" i="5"/>
  <c r="AA27" i="5"/>
  <c r="H27" i="5"/>
  <c r="G27" i="5"/>
  <c r="AW26" i="5"/>
  <c r="AV26" i="5"/>
  <c r="AU26" i="5"/>
  <c r="AI22" i="5"/>
  <c r="AI23" i="5"/>
  <c r="AT26" i="5"/>
  <c r="AS26" i="5"/>
  <c r="AE26" i="5"/>
  <c r="AD26" i="5"/>
  <c r="AC26" i="5"/>
  <c r="AB26" i="5"/>
  <c r="AA26" i="5"/>
  <c r="H26" i="5"/>
  <c r="G26" i="5"/>
  <c r="AW25" i="5"/>
  <c r="AV25" i="5"/>
  <c r="AU25" i="5"/>
  <c r="AT25" i="5"/>
  <c r="AS25" i="5"/>
  <c r="AE25" i="5"/>
  <c r="AD25" i="5"/>
  <c r="AC25" i="5"/>
  <c r="AB25" i="5"/>
  <c r="AA25" i="5"/>
  <c r="H25" i="5"/>
  <c r="G25" i="5"/>
  <c r="AW24" i="5"/>
  <c r="AV24" i="5"/>
  <c r="AU24" i="5"/>
  <c r="AT24" i="5"/>
  <c r="AS24" i="5"/>
  <c r="AE24" i="5"/>
  <c r="AD24" i="5"/>
  <c r="AC24" i="5"/>
  <c r="AB24" i="5"/>
  <c r="AA24" i="5"/>
  <c r="H24" i="5"/>
  <c r="G24" i="5"/>
  <c r="AW23" i="5"/>
  <c r="AV23" i="5"/>
  <c r="AU23" i="5"/>
  <c r="AT23" i="5"/>
  <c r="AS23" i="5"/>
  <c r="AE23" i="5"/>
  <c r="AD23" i="5"/>
  <c r="AC23" i="5"/>
  <c r="AB23" i="5"/>
  <c r="AA23" i="5"/>
  <c r="H23" i="5"/>
  <c r="G23" i="5"/>
  <c r="AW22" i="5"/>
  <c r="AV22" i="5"/>
  <c r="AU22" i="5"/>
  <c r="AT22" i="5"/>
  <c r="AS22" i="5"/>
  <c r="AE22" i="5"/>
  <c r="AD22" i="5"/>
  <c r="AC22" i="5"/>
  <c r="AB22" i="5"/>
  <c r="AA22" i="5"/>
  <c r="H22" i="5"/>
  <c r="G22" i="5"/>
  <c r="AW21" i="5"/>
  <c r="AV21" i="5"/>
  <c r="AU21" i="5"/>
  <c r="AT21" i="5"/>
  <c r="AS21" i="5"/>
  <c r="H21" i="5"/>
  <c r="G21" i="5"/>
  <c r="H20" i="5"/>
  <c r="G20" i="5"/>
  <c r="H19" i="5"/>
  <c r="G19" i="5"/>
  <c r="H18" i="5"/>
  <c r="G18" i="5"/>
  <c r="H17" i="5"/>
  <c r="G17" i="5"/>
  <c r="H16" i="5"/>
  <c r="G16" i="5"/>
  <c r="AD15" i="5"/>
  <c r="H15" i="5"/>
  <c r="G15" i="5"/>
  <c r="AD14" i="5"/>
  <c r="H14" i="5"/>
  <c r="G14" i="5"/>
  <c r="AD13" i="5"/>
  <c r="H13" i="5"/>
  <c r="G13" i="5"/>
  <c r="AD12" i="5"/>
  <c r="H12" i="5"/>
  <c r="G12" i="5"/>
  <c r="AD11" i="5"/>
  <c r="AE11" i="5"/>
  <c r="H11" i="5"/>
  <c r="G11" i="5"/>
  <c r="AD10" i="5"/>
  <c r="H10" i="5"/>
  <c r="G10" i="5"/>
  <c r="AD9" i="5"/>
  <c r="AE9" i="5"/>
  <c r="H9" i="5"/>
  <c r="G9" i="5"/>
  <c r="AD8" i="5"/>
  <c r="R8" i="5"/>
  <c r="H8" i="5"/>
  <c r="G8" i="5"/>
  <c r="AD7" i="5"/>
  <c r="H7" i="5"/>
  <c r="M10" i="5"/>
  <c r="G7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H6" i="5"/>
  <c r="M15" i="5"/>
  <c r="G6" i="5"/>
  <c r="H5" i="5"/>
  <c r="G5" i="5"/>
  <c r="D12" i="1"/>
  <c r="C34" i="24"/>
  <c r="C36" i="24"/>
  <c r="M101" i="5"/>
  <c r="M81" i="5"/>
  <c r="M117" i="5"/>
  <c r="AE8" i="5"/>
  <c r="M89" i="5"/>
  <c r="M153" i="5"/>
  <c r="AE15" i="5"/>
  <c r="M58" i="5"/>
  <c r="Q58" i="5"/>
  <c r="M93" i="5"/>
  <c r="M157" i="5"/>
  <c r="M99" i="5"/>
  <c r="M115" i="5"/>
  <c r="M131" i="5"/>
  <c r="M147" i="5"/>
  <c r="M53" i="5"/>
  <c r="O53" i="5"/>
  <c r="M62" i="5"/>
  <c r="O62" i="5"/>
  <c r="M70" i="5"/>
  <c r="Q70" i="5"/>
  <c r="M82" i="5"/>
  <c r="M98" i="5"/>
  <c r="M114" i="5"/>
  <c r="M130" i="5"/>
  <c r="M146" i="5"/>
  <c r="J10" i="6"/>
  <c r="I8" i="6"/>
  <c r="I9" i="6"/>
  <c r="J7" i="6"/>
  <c r="AE13" i="5"/>
  <c r="AE12" i="5"/>
  <c r="M66" i="5"/>
  <c r="O66" i="5"/>
  <c r="M108" i="5"/>
  <c r="M136" i="5"/>
  <c r="M73" i="5"/>
  <c r="O73" i="5"/>
  <c r="M104" i="5"/>
  <c r="M140" i="5"/>
  <c r="M60" i="5"/>
  <c r="Q60" i="5"/>
  <c r="M13" i="5"/>
  <c r="M22" i="5"/>
  <c r="M32" i="5"/>
  <c r="Q32" i="5"/>
  <c r="M5" i="5"/>
  <c r="M14" i="5"/>
  <c r="AE10" i="5"/>
  <c r="AE14" i="5"/>
  <c r="M12" i="5"/>
  <c r="M19" i="5"/>
  <c r="M27" i="5"/>
  <c r="O27" i="5"/>
  <c r="M39" i="5"/>
  <c r="Q39" i="5"/>
  <c r="M43" i="5"/>
  <c r="Q43" i="5"/>
  <c r="M47" i="5"/>
  <c r="Q47" i="5"/>
  <c r="O70" i="5"/>
  <c r="Q53" i="5"/>
  <c r="O60" i="5"/>
  <c r="O47" i="5"/>
  <c r="O39" i="5"/>
  <c r="O32" i="5"/>
  <c r="B16" i="4"/>
  <c r="B24" i="4"/>
  <c r="B15" i="4"/>
  <c r="B23" i="4"/>
  <c r="B14" i="4"/>
  <c r="B22" i="4"/>
  <c r="I7" i="22"/>
  <c r="J123" i="18"/>
  <c r="C123" i="18"/>
  <c r="H123" i="18"/>
  <c r="I123" i="18"/>
  <c r="E165" i="18"/>
  <c r="C165" i="18"/>
  <c r="C175" i="18"/>
  <c r="H165" i="18"/>
  <c r="F123" i="18"/>
  <c r="B165" i="18"/>
  <c r="G165" i="18"/>
  <c r="G175" i="18"/>
  <c r="L165" i="18"/>
  <c r="J165" i="18"/>
  <c r="J175" i="18"/>
  <c r="L123" i="18"/>
  <c r="D165" i="18"/>
  <c r="D175" i="18"/>
  <c r="I165" i="18"/>
  <c r="D123" i="18"/>
  <c r="E123" i="18"/>
  <c r="G123" i="18"/>
  <c r="F165" i="18"/>
  <c r="K165" i="18"/>
  <c r="B123" i="18"/>
  <c r="K123" i="18"/>
  <c r="B129" i="18"/>
  <c r="E129" i="18"/>
  <c r="H171" i="18"/>
  <c r="L129" i="18"/>
  <c r="G171" i="18"/>
  <c r="C171" i="18"/>
  <c r="E171" i="18"/>
  <c r="I129" i="18"/>
  <c r="C129" i="18"/>
  <c r="K129" i="18"/>
  <c r="D171" i="18"/>
  <c r="J171" i="18"/>
  <c r="L171" i="18"/>
  <c r="H129" i="18"/>
  <c r="F171" i="18"/>
  <c r="K171" i="18"/>
  <c r="G129" i="18"/>
  <c r="D129" i="18"/>
  <c r="I171" i="18"/>
  <c r="B171" i="18"/>
  <c r="B175" i="18"/>
  <c r="F129" i="18"/>
  <c r="J129" i="18"/>
  <c r="E175" i="18"/>
  <c r="H175" i="18"/>
  <c r="F175" i="18"/>
  <c r="K175" i="18"/>
  <c r="L175" i="18"/>
  <c r="I175" i="18"/>
  <c r="R41" i="18"/>
  <c r="L35" i="4"/>
  <c r="M46" i="4"/>
  <c r="J46" i="4"/>
  <c r="K46" i="4"/>
  <c r="B39" i="18"/>
  <c r="E39" i="18"/>
  <c r="C23" i="24"/>
  <c r="D23" i="24"/>
  <c r="E23" i="24"/>
  <c r="F23" i="24"/>
  <c r="G23" i="24"/>
  <c r="H23" i="24"/>
  <c r="I23" i="24"/>
  <c r="J23" i="24"/>
  <c r="K23" i="24"/>
  <c r="L23" i="24"/>
  <c r="M23" i="24"/>
  <c r="H21" i="18"/>
  <c r="H110" i="18"/>
  <c r="C21" i="18"/>
  <c r="C110" i="18"/>
  <c r="R45" i="18"/>
  <c r="B11" i="18"/>
  <c r="G14" i="24"/>
  <c r="G32" i="24"/>
  <c r="O34" i="5"/>
  <c r="Q34" i="5"/>
  <c r="AB37" i="11"/>
  <c r="AD37" i="11"/>
  <c r="L9" i="6"/>
  <c r="M9" i="6"/>
  <c r="L8" i="6"/>
  <c r="M8" i="6"/>
  <c r="Q22" i="5"/>
  <c r="Q27" i="5"/>
  <c r="O43" i="5"/>
  <c r="Q73" i="5"/>
  <c r="O58" i="5"/>
  <c r="M49" i="5"/>
  <c r="M45" i="5"/>
  <c r="M41" i="5"/>
  <c r="M37" i="5"/>
  <c r="M21" i="5"/>
  <c r="M17" i="5"/>
  <c r="M28" i="5"/>
  <c r="M35" i="5"/>
  <c r="M7" i="5"/>
  <c r="M30" i="5"/>
  <c r="M9" i="5"/>
  <c r="M83" i="5"/>
  <c r="M152" i="5"/>
  <c r="M120" i="5"/>
  <c r="M92" i="5"/>
  <c r="M124" i="5"/>
  <c r="M88" i="5"/>
  <c r="M72" i="5"/>
  <c r="M138" i="5"/>
  <c r="M106" i="5"/>
  <c r="M76" i="5"/>
  <c r="O76" i="5"/>
  <c r="M59" i="5"/>
  <c r="M155" i="5"/>
  <c r="M123" i="5"/>
  <c r="M91" i="5"/>
  <c r="M75" i="5"/>
  <c r="O75" i="5"/>
  <c r="M105" i="5"/>
  <c r="M97" i="5"/>
  <c r="M145" i="5"/>
  <c r="M133" i="5"/>
  <c r="O22" i="5"/>
  <c r="M48" i="5"/>
  <c r="M44" i="5"/>
  <c r="M40" i="5"/>
  <c r="M33" i="5"/>
  <c r="M20" i="5"/>
  <c r="M16" i="5"/>
  <c r="M24" i="5"/>
  <c r="M25" i="5"/>
  <c r="M6" i="5"/>
  <c r="M31" i="5"/>
  <c r="M26" i="5"/>
  <c r="M11" i="5"/>
  <c r="M79" i="5"/>
  <c r="M77" i="5"/>
  <c r="O77" i="5"/>
  <c r="M63" i="5"/>
  <c r="M144" i="5"/>
  <c r="M112" i="5"/>
  <c r="M84" i="5"/>
  <c r="M148" i="5"/>
  <c r="M116" i="5"/>
  <c r="M80" i="5"/>
  <c r="Q66" i="5"/>
  <c r="F1" i="6"/>
  <c r="M150" i="5"/>
  <c r="M134" i="5"/>
  <c r="M118" i="5"/>
  <c r="M102" i="5"/>
  <c r="M86" i="5"/>
  <c r="Q62" i="5"/>
  <c r="M56" i="5"/>
  <c r="M151" i="5"/>
  <c r="M135" i="5"/>
  <c r="M119" i="5"/>
  <c r="M103" i="5"/>
  <c r="M87" i="5"/>
  <c r="M109" i="5"/>
  <c r="M121" i="5"/>
  <c r="M67" i="5"/>
  <c r="M149" i="5"/>
  <c r="M113" i="5"/>
  <c r="M54" i="5"/>
  <c r="M57" i="5"/>
  <c r="AF27" i="11"/>
  <c r="AB19" i="11"/>
  <c r="AD19" i="11"/>
  <c r="AB27" i="11"/>
  <c r="AD27" i="11"/>
  <c r="AB35" i="11"/>
  <c r="AD35" i="11"/>
  <c r="AF15" i="11"/>
  <c r="AF35" i="11"/>
  <c r="AF31" i="11"/>
  <c r="AF24" i="11"/>
  <c r="AF21" i="11"/>
  <c r="R61" i="11"/>
  <c r="T266" i="11"/>
  <c r="Q8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C9" i="20"/>
  <c r="H7" i="1"/>
  <c r="Y33" i="4"/>
  <c r="Z33" i="4"/>
  <c r="M50" i="5"/>
  <c r="M46" i="5"/>
  <c r="M42" i="5"/>
  <c r="M38" i="5"/>
  <c r="M23" i="5"/>
  <c r="M18" i="5"/>
  <c r="M36" i="5"/>
  <c r="M29" i="5"/>
  <c r="M51" i="5"/>
  <c r="M8" i="5"/>
  <c r="M78" i="5"/>
  <c r="O78" i="5"/>
  <c r="M71" i="5"/>
  <c r="M156" i="5"/>
  <c r="M128" i="5"/>
  <c r="M96" i="5"/>
  <c r="M65" i="5"/>
  <c r="M132" i="5"/>
  <c r="M100" i="5"/>
  <c r="M74" i="5"/>
  <c r="M64" i="5"/>
  <c r="E1" i="6"/>
  <c r="I10" i="6"/>
  <c r="L10" i="6"/>
  <c r="M10" i="6"/>
  <c r="J8" i="6"/>
  <c r="M142" i="5"/>
  <c r="M126" i="5"/>
  <c r="M110" i="5"/>
  <c r="M94" i="5"/>
  <c r="M69" i="5"/>
  <c r="M61" i="5"/>
  <c r="M143" i="5"/>
  <c r="M127" i="5"/>
  <c r="M111" i="5"/>
  <c r="M95" i="5"/>
  <c r="M141" i="5"/>
  <c r="M55" i="5"/>
  <c r="M137" i="5"/>
  <c r="M129" i="5"/>
  <c r="M85" i="5"/>
  <c r="M154" i="5"/>
  <c r="AF29" i="11"/>
  <c r="AB15" i="11"/>
  <c r="AD15" i="11"/>
  <c r="AB23" i="11"/>
  <c r="AD23" i="11"/>
  <c r="AB31" i="11"/>
  <c r="AD31" i="11"/>
  <c r="AF22" i="11"/>
  <c r="AF37" i="11"/>
  <c r="AF33" i="11"/>
  <c r="AF26" i="11"/>
  <c r="P7" i="28"/>
  <c r="C9" i="28"/>
  <c r="M122" i="5"/>
  <c r="M90" i="5"/>
  <c r="M68" i="5"/>
  <c r="M139" i="5"/>
  <c r="M107" i="5"/>
  <c r="AB17" i="11"/>
  <c r="AD17" i="11"/>
  <c r="G17" i="24"/>
  <c r="G33" i="24"/>
  <c r="J35" i="4"/>
  <c r="C37" i="4" a="1"/>
  <c r="C37" i="4"/>
  <c r="C13" i="4" a="1"/>
  <c r="C13" i="4"/>
  <c r="B53" i="18"/>
  <c r="E22" i="18"/>
  <c r="E111" i="18"/>
  <c r="C35" i="4"/>
  <c r="E17" i="24"/>
  <c r="E33" i="24"/>
  <c r="I13" i="24"/>
  <c r="I17" i="24"/>
  <c r="I33" i="24"/>
  <c r="F12" i="24"/>
  <c r="F15" i="24"/>
  <c r="K14" i="24"/>
  <c r="K32" i="24"/>
  <c r="E12" i="24"/>
  <c r="E15" i="24"/>
  <c r="E20" i="24"/>
  <c r="E25" i="24"/>
  <c r="M35" i="4"/>
  <c r="N35" i="4"/>
  <c r="E33" i="4"/>
  <c r="E13" i="4"/>
  <c r="B111" i="18"/>
  <c r="AH26" i="5"/>
  <c r="AI25" i="5"/>
  <c r="AI30" i="5"/>
  <c r="AH28" i="5"/>
  <c r="AI28" i="5"/>
  <c r="AH25" i="5"/>
  <c r="AH23" i="5"/>
  <c r="AI26" i="5"/>
  <c r="B52" i="18"/>
  <c r="C52" i="18"/>
  <c r="I53" i="18"/>
  <c r="I153" i="18"/>
  <c r="O251" i="18"/>
  <c r="L53" i="18"/>
  <c r="L153" i="18"/>
  <c r="C22" i="18"/>
  <c r="C111" i="18"/>
  <c r="C260" i="18"/>
  <c r="H22" i="18"/>
  <c r="H111" i="18"/>
  <c r="H248" i="18"/>
  <c r="F21" i="18"/>
  <c r="F110" i="18"/>
  <c r="F117" i="18"/>
  <c r="G21" i="18"/>
  <c r="G110" i="18"/>
  <c r="G251" i="18"/>
  <c r="J21" i="18"/>
  <c r="J110" i="18"/>
  <c r="J251" i="18"/>
  <c r="B110" i="18"/>
  <c r="B251" i="18"/>
  <c r="F53" i="18"/>
  <c r="F153" i="18"/>
  <c r="L21" i="18"/>
  <c r="L110" i="18"/>
  <c r="L251" i="18"/>
  <c r="F22" i="18"/>
  <c r="F111" i="18"/>
  <c r="D22" i="18"/>
  <c r="D111" i="18"/>
  <c r="I21" i="18"/>
  <c r="I110" i="18"/>
  <c r="I248" i="18"/>
  <c r="H53" i="18"/>
  <c r="H153" i="18"/>
  <c r="K22" i="18"/>
  <c r="K111" i="18"/>
  <c r="C216" i="18"/>
  <c r="L22" i="18"/>
  <c r="L111" i="18"/>
  <c r="K21" i="18"/>
  <c r="K110" i="18"/>
  <c r="K117" i="18"/>
  <c r="J53" i="18"/>
  <c r="J153" i="18"/>
  <c r="J22" i="18"/>
  <c r="J111" i="18"/>
  <c r="G22" i="18"/>
  <c r="G111" i="18"/>
  <c r="D21" i="18"/>
  <c r="D110" i="18"/>
  <c r="E248" i="18"/>
  <c r="E251" i="18"/>
  <c r="E242" i="18"/>
  <c r="E254" i="18"/>
  <c r="E260" i="18"/>
  <c r="I242" i="18"/>
  <c r="I254" i="18"/>
  <c r="D53" i="18"/>
  <c r="D153" i="18"/>
  <c r="K53" i="18"/>
  <c r="K153" i="18"/>
  <c r="H25" i="18"/>
  <c r="H30" i="18"/>
  <c r="H127" i="18"/>
  <c r="H133" i="18"/>
  <c r="I14" i="24"/>
  <c r="I32" i="24"/>
  <c r="J14" i="24"/>
  <c r="J32" i="24"/>
  <c r="H17" i="24"/>
  <c r="H33" i="24"/>
  <c r="L14" i="24"/>
  <c r="L32" i="24"/>
  <c r="M14" i="24"/>
  <c r="M32" i="24"/>
  <c r="D14" i="24"/>
  <c r="D32" i="24"/>
  <c r="K17" i="24"/>
  <c r="K33" i="24"/>
  <c r="L12" i="24"/>
  <c r="L15" i="24"/>
  <c r="L20" i="24"/>
  <c r="L25" i="24"/>
  <c r="E14" i="24"/>
  <c r="E32" i="24"/>
  <c r="F14" i="24"/>
  <c r="F32" i="24"/>
  <c r="AI27" i="5"/>
  <c r="AI24" i="5"/>
  <c r="AH27" i="5"/>
  <c r="AI29" i="5"/>
  <c r="AH29" i="5"/>
  <c r="AH24" i="5"/>
  <c r="C35" i="24"/>
  <c r="C39" i="24"/>
  <c r="B25" i="18"/>
  <c r="C117" i="18"/>
  <c r="D117" i="18"/>
  <c r="B70" i="18"/>
  <c r="B181" i="18"/>
  <c r="G39" i="18"/>
  <c r="G70" i="18"/>
  <c r="G181" i="18"/>
  <c r="I39" i="18"/>
  <c r="I70" i="18"/>
  <c r="I181" i="18"/>
  <c r="B139" i="18"/>
  <c r="I13" i="22"/>
  <c r="B37" i="18"/>
  <c r="B59" i="18"/>
  <c r="I22" i="22"/>
  <c r="D28" i="18"/>
  <c r="E70" i="18"/>
  <c r="E181" i="18"/>
  <c r="E139" i="18"/>
  <c r="H39" i="18"/>
  <c r="F39" i="18"/>
  <c r="L39" i="18"/>
  <c r="C39" i="18"/>
  <c r="J39" i="18"/>
  <c r="D39" i="18"/>
  <c r="K39" i="18"/>
  <c r="H251" i="18"/>
  <c r="E25" i="18"/>
  <c r="E117" i="18"/>
  <c r="F20" i="24"/>
  <c r="F25" i="24"/>
  <c r="H117" i="18"/>
  <c r="C20" i="24"/>
  <c r="C25" i="24"/>
  <c r="C251" i="18"/>
  <c r="C248" i="18"/>
  <c r="C25" i="18"/>
  <c r="K20" i="24"/>
  <c r="K25" i="24"/>
  <c r="D20" i="24"/>
  <c r="D25" i="24"/>
  <c r="B153" i="18"/>
  <c r="G53" i="18"/>
  <c r="G153" i="18"/>
  <c r="G20" i="24"/>
  <c r="G25" i="24"/>
  <c r="J17" i="24"/>
  <c r="J33" i="24"/>
  <c r="I16" i="24"/>
  <c r="Q10" i="1"/>
  <c r="Q11" i="1"/>
  <c r="Q12" i="1"/>
  <c r="M17" i="24"/>
  <c r="M33" i="24"/>
  <c r="M16" i="24"/>
  <c r="D17" i="24"/>
  <c r="D33" i="24"/>
  <c r="H12" i="24"/>
  <c r="H15" i="24"/>
  <c r="H20" i="24"/>
  <c r="H25" i="24"/>
  <c r="L13" i="24"/>
  <c r="M12" i="24"/>
  <c r="M15" i="24"/>
  <c r="M20" i="24"/>
  <c r="M25" i="24"/>
  <c r="I12" i="24"/>
  <c r="I15" i="24"/>
  <c r="I20" i="24"/>
  <c r="I25" i="24"/>
  <c r="J12" i="24"/>
  <c r="J15" i="24"/>
  <c r="J20" i="24"/>
  <c r="J25" i="24"/>
  <c r="Y30" i="4"/>
  <c r="D25" i="1"/>
  <c r="D21" i="1"/>
  <c r="R18" i="18"/>
  <c r="R31" i="18"/>
  <c r="Y32" i="4"/>
  <c r="Z32" i="4"/>
  <c r="Y31" i="4"/>
  <c r="Z31" i="4"/>
  <c r="Q31" i="4"/>
  <c r="E31" i="4"/>
  <c r="G26" i="4"/>
  <c r="E35" i="4"/>
  <c r="D9" i="1"/>
  <c r="D11" i="1"/>
  <c r="R11" i="18"/>
  <c r="R23" i="18"/>
  <c r="D10" i="1"/>
  <c r="D13" i="4"/>
  <c r="C14" i="4" a="1"/>
  <c r="D16" i="4"/>
  <c r="E32" i="4"/>
  <c r="L57" i="4"/>
  <c r="K57" i="4"/>
  <c r="N57" i="4"/>
  <c r="N46" i="4"/>
  <c r="Q42" i="4"/>
  <c r="M57" i="4"/>
  <c r="Q43" i="4"/>
  <c r="Q44" i="4"/>
  <c r="E37" i="4"/>
  <c r="D37" i="4"/>
  <c r="E252" i="18"/>
  <c r="D25" i="18"/>
  <c r="C41" i="24"/>
  <c r="K41" i="24"/>
  <c r="P15" i="1"/>
  <c r="K52" i="18"/>
  <c r="K152" i="18"/>
  <c r="K159" i="18"/>
  <c r="I52" i="18"/>
  <c r="J248" i="18"/>
  <c r="J52" i="30"/>
  <c r="H260" i="18"/>
  <c r="O61" i="5"/>
  <c r="Q61" i="5"/>
  <c r="Q51" i="5"/>
  <c r="O51" i="5"/>
  <c r="Q23" i="5"/>
  <c r="O23" i="5"/>
  <c r="O50" i="5"/>
  <c r="Q50" i="5"/>
  <c r="Q54" i="5"/>
  <c r="O54" i="5"/>
  <c r="Q48" i="5"/>
  <c r="O48" i="5"/>
  <c r="Q35" i="5"/>
  <c r="O35" i="5"/>
  <c r="O37" i="5"/>
  <c r="Q37" i="5"/>
  <c r="Q8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O69" i="5"/>
  <c r="Q69" i="5"/>
  <c r="O64" i="5"/>
  <c r="Q64" i="5"/>
  <c r="O65" i="5"/>
  <c r="Q65" i="5"/>
  <c r="O71" i="5"/>
  <c r="Q71" i="5"/>
  <c r="O29" i="5"/>
  <c r="Q29" i="5"/>
  <c r="Q38" i="5"/>
  <c r="O38" i="5"/>
  <c r="O25" i="5"/>
  <c r="Q25" i="5"/>
  <c r="O33" i="5"/>
  <c r="Q33" i="5"/>
  <c r="O28" i="5"/>
  <c r="Q28" i="5"/>
  <c r="Q41" i="5"/>
  <c r="O41" i="5"/>
  <c r="J260" i="18"/>
  <c r="O68" i="5"/>
  <c r="Q68" i="5"/>
  <c r="Q55" i="5"/>
  <c r="O55" i="5"/>
  <c r="Q74" i="5"/>
  <c r="O74" i="5"/>
  <c r="Q36" i="5"/>
  <c r="O36" i="5"/>
  <c r="Q42" i="5"/>
  <c r="O42" i="5"/>
  <c r="Q63" i="5"/>
  <c r="O63" i="5"/>
  <c r="O26" i="5"/>
  <c r="Q26" i="5"/>
  <c r="O24" i="5"/>
  <c r="Q24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Q40" i="5"/>
  <c r="O40" i="5"/>
  <c r="Q59" i="5"/>
  <c r="O59" i="5"/>
  <c r="Q72" i="5"/>
  <c r="O72" i="5"/>
  <c r="Q30" i="5"/>
  <c r="O30" i="5"/>
  <c r="O45" i="5"/>
  <c r="Q45" i="5"/>
  <c r="Q46" i="5"/>
  <c r="O46" i="5"/>
  <c r="O57" i="5"/>
  <c r="Q57" i="5"/>
  <c r="O67" i="5"/>
  <c r="Q67" i="5"/>
  <c r="Q56" i="5"/>
  <c r="O56" i="5"/>
  <c r="O31" i="5"/>
  <c r="Q31" i="5"/>
  <c r="O44" i="5"/>
  <c r="Q44" i="5"/>
  <c r="Q49" i="5"/>
  <c r="O49" i="5"/>
  <c r="C57" i="4" a="1"/>
  <c r="C56" i="4" a="1"/>
  <c r="H52" i="18"/>
  <c r="H152" i="18"/>
  <c r="H159" i="18"/>
  <c r="F251" i="18"/>
  <c r="I25" i="18"/>
  <c r="I117" i="18"/>
  <c r="I116" i="18"/>
  <c r="F25" i="18"/>
  <c r="F30" i="18"/>
  <c r="F248" i="18"/>
  <c r="L117" i="18"/>
  <c r="L252" i="18"/>
  <c r="G25" i="18"/>
  <c r="G30" i="18"/>
  <c r="G127" i="18"/>
  <c r="G133" i="18"/>
  <c r="L25" i="18"/>
  <c r="C36" i="4" a="1"/>
  <c r="E36" i="4"/>
  <c r="D242" i="18"/>
  <c r="D254" i="18"/>
  <c r="B117" i="18"/>
  <c r="H242" i="18"/>
  <c r="H254" i="18"/>
  <c r="G52" i="18"/>
  <c r="G152" i="18"/>
  <c r="G159" i="18"/>
  <c r="C53" i="18"/>
  <c r="C153" i="18"/>
  <c r="E53" i="18"/>
  <c r="E153" i="18"/>
  <c r="G117" i="18"/>
  <c r="G252" i="18"/>
  <c r="C152" i="18"/>
  <c r="C159" i="18"/>
  <c r="C56" i="18"/>
  <c r="C61" i="18"/>
  <c r="C168" i="18"/>
  <c r="B56" i="18"/>
  <c r="B61" i="18"/>
  <c r="B168" i="18"/>
  <c r="B152" i="18"/>
  <c r="B159" i="18"/>
  <c r="L52" i="18"/>
  <c r="L152" i="18"/>
  <c r="L159" i="18"/>
  <c r="J117" i="18"/>
  <c r="J252" i="18"/>
  <c r="G56" i="18"/>
  <c r="F260" i="18"/>
  <c r="J25" i="18"/>
  <c r="K25" i="18"/>
  <c r="K30" i="18"/>
  <c r="K127" i="18"/>
  <c r="K133" i="18"/>
  <c r="J52" i="18"/>
  <c r="J152" i="18"/>
  <c r="J159" i="18"/>
  <c r="F242" i="18"/>
  <c r="F254" i="18"/>
  <c r="J242" i="18"/>
  <c r="J254" i="18"/>
  <c r="V37" i="4" a="1"/>
  <c r="F3" i="23" a="1"/>
  <c r="F5" i="23"/>
  <c r="G248" i="18"/>
  <c r="L248" i="18"/>
  <c r="B260" i="18"/>
  <c r="I41" i="24"/>
  <c r="C252" i="18"/>
  <c r="L41" i="24"/>
  <c r="J41" i="24"/>
  <c r="C47" i="4" a="1"/>
  <c r="D47" i="4"/>
  <c r="I260" i="18"/>
  <c r="G260" i="18"/>
  <c r="I251" i="18"/>
  <c r="I252" i="18"/>
  <c r="G242" i="18"/>
  <c r="G254" i="18"/>
  <c r="B252" i="18"/>
  <c r="L242" i="18"/>
  <c r="L254" i="18"/>
  <c r="E41" i="24"/>
  <c r="D41" i="24"/>
  <c r="B242" i="18"/>
  <c r="B254" i="18"/>
  <c r="B248" i="18"/>
  <c r="F52" i="18"/>
  <c r="D52" i="18"/>
  <c r="E52" i="18"/>
  <c r="Z30" i="4"/>
  <c r="I139" i="18"/>
  <c r="M41" i="24"/>
  <c r="H41" i="24"/>
  <c r="G41" i="24"/>
  <c r="C242" i="18"/>
  <c r="C254" i="18"/>
  <c r="F41" i="24"/>
  <c r="G128" i="18"/>
  <c r="K248" i="18"/>
  <c r="K260" i="18"/>
  <c r="K251" i="18"/>
  <c r="K252" i="18"/>
  <c r="K242" i="18"/>
  <c r="K254" i="18"/>
  <c r="D248" i="18"/>
  <c r="D260" i="18"/>
  <c r="D251" i="18"/>
  <c r="D252" i="18"/>
  <c r="L260" i="18"/>
  <c r="B158" i="18"/>
  <c r="F10" i="23"/>
  <c r="G139" i="18"/>
  <c r="F127" i="18"/>
  <c r="F133" i="18"/>
  <c r="D30" i="18"/>
  <c r="D127" i="18"/>
  <c r="D133" i="18"/>
  <c r="D116" i="18"/>
  <c r="C158" i="18"/>
  <c r="B116" i="18"/>
  <c r="B93" i="18"/>
  <c r="B30" i="18"/>
  <c r="B137" i="18"/>
  <c r="C37" i="18"/>
  <c r="G37" i="18"/>
  <c r="E37" i="18"/>
  <c r="H37" i="18"/>
  <c r="D37" i="18"/>
  <c r="I37" i="18"/>
  <c r="K37" i="18"/>
  <c r="F37" i="18"/>
  <c r="B68" i="18"/>
  <c r="B179" i="18"/>
  <c r="J37" i="18"/>
  <c r="L37" i="18"/>
  <c r="E28" i="18"/>
  <c r="D59" i="18"/>
  <c r="D70" i="18"/>
  <c r="D181" i="18"/>
  <c r="D139" i="18"/>
  <c r="F139" i="18"/>
  <c r="F70" i="18"/>
  <c r="F181" i="18"/>
  <c r="J70" i="18"/>
  <c r="J181" i="18"/>
  <c r="J139" i="18"/>
  <c r="H70" i="18"/>
  <c r="H181" i="18"/>
  <c r="H139" i="18"/>
  <c r="C70" i="18"/>
  <c r="C181" i="18"/>
  <c r="C139" i="18"/>
  <c r="K70" i="18"/>
  <c r="K181" i="18"/>
  <c r="K139" i="18"/>
  <c r="L139" i="18"/>
  <c r="L70" i="18"/>
  <c r="L181" i="18"/>
  <c r="L56" i="18"/>
  <c r="E30" i="18"/>
  <c r="E116" i="18"/>
  <c r="L116" i="18"/>
  <c r="L30" i="18"/>
  <c r="F252" i="18"/>
  <c r="I152" i="18"/>
  <c r="I159" i="18"/>
  <c r="I56" i="18"/>
  <c r="C30" i="18"/>
  <c r="C116" i="18"/>
  <c r="K56" i="18"/>
  <c r="H252" i="18"/>
  <c r="H116" i="18"/>
  <c r="J30" i="18"/>
  <c r="F116" i="18"/>
  <c r="H128" i="18"/>
  <c r="G158" i="18"/>
  <c r="G61" i="18"/>
  <c r="G168" i="18"/>
  <c r="E16" i="22"/>
  <c r="L17" i="24"/>
  <c r="L33" i="24"/>
  <c r="L16" i="24"/>
  <c r="R10" i="1"/>
  <c r="R12" i="1"/>
  <c r="P17" i="1"/>
  <c r="R11" i="1"/>
  <c r="P16" i="1"/>
  <c r="D14" i="4"/>
  <c r="D15" i="4"/>
  <c r="C16" i="4"/>
  <c r="E15" i="4"/>
  <c r="E16" i="4"/>
  <c r="D36" i="4"/>
  <c r="C15" i="4"/>
  <c r="C14" i="4"/>
  <c r="E14" i="4"/>
  <c r="Q53" i="4"/>
  <c r="C36" i="4"/>
  <c r="Q32" i="4"/>
  <c r="Q33" i="4"/>
  <c r="F47" i="4"/>
  <c r="J56" i="18"/>
  <c r="J61" i="18"/>
  <c r="J168" i="18"/>
  <c r="F3" i="23"/>
  <c r="F8" i="23"/>
  <c r="K116" i="18"/>
  <c r="J116" i="18"/>
  <c r="I30" i="18"/>
  <c r="G116" i="18"/>
  <c r="K128" i="18"/>
  <c r="H56" i="18"/>
  <c r="H61" i="18"/>
  <c r="H168" i="18"/>
  <c r="F4" i="23"/>
  <c r="F12" i="23"/>
  <c r="F11" i="23"/>
  <c r="F7" i="23"/>
  <c r="F6" i="23"/>
  <c r="F9" i="23"/>
  <c r="E56" i="4"/>
  <c r="C56" i="4"/>
  <c r="F56" i="4"/>
  <c r="D56" i="4"/>
  <c r="F57" i="4"/>
  <c r="C57" i="4"/>
  <c r="D57" i="4"/>
  <c r="E57" i="4"/>
  <c r="C47" i="4"/>
  <c r="E47" i="4"/>
  <c r="C46" i="4" a="1"/>
  <c r="D46" i="4"/>
  <c r="C24" i="4" a="1"/>
  <c r="C24" i="4"/>
  <c r="Y37" i="4"/>
  <c r="X38" i="4"/>
  <c r="W39" i="4"/>
  <c r="V40" i="4"/>
  <c r="Z40" i="4"/>
  <c r="V37" i="4"/>
  <c r="W40" i="4"/>
  <c r="W37" i="4"/>
  <c r="V38" i="4"/>
  <c r="Z38" i="4"/>
  <c r="Y39" i="4"/>
  <c r="X40" i="4"/>
  <c r="X37" i="4"/>
  <c r="W38" i="4"/>
  <c r="V39" i="4"/>
  <c r="Z39" i="4"/>
  <c r="Y40" i="4"/>
  <c r="Z37" i="4"/>
  <c r="Y38" i="4"/>
  <c r="X39" i="4"/>
  <c r="C23" i="4" a="1"/>
  <c r="F23" i="4"/>
  <c r="D128" i="18"/>
  <c r="E152" i="18"/>
  <c r="E159" i="18"/>
  <c r="E56" i="18"/>
  <c r="D152" i="18"/>
  <c r="D159" i="18"/>
  <c r="D56" i="18"/>
  <c r="F152" i="18"/>
  <c r="F159" i="18"/>
  <c r="F56" i="18"/>
  <c r="J158" i="18"/>
  <c r="B127" i="18"/>
  <c r="B133" i="18"/>
  <c r="F128" i="18"/>
  <c r="L137" i="18"/>
  <c r="L68" i="18"/>
  <c r="L179" i="18"/>
  <c r="K137" i="18"/>
  <c r="K68" i="18"/>
  <c r="K179" i="18"/>
  <c r="E68" i="18"/>
  <c r="E179" i="18"/>
  <c r="E137" i="18"/>
  <c r="J137" i="18"/>
  <c r="J68" i="18"/>
  <c r="J179" i="18"/>
  <c r="I137" i="18"/>
  <c r="I68" i="18"/>
  <c r="I179" i="18"/>
  <c r="G68" i="18"/>
  <c r="G179" i="18"/>
  <c r="G137" i="18"/>
  <c r="D68" i="18"/>
  <c r="D179" i="18"/>
  <c r="D137" i="18"/>
  <c r="C68" i="18"/>
  <c r="C179" i="18"/>
  <c r="C137" i="18"/>
  <c r="F137" i="18"/>
  <c r="F68" i="18"/>
  <c r="F179" i="18"/>
  <c r="H68" i="18"/>
  <c r="H179" i="18"/>
  <c r="H137" i="18"/>
  <c r="E59" i="18"/>
  <c r="F28" i="18"/>
  <c r="J127" i="18"/>
  <c r="J133" i="18"/>
  <c r="C127" i="18"/>
  <c r="C133" i="18"/>
  <c r="L127" i="18"/>
  <c r="L133" i="18"/>
  <c r="I158" i="18"/>
  <c r="I61" i="18"/>
  <c r="I168" i="18"/>
  <c r="E127" i="18"/>
  <c r="E133" i="18"/>
  <c r="K61" i="18"/>
  <c r="K168" i="18"/>
  <c r="K158" i="18"/>
  <c r="L61" i="18"/>
  <c r="L168" i="18"/>
  <c r="L158" i="18"/>
  <c r="I127" i="18"/>
  <c r="I133" i="18"/>
  <c r="Q16" i="1"/>
  <c r="P22" i="1"/>
  <c r="Q22" i="1"/>
  <c r="Q17" i="1"/>
  <c r="P23" i="1"/>
  <c r="Q23" i="1"/>
  <c r="Q15" i="1"/>
  <c r="P21" i="1"/>
  <c r="Q21" i="1"/>
  <c r="C22" i="4" a="1"/>
  <c r="C52" i="4"/>
  <c r="H158" i="18"/>
  <c r="Y35" i="4"/>
  <c r="V45" i="4" a="1"/>
  <c r="X45" i="4"/>
  <c r="R21" i="1"/>
  <c r="R23" i="1"/>
  <c r="R22" i="1"/>
  <c r="W35" i="4"/>
  <c r="Z35" i="4"/>
  <c r="X35" i="4"/>
  <c r="C46" i="4"/>
  <c r="E46" i="4"/>
  <c r="F46" i="4"/>
  <c r="E24" i="4"/>
  <c r="F24" i="4"/>
  <c r="D24" i="4"/>
  <c r="V46" i="4" a="1"/>
  <c r="V43" i="4" a="1"/>
  <c r="D23" i="4"/>
  <c r="E23" i="4"/>
  <c r="C23" i="4"/>
  <c r="B128" i="18"/>
  <c r="D158" i="18"/>
  <c r="D61" i="18"/>
  <c r="D168" i="18"/>
  <c r="F158" i="18"/>
  <c r="F61" i="18"/>
  <c r="F168" i="18"/>
  <c r="E61" i="18"/>
  <c r="E168" i="18"/>
  <c r="E158" i="18"/>
  <c r="R17" i="1"/>
  <c r="C128" i="18"/>
  <c r="I128" i="18"/>
  <c r="E128" i="18"/>
  <c r="F59" i="18"/>
  <c r="G28" i="18"/>
  <c r="L128" i="18"/>
  <c r="J128" i="18"/>
  <c r="R15" i="1"/>
  <c r="R16" i="1"/>
  <c r="C22" i="4"/>
  <c r="E22" i="4"/>
  <c r="D22" i="4"/>
  <c r="F22" i="4"/>
  <c r="Y45" i="4"/>
  <c r="W45" i="4"/>
  <c r="V45" i="4"/>
  <c r="C51" i="4"/>
  <c r="D19" i="4"/>
  <c r="E19" i="4"/>
  <c r="V46" i="4"/>
  <c r="W46" i="4"/>
  <c r="X46" i="4"/>
  <c r="Y46" i="4"/>
  <c r="Y43" i="4"/>
  <c r="V43" i="4"/>
  <c r="W43" i="4"/>
  <c r="X43" i="4"/>
  <c r="F51" i="30"/>
  <c r="G59" i="18"/>
  <c r="H28" i="18"/>
  <c r="C19" i="4"/>
  <c r="AB40" i="4"/>
  <c r="H59" i="18"/>
  <c r="I28" i="18"/>
  <c r="H51" i="30"/>
  <c r="H52" i="30"/>
  <c r="I59" i="18"/>
  <c r="J28" i="18"/>
  <c r="T52" i="30"/>
  <c r="F20" i="23" a="1"/>
  <c r="J59" i="18"/>
  <c r="K28" i="18"/>
  <c r="F24" i="23"/>
  <c r="F27" i="23"/>
  <c r="F29" i="23"/>
  <c r="F26" i="23"/>
  <c r="F20" i="23"/>
  <c r="F21" i="23"/>
  <c r="F23" i="23"/>
  <c r="F28" i="23"/>
  <c r="F22" i="23"/>
  <c r="F25" i="23"/>
  <c r="K59" i="18"/>
  <c r="L28" i="18"/>
  <c r="L59" i="18"/>
  <c r="D20" i="23" a="1"/>
  <c r="D3" i="23" a="1"/>
  <c r="D7" i="23"/>
  <c r="D21" i="23"/>
  <c r="D24" i="23"/>
  <c r="D22" i="23"/>
  <c r="D23" i="23"/>
  <c r="D28" i="23"/>
  <c r="D27" i="23"/>
  <c r="D25" i="23"/>
  <c r="D26" i="23"/>
  <c r="D29" i="23"/>
  <c r="D20" i="23"/>
  <c r="D10" i="23"/>
  <c r="D8" i="23"/>
  <c r="D9" i="23"/>
  <c r="D5" i="23"/>
  <c r="D11" i="23"/>
  <c r="D4" i="23"/>
  <c r="D3" i="23"/>
  <c r="D6" i="23"/>
  <c r="D12" i="23"/>
  <c r="H95" i="18"/>
  <c r="C48" i="4" a="1"/>
  <c r="F48" i="4"/>
  <c r="D48" i="4"/>
  <c r="E48" i="4"/>
  <c r="C48" i="4"/>
  <c r="C53" i="4"/>
  <c r="E20" i="22"/>
  <c r="O51" i="30"/>
  <c r="E7" i="22"/>
  <c r="E8" i="22"/>
  <c r="E22" i="22"/>
  <c r="D51" i="30"/>
  <c r="E12" i="22"/>
  <c r="E11" i="22"/>
  <c r="D52" i="30"/>
  <c r="V44" i="4" a="1"/>
  <c r="X44" i="4"/>
  <c r="V44" i="4"/>
  <c r="Y44" i="4"/>
  <c r="W44" i="4"/>
  <c r="AB39" i="4"/>
  <c r="AB41" i="4"/>
  <c r="C32" i="24"/>
  <c r="C40" i="24"/>
  <c r="C10" i="29"/>
  <c r="C13" i="29"/>
  <c r="C15" i="29"/>
  <c r="F52" i="30"/>
  <c r="R7" i="18"/>
  <c r="R49" i="18"/>
  <c r="R53" i="18"/>
  <c r="R54" i="18"/>
  <c r="O52" i="30"/>
  <c r="Q52" i="30"/>
  <c r="B15" i="18"/>
  <c r="N243" i="18"/>
  <c r="E20" i="23" a="1"/>
  <c r="E3" i="23" a="1"/>
  <c r="E26" i="23"/>
  <c r="E29" i="23"/>
  <c r="E22" i="23"/>
  <c r="E28" i="23"/>
  <c r="E20" i="23"/>
  <c r="E24" i="23"/>
  <c r="E21" i="23"/>
  <c r="E25" i="23"/>
  <c r="E27" i="23"/>
  <c r="E23" i="23"/>
  <c r="E7" i="23"/>
  <c r="E9" i="23"/>
  <c r="E5" i="23"/>
  <c r="E11" i="23"/>
  <c r="E8" i="23"/>
  <c r="E12" i="23"/>
  <c r="E10" i="23"/>
  <c r="E6" i="23"/>
  <c r="E3" i="23"/>
  <c r="E4" i="23"/>
  <c r="B51" i="30"/>
  <c r="B52" i="30"/>
  <c r="D34" i="24"/>
  <c r="D35" i="24"/>
  <c r="D39" i="24"/>
  <c r="E34" i="24"/>
  <c r="E38" i="24"/>
  <c r="E42" i="24"/>
  <c r="F34" i="24"/>
  <c r="F38" i="24"/>
  <c r="F42" i="24"/>
  <c r="G34" i="24"/>
  <c r="G36" i="24"/>
  <c r="H34" i="24"/>
  <c r="H35" i="24"/>
  <c r="H39" i="24"/>
  <c r="I34" i="24"/>
  <c r="I36" i="24"/>
  <c r="J34" i="24"/>
  <c r="J38" i="24"/>
  <c r="J42" i="24"/>
  <c r="K34" i="24"/>
  <c r="K40" i="24"/>
  <c r="L34" i="24"/>
  <c r="L35" i="24"/>
  <c r="L39" i="24"/>
  <c r="M34" i="24"/>
  <c r="M38" i="24"/>
  <c r="M42" i="24"/>
  <c r="C38" i="24"/>
  <c r="C42" i="24"/>
  <c r="H93" i="18"/>
  <c r="I40" i="24"/>
  <c r="E35" i="24"/>
  <c r="E39" i="24"/>
  <c r="M36" i="24"/>
  <c r="G35" i="24"/>
  <c r="G39" i="24"/>
  <c r="G40" i="24"/>
  <c r="K36" i="24"/>
  <c r="K38" i="24"/>
  <c r="K42" i="24"/>
  <c r="K35" i="24"/>
  <c r="K39" i="24"/>
  <c r="G38" i="24"/>
  <c r="G42" i="24"/>
  <c r="D36" i="24"/>
  <c r="H36" i="24"/>
  <c r="J35" i="24"/>
  <c r="J39" i="24"/>
  <c r="I38" i="24"/>
  <c r="I42" i="24"/>
  <c r="E36" i="24"/>
  <c r="I35" i="24"/>
  <c r="I39" i="24"/>
  <c r="M35" i="24"/>
  <c r="M39" i="24"/>
  <c r="M40" i="24"/>
  <c r="E40" i="24"/>
  <c r="J36" i="24"/>
  <c r="F36" i="24"/>
  <c r="F35" i="24"/>
  <c r="F39" i="24"/>
  <c r="L36" i="24"/>
  <c r="C3" i="23" a="1"/>
  <c r="C3" i="23"/>
  <c r="G3" i="23"/>
  <c r="L40" i="24"/>
  <c r="H40" i="24"/>
  <c r="D40" i="24"/>
  <c r="L38" i="24"/>
  <c r="L42" i="24"/>
  <c r="H38" i="24"/>
  <c r="H42" i="24"/>
  <c r="D38" i="24"/>
  <c r="D42" i="24"/>
  <c r="J40" i="24"/>
  <c r="F40" i="24"/>
  <c r="C5" i="23"/>
  <c r="G5" i="23"/>
  <c r="C7" i="23"/>
  <c r="G7" i="23"/>
  <c r="C9" i="23"/>
  <c r="G9" i="23"/>
  <c r="C11" i="23"/>
  <c r="G11" i="23"/>
  <c r="C4" i="23"/>
  <c r="G4" i="23"/>
  <c r="C10" i="23"/>
  <c r="G10" i="23"/>
  <c r="C6" i="23"/>
  <c r="G6" i="23"/>
  <c r="C8" i="23"/>
  <c r="G8" i="23"/>
  <c r="C12" i="23"/>
  <c r="G12" i="23"/>
  <c r="M52" i="30"/>
  <c r="C20" i="23" a="1"/>
  <c r="C20" i="23"/>
  <c r="G20" i="23"/>
  <c r="H20" i="23"/>
  <c r="I20" i="23"/>
  <c r="C21" i="23"/>
  <c r="G21" i="23"/>
  <c r="H21" i="23"/>
  <c r="C22" i="23"/>
  <c r="G22" i="23"/>
  <c r="H22" i="23"/>
  <c r="C23" i="23"/>
  <c r="G23" i="23"/>
  <c r="H23" i="23"/>
  <c r="C24" i="23"/>
  <c r="G24" i="23"/>
  <c r="H24" i="23"/>
  <c r="C25" i="23"/>
  <c r="G25" i="23"/>
  <c r="H25" i="23"/>
  <c r="C26" i="23"/>
  <c r="G26" i="23"/>
  <c r="H26" i="23"/>
  <c r="C27" i="23"/>
  <c r="G27" i="23"/>
  <c r="H27" i="23"/>
  <c r="C28" i="23"/>
  <c r="G28" i="23"/>
  <c r="H28" i="23"/>
  <c r="C29" i="23"/>
  <c r="G29" i="23"/>
  <c r="H29" i="23"/>
  <c r="I21" i="23"/>
  <c r="I22" i="23"/>
  <c r="I23" i="23"/>
  <c r="I24" i="23"/>
  <c r="I25" i="23"/>
  <c r="I26" i="23"/>
  <c r="I27" i="23"/>
  <c r="I28" i="23"/>
  <c r="I29" i="23"/>
  <c r="I14" i="22"/>
  <c r="L6" i="1"/>
  <c r="C19" i="24"/>
  <c r="D19" i="24"/>
  <c r="E19" i="24"/>
  <c r="F19" i="24"/>
  <c r="G19" i="24"/>
  <c r="H19" i="24"/>
  <c r="I19" i="24"/>
  <c r="J19" i="24"/>
  <c r="K19" i="24"/>
  <c r="L19" i="24"/>
  <c r="M19" i="24"/>
  <c r="C21" i="24"/>
  <c r="D21" i="24"/>
  <c r="E21" i="24"/>
  <c r="F21" i="24"/>
  <c r="G21" i="24"/>
  <c r="H21" i="24"/>
  <c r="I21" i="24"/>
  <c r="J21" i="24"/>
  <c r="K21" i="24"/>
  <c r="L21" i="24"/>
  <c r="M21" i="24"/>
  <c r="C24" i="24"/>
  <c r="D24" i="24"/>
  <c r="E24" i="24"/>
  <c r="F24" i="24"/>
  <c r="G24" i="24"/>
  <c r="H24" i="24"/>
  <c r="I24" i="24"/>
  <c r="J24" i="24"/>
  <c r="K24" i="24"/>
  <c r="L24" i="24"/>
  <c r="M24" i="24"/>
  <c r="C26" i="24"/>
  <c r="D26" i="24"/>
  <c r="E26" i="24"/>
  <c r="F26" i="24"/>
  <c r="G26" i="24"/>
  <c r="H26" i="24"/>
  <c r="I26" i="24"/>
  <c r="J26" i="24"/>
  <c r="K26" i="24"/>
  <c r="L26" i="24"/>
  <c r="M26" i="24"/>
  <c r="C28" i="24"/>
  <c r="D28" i="24"/>
  <c r="E28" i="24"/>
  <c r="F28" i="24"/>
  <c r="G28" i="24"/>
  <c r="H28" i="24"/>
  <c r="I28" i="24"/>
  <c r="J28" i="24"/>
  <c r="K28" i="24"/>
  <c r="L28" i="24"/>
  <c r="M28" i="24"/>
  <c r="C44" i="24"/>
  <c r="D44" i="24"/>
  <c r="E44" i="24"/>
  <c r="F44" i="24"/>
  <c r="G44" i="24"/>
  <c r="H44" i="24"/>
  <c r="I44" i="24"/>
  <c r="J44" i="24"/>
  <c r="K44" i="24"/>
  <c r="L44" i="24"/>
  <c r="M44" i="24"/>
  <c r="B6" i="18"/>
  <c r="B7" i="18"/>
  <c r="B8" i="18"/>
  <c r="R13" i="18"/>
  <c r="R20" i="18"/>
  <c r="B24" i="18"/>
  <c r="C24" i="18"/>
  <c r="D24" i="18"/>
  <c r="E24" i="18"/>
  <c r="F24" i="18"/>
  <c r="G24" i="18"/>
  <c r="H24" i="18"/>
  <c r="I24" i="18"/>
  <c r="J24" i="18"/>
  <c r="K24" i="18"/>
  <c r="L24" i="18"/>
  <c r="R24" i="18"/>
  <c r="B26" i="18"/>
  <c r="C26" i="18"/>
  <c r="D26" i="18"/>
  <c r="E26" i="18"/>
  <c r="F26" i="18"/>
  <c r="G26" i="18"/>
  <c r="H26" i="18"/>
  <c r="I26" i="18"/>
  <c r="J26" i="18"/>
  <c r="K26" i="18"/>
  <c r="L26" i="18"/>
  <c r="R26" i="18"/>
  <c r="R27" i="18"/>
  <c r="B29" i="18"/>
  <c r="C29" i="18"/>
  <c r="D29" i="18"/>
  <c r="E29" i="18"/>
  <c r="F29" i="18"/>
  <c r="G29" i="18"/>
  <c r="H29" i="18"/>
  <c r="I29" i="18"/>
  <c r="J29" i="18"/>
  <c r="K29" i="18"/>
  <c r="L29" i="18"/>
  <c r="B31" i="18"/>
  <c r="C31" i="18"/>
  <c r="D31" i="18"/>
  <c r="E31" i="18"/>
  <c r="F31" i="18"/>
  <c r="G31" i="18"/>
  <c r="H31" i="18"/>
  <c r="I31" i="18"/>
  <c r="J31" i="18"/>
  <c r="K31" i="18"/>
  <c r="L31" i="18"/>
  <c r="B32" i="18"/>
  <c r="C32" i="18"/>
  <c r="D32" i="18"/>
  <c r="E32" i="18"/>
  <c r="F32" i="18"/>
  <c r="G32" i="18"/>
  <c r="H32" i="18"/>
  <c r="I32" i="18"/>
  <c r="J32" i="18"/>
  <c r="K32" i="18"/>
  <c r="L32" i="18"/>
  <c r="R32" i="18"/>
  <c r="B34" i="18"/>
  <c r="C34" i="18"/>
  <c r="D34" i="18"/>
  <c r="E34" i="18"/>
  <c r="F34" i="18"/>
  <c r="G34" i="18"/>
  <c r="H34" i="18"/>
  <c r="I34" i="18"/>
  <c r="J34" i="18"/>
  <c r="K34" i="18"/>
  <c r="L34" i="18"/>
  <c r="R34" i="18"/>
  <c r="B35" i="18"/>
  <c r="C35" i="18"/>
  <c r="D35" i="18"/>
  <c r="E35" i="18"/>
  <c r="F35" i="18"/>
  <c r="G35" i="18"/>
  <c r="H35" i="18"/>
  <c r="I35" i="18"/>
  <c r="J35" i="18"/>
  <c r="K35" i="18"/>
  <c r="L35" i="18"/>
  <c r="B36" i="18"/>
  <c r="C36" i="18"/>
  <c r="D36" i="18"/>
  <c r="E36" i="18"/>
  <c r="F36" i="18"/>
  <c r="G36" i="18"/>
  <c r="H36" i="18"/>
  <c r="I36" i="18"/>
  <c r="J36" i="18"/>
  <c r="K36" i="18"/>
  <c r="L36" i="18"/>
  <c r="R36" i="18"/>
  <c r="R37" i="18"/>
  <c r="B38" i="18"/>
  <c r="C38" i="18"/>
  <c r="D38" i="18"/>
  <c r="E38" i="18"/>
  <c r="F38" i="18"/>
  <c r="G38" i="18"/>
  <c r="H38" i="18"/>
  <c r="I38" i="18"/>
  <c r="J38" i="18"/>
  <c r="K38" i="18"/>
  <c r="L38" i="18"/>
  <c r="B40" i="18"/>
  <c r="C40" i="18"/>
  <c r="D40" i="18"/>
  <c r="E40" i="18"/>
  <c r="F40" i="18"/>
  <c r="G40" i="18"/>
  <c r="H40" i="18"/>
  <c r="I40" i="18"/>
  <c r="J40" i="18"/>
  <c r="K40" i="18"/>
  <c r="L40" i="18"/>
  <c r="B42" i="18"/>
  <c r="C42" i="18"/>
  <c r="D42" i="18"/>
  <c r="E42" i="18"/>
  <c r="F42" i="18"/>
  <c r="G42" i="18"/>
  <c r="H42" i="18"/>
  <c r="I42" i="18"/>
  <c r="J42" i="18"/>
  <c r="K42" i="18"/>
  <c r="L42" i="18"/>
  <c r="C46" i="18"/>
  <c r="D46" i="18"/>
  <c r="E46" i="18"/>
  <c r="F46" i="18"/>
  <c r="G46" i="18"/>
  <c r="H46" i="18"/>
  <c r="I46" i="18"/>
  <c r="J46" i="18"/>
  <c r="K46" i="18"/>
  <c r="L46" i="18"/>
  <c r="B55" i="18"/>
  <c r="C55" i="18"/>
  <c r="D55" i="18"/>
  <c r="E55" i="18"/>
  <c r="F55" i="18"/>
  <c r="G55" i="18"/>
  <c r="H55" i="18"/>
  <c r="I55" i="18"/>
  <c r="J55" i="18"/>
  <c r="K55" i="18"/>
  <c r="L55" i="18"/>
  <c r="B57" i="18"/>
  <c r="C57" i="18"/>
  <c r="D57" i="18"/>
  <c r="E57" i="18"/>
  <c r="F57" i="18"/>
  <c r="G57" i="18"/>
  <c r="H57" i="18"/>
  <c r="I57" i="18"/>
  <c r="J57" i="18"/>
  <c r="K57" i="18"/>
  <c r="L57" i="18"/>
  <c r="B60" i="18"/>
  <c r="C60" i="18"/>
  <c r="D60" i="18"/>
  <c r="E60" i="18"/>
  <c r="F60" i="18"/>
  <c r="G60" i="18"/>
  <c r="H60" i="18"/>
  <c r="I60" i="18"/>
  <c r="J60" i="18"/>
  <c r="K60" i="18"/>
  <c r="L60" i="18"/>
  <c r="B62" i="18"/>
  <c r="C62" i="18"/>
  <c r="D62" i="18"/>
  <c r="E62" i="18"/>
  <c r="F62" i="18"/>
  <c r="G62" i="18"/>
  <c r="H62" i="18"/>
  <c r="I62" i="18"/>
  <c r="J62" i="18"/>
  <c r="K62" i="18"/>
  <c r="L62" i="18"/>
  <c r="B63" i="18"/>
  <c r="C63" i="18"/>
  <c r="D63" i="18"/>
  <c r="E63" i="18"/>
  <c r="F63" i="18"/>
  <c r="G63" i="18"/>
  <c r="H63" i="18"/>
  <c r="I63" i="18"/>
  <c r="J63" i="18"/>
  <c r="K63" i="18"/>
  <c r="L63" i="18"/>
  <c r="B65" i="18"/>
  <c r="C65" i="18"/>
  <c r="D65" i="18"/>
  <c r="E65" i="18"/>
  <c r="F65" i="18"/>
  <c r="G65" i="18"/>
  <c r="H65" i="18"/>
  <c r="I65" i="18"/>
  <c r="J65" i="18"/>
  <c r="K65" i="18"/>
  <c r="L65" i="18"/>
  <c r="B66" i="18"/>
  <c r="C66" i="18"/>
  <c r="D66" i="18"/>
  <c r="E66" i="18"/>
  <c r="F66" i="18"/>
  <c r="G66" i="18"/>
  <c r="H66" i="18"/>
  <c r="I66" i="18"/>
  <c r="J66" i="18"/>
  <c r="K66" i="18"/>
  <c r="L66" i="18"/>
  <c r="B67" i="18"/>
  <c r="C67" i="18"/>
  <c r="D67" i="18"/>
  <c r="E67" i="18"/>
  <c r="F67" i="18"/>
  <c r="G67" i="18"/>
  <c r="H67" i="18"/>
  <c r="I67" i="18"/>
  <c r="J67" i="18"/>
  <c r="K67" i="18"/>
  <c r="L67" i="18"/>
  <c r="B69" i="18"/>
  <c r="C69" i="18"/>
  <c r="D69" i="18"/>
  <c r="E69" i="18"/>
  <c r="F69" i="18"/>
  <c r="G69" i="18"/>
  <c r="H69" i="18"/>
  <c r="I69" i="18"/>
  <c r="J69" i="18"/>
  <c r="K69" i="18"/>
  <c r="L69" i="18"/>
  <c r="B71" i="18"/>
  <c r="C71" i="18"/>
  <c r="D71" i="18"/>
  <c r="E71" i="18"/>
  <c r="F71" i="18"/>
  <c r="G71" i="18"/>
  <c r="H71" i="18"/>
  <c r="I71" i="18"/>
  <c r="J71" i="18"/>
  <c r="K71" i="18"/>
  <c r="L71" i="18"/>
  <c r="B73" i="18"/>
  <c r="C73" i="18"/>
  <c r="D73" i="18"/>
  <c r="E73" i="18"/>
  <c r="F73" i="18"/>
  <c r="G73" i="18"/>
  <c r="H73" i="18"/>
  <c r="I73" i="18"/>
  <c r="J73" i="18"/>
  <c r="K73" i="18"/>
  <c r="L73" i="18"/>
  <c r="C77" i="18"/>
  <c r="D77" i="18"/>
  <c r="E77" i="18"/>
  <c r="F77" i="18"/>
  <c r="G77" i="18"/>
  <c r="H77" i="18"/>
  <c r="I77" i="18"/>
  <c r="J77" i="18"/>
  <c r="K77" i="18"/>
  <c r="L77" i="18"/>
  <c r="B85" i="18"/>
  <c r="H85" i="18"/>
  <c r="I85" i="18"/>
  <c r="J85" i="18"/>
  <c r="K85" i="18"/>
  <c r="L85" i="18"/>
  <c r="M85" i="18"/>
  <c r="N85" i="18"/>
  <c r="O85" i="18"/>
  <c r="B86" i="18"/>
  <c r="B87" i="18"/>
  <c r="H87" i="18"/>
  <c r="I87" i="18"/>
  <c r="J87" i="18"/>
  <c r="K87" i="18"/>
  <c r="L87" i="18"/>
  <c r="M87" i="18"/>
  <c r="N87" i="18"/>
  <c r="O87" i="18"/>
  <c r="H90" i="18"/>
  <c r="I90" i="18"/>
  <c r="J90" i="18"/>
  <c r="K90" i="18"/>
  <c r="L90" i="18"/>
  <c r="M90" i="18"/>
  <c r="N90" i="18"/>
  <c r="O90" i="18"/>
  <c r="B98" i="18"/>
  <c r="H98" i="18"/>
  <c r="I98" i="18"/>
  <c r="J98" i="18"/>
  <c r="K98" i="18"/>
  <c r="L98" i="18"/>
  <c r="M98" i="18"/>
  <c r="N98" i="18"/>
  <c r="O98" i="18"/>
  <c r="B99" i="18"/>
  <c r="H99" i="18"/>
  <c r="I99" i="18"/>
  <c r="J99" i="18"/>
  <c r="K99" i="18"/>
  <c r="L99" i="18"/>
  <c r="M99" i="18"/>
  <c r="N99" i="18"/>
  <c r="O99" i="18"/>
  <c r="B100" i="18"/>
  <c r="H100" i="18"/>
  <c r="I100" i="18"/>
  <c r="J100" i="18"/>
  <c r="K100" i="18"/>
  <c r="L100" i="18"/>
  <c r="M100" i="18"/>
  <c r="N100" i="18"/>
  <c r="O100" i="18"/>
  <c r="H102" i="18"/>
  <c r="I102" i="18"/>
  <c r="J102" i="18"/>
  <c r="K102" i="18"/>
  <c r="L102" i="18"/>
  <c r="M102" i="18"/>
  <c r="N102" i="18"/>
  <c r="O102" i="18"/>
  <c r="B112" i="18"/>
  <c r="C112" i="18"/>
  <c r="D112" i="18"/>
  <c r="E112" i="18"/>
  <c r="F112" i="18"/>
  <c r="G112" i="18"/>
  <c r="H112" i="18"/>
  <c r="I112" i="18"/>
  <c r="J112" i="18"/>
  <c r="K112" i="18"/>
  <c r="L112" i="18"/>
  <c r="B113" i="18"/>
  <c r="C113" i="18"/>
  <c r="D113" i="18"/>
  <c r="E113" i="18"/>
  <c r="F113" i="18"/>
  <c r="G113" i="18"/>
  <c r="H113" i="18"/>
  <c r="I113" i="18"/>
  <c r="J113" i="18"/>
  <c r="K113" i="18"/>
  <c r="L113" i="18"/>
  <c r="B114" i="18"/>
  <c r="C114" i="18"/>
  <c r="D114" i="18"/>
  <c r="E114" i="18"/>
  <c r="F114" i="18"/>
  <c r="G114" i="18"/>
  <c r="H114" i="18"/>
  <c r="I114" i="18"/>
  <c r="J114" i="18"/>
  <c r="K114" i="18"/>
  <c r="L114" i="18"/>
  <c r="B115" i="18"/>
  <c r="C115" i="18"/>
  <c r="D115" i="18"/>
  <c r="E115" i="18"/>
  <c r="F115" i="18"/>
  <c r="G115" i="18"/>
  <c r="H115" i="18"/>
  <c r="I115" i="18"/>
  <c r="J115" i="18"/>
  <c r="K115" i="18"/>
  <c r="L115" i="18"/>
  <c r="B118" i="18"/>
  <c r="C118" i="18"/>
  <c r="D118" i="18"/>
  <c r="E118" i="18"/>
  <c r="F118" i="18"/>
  <c r="G118" i="18"/>
  <c r="H118" i="18"/>
  <c r="I118" i="18"/>
  <c r="J118" i="18"/>
  <c r="K118" i="18"/>
  <c r="L118" i="18"/>
  <c r="B119" i="18"/>
  <c r="C119" i="18"/>
  <c r="D119" i="18"/>
  <c r="E119" i="18"/>
  <c r="F119" i="18"/>
  <c r="G119" i="18"/>
  <c r="H119" i="18"/>
  <c r="I119" i="18"/>
  <c r="J119" i="18"/>
  <c r="K119" i="18"/>
  <c r="L119" i="18"/>
  <c r="B120" i="18"/>
  <c r="C120" i="18"/>
  <c r="D120" i="18"/>
  <c r="E120" i="18"/>
  <c r="F120" i="18"/>
  <c r="G120" i="18"/>
  <c r="H120" i="18"/>
  <c r="I120" i="18"/>
  <c r="J120" i="18"/>
  <c r="K120" i="18"/>
  <c r="L120" i="18"/>
  <c r="B121" i="18"/>
  <c r="C121" i="18"/>
  <c r="D121" i="18"/>
  <c r="E121" i="18"/>
  <c r="F121" i="18"/>
  <c r="G121" i="18"/>
  <c r="H121" i="18"/>
  <c r="I121" i="18"/>
  <c r="J121" i="18"/>
  <c r="K121" i="18"/>
  <c r="L121" i="18"/>
  <c r="B126" i="18"/>
  <c r="C126" i="18"/>
  <c r="D126" i="18"/>
  <c r="E126" i="18"/>
  <c r="F126" i="18"/>
  <c r="G126" i="18"/>
  <c r="H126" i="18"/>
  <c r="I126" i="18"/>
  <c r="J126" i="18"/>
  <c r="K126" i="18"/>
  <c r="L126" i="18"/>
  <c r="B132" i="18"/>
  <c r="C132" i="18"/>
  <c r="D132" i="18"/>
  <c r="E132" i="18"/>
  <c r="F132" i="18"/>
  <c r="G132" i="18"/>
  <c r="H132" i="18"/>
  <c r="I132" i="18"/>
  <c r="J132" i="18"/>
  <c r="K132" i="18"/>
  <c r="L132" i="18"/>
  <c r="B135" i="18"/>
  <c r="C135" i="18"/>
  <c r="D135" i="18"/>
  <c r="E135" i="18"/>
  <c r="F135" i="18"/>
  <c r="G135" i="18"/>
  <c r="H135" i="18"/>
  <c r="I135" i="18"/>
  <c r="J135" i="18"/>
  <c r="K135" i="18"/>
  <c r="L135" i="18"/>
  <c r="B136" i="18"/>
  <c r="C136" i="18"/>
  <c r="D136" i="18"/>
  <c r="E136" i="18"/>
  <c r="F136" i="18"/>
  <c r="G136" i="18"/>
  <c r="H136" i="18"/>
  <c r="I136" i="18"/>
  <c r="J136" i="18"/>
  <c r="K136" i="18"/>
  <c r="L136" i="18"/>
  <c r="B138" i="18"/>
  <c r="C138" i="18"/>
  <c r="D138" i="18"/>
  <c r="E138" i="18"/>
  <c r="F138" i="18"/>
  <c r="G138" i="18"/>
  <c r="H138" i="18"/>
  <c r="I138" i="18"/>
  <c r="J138" i="18"/>
  <c r="K138" i="18"/>
  <c r="L138" i="18"/>
  <c r="B140" i="18"/>
  <c r="C140" i="18"/>
  <c r="D140" i="18"/>
  <c r="E140" i="18"/>
  <c r="F140" i="18"/>
  <c r="G140" i="18"/>
  <c r="H140" i="18"/>
  <c r="I140" i="18"/>
  <c r="J140" i="18"/>
  <c r="K140" i="18"/>
  <c r="L140" i="18"/>
  <c r="B142" i="18"/>
  <c r="C142" i="18"/>
  <c r="D142" i="18"/>
  <c r="E142" i="18"/>
  <c r="F142" i="18"/>
  <c r="G142" i="18"/>
  <c r="H142" i="18"/>
  <c r="I142" i="18"/>
  <c r="J142" i="18"/>
  <c r="K142" i="18"/>
  <c r="L142" i="18"/>
  <c r="B143" i="18"/>
  <c r="C143" i="18"/>
  <c r="D143" i="18"/>
  <c r="E143" i="18"/>
  <c r="F143" i="18"/>
  <c r="G143" i="18"/>
  <c r="H143" i="18"/>
  <c r="I143" i="18"/>
  <c r="J143" i="18"/>
  <c r="K143" i="18"/>
  <c r="L143" i="18"/>
  <c r="C146" i="18"/>
  <c r="D146" i="18"/>
  <c r="E146" i="18"/>
  <c r="F146" i="18"/>
  <c r="G146" i="18"/>
  <c r="H146" i="18"/>
  <c r="I146" i="18"/>
  <c r="J146" i="18"/>
  <c r="K146" i="18"/>
  <c r="L146" i="18"/>
  <c r="B154" i="18"/>
  <c r="C154" i="18"/>
  <c r="D154" i="18"/>
  <c r="E154" i="18"/>
  <c r="F154" i="18"/>
  <c r="G154" i="18"/>
  <c r="H154" i="18"/>
  <c r="I154" i="18"/>
  <c r="J154" i="18"/>
  <c r="K154" i="18"/>
  <c r="L154" i="18"/>
  <c r="B155" i="18"/>
  <c r="C155" i="18"/>
  <c r="D155" i="18"/>
  <c r="E155" i="18"/>
  <c r="F155" i="18"/>
  <c r="G155" i="18"/>
  <c r="H155" i="18"/>
  <c r="I155" i="18"/>
  <c r="J155" i="18"/>
  <c r="K155" i="18"/>
  <c r="L155" i="18"/>
  <c r="B156" i="18"/>
  <c r="C156" i="18"/>
  <c r="D156" i="18"/>
  <c r="E156" i="18"/>
  <c r="F156" i="18"/>
  <c r="G156" i="18"/>
  <c r="H156" i="18"/>
  <c r="I156" i="18"/>
  <c r="J156" i="18"/>
  <c r="K156" i="18"/>
  <c r="L156" i="18"/>
  <c r="B157" i="18"/>
  <c r="C157" i="18"/>
  <c r="D157" i="18"/>
  <c r="E157" i="18"/>
  <c r="F157" i="18"/>
  <c r="G157" i="18"/>
  <c r="H157" i="18"/>
  <c r="I157" i="18"/>
  <c r="J157" i="18"/>
  <c r="K157" i="18"/>
  <c r="L157" i="18"/>
  <c r="B160" i="18"/>
  <c r="C160" i="18"/>
  <c r="D160" i="18"/>
  <c r="E160" i="18"/>
  <c r="F160" i="18"/>
  <c r="G160" i="18"/>
  <c r="H160" i="18"/>
  <c r="I160" i="18"/>
  <c r="J160" i="18"/>
  <c r="K160" i="18"/>
  <c r="L160" i="18"/>
  <c r="B161" i="18"/>
  <c r="C161" i="18"/>
  <c r="D161" i="18"/>
  <c r="E161" i="18"/>
  <c r="F161" i="18"/>
  <c r="G161" i="18"/>
  <c r="H161" i="18"/>
  <c r="I161" i="18"/>
  <c r="J161" i="18"/>
  <c r="K161" i="18"/>
  <c r="L161" i="18"/>
  <c r="B162" i="18"/>
  <c r="C162" i="18"/>
  <c r="D162" i="18"/>
  <c r="E162" i="18"/>
  <c r="F162" i="18"/>
  <c r="G162" i="18"/>
  <c r="H162" i="18"/>
  <c r="I162" i="18"/>
  <c r="J162" i="18"/>
  <c r="K162" i="18"/>
  <c r="L162" i="18"/>
  <c r="B163" i="18"/>
  <c r="C163" i="18"/>
  <c r="D163" i="18"/>
  <c r="E163" i="18"/>
  <c r="F163" i="18"/>
  <c r="G163" i="18"/>
  <c r="H163" i="18"/>
  <c r="I163" i="18"/>
  <c r="J163" i="18"/>
  <c r="K163" i="18"/>
  <c r="L163" i="18"/>
  <c r="B164" i="18"/>
  <c r="C164" i="18"/>
  <c r="D164" i="18"/>
  <c r="E164" i="18"/>
  <c r="F164" i="18"/>
  <c r="G164" i="18"/>
  <c r="H164" i="18"/>
  <c r="I164" i="18"/>
  <c r="J164" i="18"/>
  <c r="K164" i="18"/>
  <c r="L164" i="18"/>
  <c r="B170" i="18"/>
  <c r="C170" i="18"/>
  <c r="D170" i="18"/>
  <c r="E170" i="18"/>
  <c r="F170" i="18"/>
  <c r="G170" i="18"/>
  <c r="H170" i="18"/>
  <c r="I170" i="18"/>
  <c r="J170" i="18"/>
  <c r="K170" i="18"/>
  <c r="L170" i="18"/>
  <c r="B177" i="18"/>
  <c r="C177" i="18"/>
  <c r="D177" i="18"/>
  <c r="E177" i="18"/>
  <c r="F177" i="18"/>
  <c r="G177" i="18"/>
  <c r="H177" i="18"/>
  <c r="I177" i="18"/>
  <c r="J177" i="18"/>
  <c r="K177" i="18"/>
  <c r="L177" i="18"/>
  <c r="B178" i="18"/>
  <c r="C178" i="18"/>
  <c r="D178" i="18"/>
  <c r="E178" i="18"/>
  <c r="F178" i="18"/>
  <c r="G178" i="18"/>
  <c r="H178" i="18"/>
  <c r="I178" i="18"/>
  <c r="J178" i="18"/>
  <c r="K178" i="18"/>
  <c r="L178" i="18"/>
  <c r="B180" i="18"/>
  <c r="C180" i="18"/>
  <c r="D180" i="18"/>
  <c r="E180" i="18"/>
  <c r="F180" i="18"/>
  <c r="G180" i="18"/>
  <c r="H180" i="18"/>
  <c r="I180" i="18"/>
  <c r="J180" i="18"/>
  <c r="K180" i="18"/>
  <c r="L180" i="18"/>
  <c r="B182" i="18"/>
  <c r="C182" i="18"/>
  <c r="D182" i="18"/>
  <c r="E182" i="18"/>
  <c r="F182" i="18"/>
  <c r="G182" i="18"/>
  <c r="H182" i="18"/>
  <c r="I182" i="18"/>
  <c r="J182" i="18"/>
  <c r="K182" i="18"/>
  <c r="L182" i="18"/>
  <c r="B184" i="18"/>
  <c r="C184" i="18"/>
  <c r="D184" i="18"/>
  <c r="E184" i="18"/>
  <c r="F184" i="18"/>
  <c r="G184" i="18"/>
  <c r="H184" i="18"/>
  <c r="I184" i="18"/>
  <c r="J184" i="18"/>
  <c r="K184" i="18"/>
  <c r="L184" i="18"/>
  <c r="B185" i="18"/>
  <c r="C185" i="18"/>
  <c r="D185" i="18"/>
  <c r="E185" i="18"/>
  <c r="F185" i="18"/>
  <c r="G185" i="18"/>
  <c r="H185" i="18"/>
  <c r="I185" i="18"/>
  <c r="J185" i="18"/>
  <c r="K185" i="18"/>
  <c r="L185" i="18"/>
  <c r="C188" i="18"/>
  <c r="D188" i="18"/>
  <c r="E188" i="18"/>
  <c r="F188" i="18"/>
  <c r="G188" i="18"/>
  <c r="H188" i="18"/>
  <c r="I188" i="18"/>
  <c r="J188" i="18"/>
  <c r="K188" i="18"/>
  <c r="L188" i="18"/>
  <c r="B243" i="18"/>
  <c r="C243" i="18"/>
  <c r="D243" i="18"/>
  <c r="E243" i="18"/>
  <c r="F243" i="18"/>
  <c r="G243" i="18"/>
  <c r="H243" i="18"/>
  <c r="I243" i="18"/>
  <c r="J243" i="18"/>
  <c r="K243" i="18"/>
  <c r="L243" i="18"/>
  <c r="O244" i="18"/>
  <c r="P244" i="18"/>
  <c r="R244" i="18"/>
  <c r="O245" i="18"/>
  <c r="P245" i="18"/>
  <c r="B246" i="18"/>
  <c r="C246" i="18"/>
  <c r="D246" i="18"/>
  <c r="E246" i="18"/>
  <c r="F246" i="18"/>
  <c r="G246" i="18"/>
  <c r="H246" i="18"/>
  <c r="I246" i="18"/>
  <c r="J246" i="18"/>
  <c r="K246" i="18"/>
  <c r="L246" i="18"/>
  <c r="O246" i="18"/>
  <c r="P246" i="18"/>
  <c r="O248" i="18"/>
  <c r="B249" i="18"/>
  <c r="C249" i="18"/>
  <c r="D249" i="18"/>
  <c r="E249" i="18"/>
  <c r="F249" i="18"/>
  <c r="G249" i="18"/>
  <c r="H249" i="18"/>
  <c r="I249" i="18"/>
  <c r="J249" i="18"/>
  <c r="K249" i="18"/>
  <c r="L249" i="18"/>
  <c r="O249" i="18"/>
  <c r="O250" i="18"/>
  <c r="P251" i="18"/>
  <c r="B255" i="18"/>
  <c r="C255" i="18"/>
  <c r="D255" i="18"/>
  <c r="E255" i="18"/>
  <c r="F255" i="18"/>
  <c r="G255" i="18"/>
  <c r="H255" i="18"/>
  <c r="I255" i="18"/>
  <c r="J255" i="18"/>
  <c r="K255" i="18"/>
  <c r="L255" i="18"/>
  <c r="B258" i="18"/>
  <c r="C258" i="18"/>
  <c r="D258" i="18"/>
  <c r="E258" i="18"/>
  <c r="F258" i="18"/>
  <c r="G258" i="18"/>
  <c r="H258" i="18"/>
  <c r="I258" i="18"/>
  <c r="J258" i="18"/>
  <c r="K258" i="18"/>
  <c r="L258" i="18"/>
  <c r="B261" i="18"/>
  <c r="C261" i="18"/>
  <c r="D261" i="18"/>
  <c r="E261" i="18"/>
  <c r="F261" i="18"/>
  <c r="G261" i="18"/>
  <c r="H261" i="18"/>
  <c r="I261" i="18"/>
  <c r="J261" i="18"/>
  <c r="K261" i="18"/>
  <c r="L261" i="18"/>
  <c r="L4" i="1"/>
  <c r="L5" i="1"/>
  <c r="C4" i="29"/>
  <c r="C5" i="29"/>
  <c r="C6" i="29"/>
  <c r="C7" i="29"/>
  <c r="C8" i="29"/>
  <c r="C12" i="29"/>
  <c r="I8" i="22"/>
  <c r="I9" i="22"/>
  <c r="I10" i="22"/>
  <c r="E15" i="22"/>
  <c r="I15" i="22"/>
  <c r="I16" i="22"/>
  <c r="E17" i="22"/>
  <c r="I24" i="22"/>
  <c r="H26" i="22"/>
  <c r="I26" i="22"/>
  <c r="H28" i="22"/>
  <c r="I28" i="22"/>
  <c r="E29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Sánchez Ferrer</author>
  </authors>
  <commentList>
    <comment ref="AF1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El COP de 1,6 de parámnetros planta es con aux de enfr de aire. Por lo que no se han utilizado estos datos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Sánchez Ferrer</author>
    <author>Miquel Torrens Vidal</author>
  </authors>
  <commentList>
    <comment ref="I4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Majestic Bávaro y barceló Bávaro</t>
        </r>
      </text>
    </comment>
    <comment ref="R4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Royalton WS&amp;BW Jamaica</t>
        </r>
      </text>
    </comment>
    <comment ref="AA4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La Romana BP</t>
        </r>
      </text>
    </comment>
    <comment ref="E6" authorId="1" shapeId="0" xr:uid="{00000000-0006-0000-0800-000004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+5% tolerancia</t>
        </r>
      </text>
    </comment>
    <comment ref="L6" authorId="1" shapeId="0" xr:uid="{00000000-0006-0000-0800-000005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Considerado +5% </t>
        </r>
      </text>
    </comment>
    <comment ref="I12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Motor H10 Jamaica
</t>
        </r>
      </text>
    </comment>
    <comment ref="AA12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Motor Portillo</t>
        </r>
      </text>
    </comment>
    <comment ref="L13" authorId="1" shapeId="0" xr:uid="{00000000-0006-0000-0800-000008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Considerado +5% Tolerancia</t>
        </r>
      </text>
    </comment>
    <comment ref="U13" authorId="1" shapeId="0" xr:uid="{00000000-0006-0000-0800-000009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Considerado +5% Tolerancia</t>
        </r>
      </text>
    </comment>
    <comment ref="AD13" authorId="1" shapeId="0" xr:uid="{00000000-0006-0000-0800-00000A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Considerado +5% Tolerancia</t>
        </r>
      </text>
    </comment>
    <comment ref="I19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Royalton WS&amp;BW Jamaica</t>
        </r>
      </text>
    </comment>
    <comment ref="R19" authorId="0" shapeId="0" xr:uid="{00000000-0006-0000-0800-00000C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Majestic Bávaro</t>
        </r>
      </text>
    </comment>
    <comment ref="AA19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H10 Jamaica</t>
        </r>
      </text>
    </comment>
    <comment ref="L20" authorId="1" shapeId="0" xr:uid="{00000000-0006-0000-0800-00000E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+5% ISO</t>
        </r>
      </text>
    </comment>
    <comment ref="U20" authorId="1" shapeId="0" xr:uid="{00000000-0006-0000-0800-00000F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Considerado +5% Tolerancia</t>
        </r>
      </text>
    </comment>
    <comment ref="AD20" authorId="1" shapeId="0" xr:uid="{00000000-0006-0000-0800-000010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Considerado +5% Tolerancia</t>
        </r>
      </text>
    </comment>
    <comment ref="J32" authorId="0" shapeId="0" xr:uid="{00000000-0006-0000-0800-000011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calculo en archivo: consumo agua torre evaporativa/carperta Archivos Soporte en Oferta</t>
        </r>
      </text>
    </comment>
    <comment ref="J43" authorId="0" shapeId="0" xr:uid="{00000000-0006-0000-0800-000012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calculo en archivo: consumo agua torre evaporativa/carperta Archivos Soporte en Oferta</t>
        </r>
      </text>
    </comment>
    <comment ref="G50" authorId="0" shapeId="0" xr:uid="{00000000-0006-0000-0800-000013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Temp salida GE del intercambiador GE-AGUA</t>
        </r>
      </text>
    </comment>
    <comment ref="E51" authorId="0" shapeId="0" xr:uid="{00000000-0006-0000-0800-000014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intercambiador de GE para recuperar de 170ºC a 120ºC para ACS.</t>
        </r>
      </text>
    </comment>
    <comment ref="J54" authorId="0" shapeId="0" xr:uid="{00000000-0006-0000-0800-000015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calculo en archivo: consumo agua torre evaporativa/carperta Archivos Soporte en Oferta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Miquel Torrens Vidal</author>
    <author>Carlos Sánchez Ferrer</author>
  </authors>
  <commentList>
    <comment ref="D7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No tiene en cuena Chillers, se considera en COPe. Si bombeos agua salada para condensar chillers</t>
        </r>
      </text>
    </comment>
    <comment ref="P14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Si solo hay 1 motor da ERROR</t>
        </r>
      </text>
    </comment>
    <comment ref="B17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Actuales CUMMINS QSK60-G6 CLIENTE</t>
        </r>
      </text>
    </comment>
    <comment ref="H19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Se dimensiona en base a demandas</t>
        </r>
      </text>
    </comment>
    <comment ref="P20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Miquel Torrens Vidal:</t>
        </r>
        <r>
          <rPr>
            <sz val="9"/>
            <color indexed="81"/>
            <rFont val="Tahoma"/>
            <family val="2"/>
          </rPr>
          <t xml:space="preserve">
Si solo hay 1 motor da ERROR</t>
        </r>
      </text>
    </comment>
    <comment ref="H28" authorId="1" shapeId="0" xr:uid="{00000000-0006-0000-0900-000006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Ya tiene en cuenta consumos aux frio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Sánchez Ferrer</author>
  </authors>
  <commentList>
    <comment ref="C8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el consumo eléctrico está calculado en base a 360 dias de operación al año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Sánchez Ferrer</author>
  </authors>
  <commentList>
    <comment ref="C12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prom hasta ago 2017</t>
        </r>
      </text>
    </comment>
    <comment ref="C13" authorId="0" shapeId="0" xr:uid="{00000000-0006-0000-1400-000002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prom hasta ago 2017</t>
        </r>
      </text>
    </comment>
    <comment ref="C14" authorId="0" shapeId="0" xr:uid="{00000000-0006-0000-1400-000003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prom hasta ago 2017</t>
        </r>
      </text>
    </comment>
    <comment ref="C15" authorId="0" shapeId="0" xr:uid="{00000000-0006-0000-1400-000004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simulacion con prom 2017 hasta ago-17</t>
        </r>
      </text>
    </comment>
    <comment ref="D35" authorId="0" shapeId="0" xr:uid="{00000000-0006-0000-1400-000005000000}">
      <text>
        <r>
          <rPr>
            <b/>
            <sz val="9"/>
            <color indexed="81"/>
            <rFont val="Tahoma"/>
            <family val="2"/>
          </rPr>
          <t>Carlos Sánchez Ferrer:</t>
        </r>
        <r>
          <rPr>
            <sz val="9"/>
            <color indexed="81"/>
            <rFont val="Tahoma"/>
            <family val="2"/>
          </rPr>
          <t xml:space="preserve">
La tendencia del GLP sigue la del Brent. Se ha minorizado la pdte a un 50% del incremento del Brent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" type="6" refreshedVersion="4" background="1" saveData="1">
    <textPr codePage="850" sourceFile="C:\Users\orollan\Desktop\2.txt" thousands=" " semicolon="1">
      <textFields count="4">
        <textField/>
        <textField/>
        <textField/>
        <textField/>
      </textFields>
    </textPr>
  </connection>
  <connection id="2" xr16:uid="{00000000-0015-0000-FFFF-FFFF01000000}" name="4" type="6" refreshedVersion="4" background="1" saveData="1">
    <textPr codePage="850" sourceFile="C:\Users\orollan\Desktop\4.txt" thousands=" 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<sst xmlns="http://schemas.openxmlformats.org/spreadsheetml/2006/main" count="1167" uniqueCount="536">
  <si>
    <t>kWe</t>
  </si>
  <si>
    <t>Autoconsumo planta</t>
  </si>
  <si>
    <t>Potencia térmica HT</t>
  </si>
  <si>
    <t>kWt</t>
  </si>
  <si>
    <t>Nº motores</t>
  </si>
  <si>
    <r>
      <rPr>
        <b/>
        <sz val="12"/>
        <color theme="1"/>
        <rFont val="Century Gothic"/>
        <family val="2"/>
      </rPr>
      <t>η</t>
    </r>
    <r>
      <rPr>
        <b/>
        <vertAlign val="subscript"/>
        <sz val="12"/>
        <color theme="1"/>
        <rFont val="Calibri"/>
        <family val="2"/>
      </rPr>
      <t>electr real bruto</t>
    </r>
  </si>
  <si>
    <r>
      <rPr>
        <b/>
        <sz val="12"/>
        <color theme="1"/>
        <rFont val="Century Gothic"/>
        <family val="2"/>
      </rPr>
      <t>η</t>
    </r>
    <r>
      <rPr>
        <b/>
        <vertAlign val="subscript"/>
        <sz val="12"/>
        <color theme="1"/>
        <rFont val="Calibri"/>
        <family val="2"/>
      </rPr>
      <t>electr real neto</t>
    </r>
  </si>
  <si>
    <t>Carga</t>
  </si>
  <si>
    <t>Caudal GE</t>
  </si>
  <si>
    <t>%</t>
  </si>
  <si>
    <t>kWpci</t>
  </si>
  <si>
    <t>kWm</t>
  </si>
  <si>
    <t>Tª_GE Motor</t>
  </si>
  <si>
    <t>Tª_GE Salida</t>
  </si>
  <si>
    <t>Pot. GE</t>
  </si>
  <si>
    <t>PE</t>
  </si>
  <si>
    <t>kg/h</t>
  </si>
  <si>
    <t>ºC</t>
  </si>
  <si>
    <t>x3</t>
  </si>
  <si>
    <t>x2</t>
  </si>
  <si>
    <t>x1</t>
  </si>
  <si>
    <t>x0</t>
  </si>
  <si>
    <t>Pot HT</t>
  </si>
  <si>
    <t>PM</t>
  </si>
  <si>
    <t>RE</t>
  </si>
  <si>
    <t>Chiller TRANE</t>
  </si>
  <si>
    <t>Fecha/Hora</t>
  </si>
  <si>
    <t xml:space="preserve">Energía TRANE </t>
  </si>
  <si>
    <t xml:space="preserve">FE703-Caudal TR </t>
  </si>
  <si>
    <t xml:space="preserve">TT706-Ret AE </t>
  </si>
  <si>
    <t xml:space="preserve">TT716-Impul TR </t>
  </si>
  <si>
    <t xml:space="preserve">Media </t>
  </si>
  <si>
    <t xml:space="preserve">kW </t>
  </si>
  <si>
    <t xml:space="preserve">m3/h </t>
  </si>
  <si>
    <t xml:space="preserve">C </t>
  </si>
  <si>
    <t>Frio</t>
  </si>
  <si>
    <t>T EVAP S</t>
  </si>
  <si>
    <t>T EVAP E</t>
  </si>
  <si>
    <t>Caudal EVAP</t>
  </si>
  <si>
    <t>T COND E</t>
  </si>
  <si>
    <t>T COND S</t>
  </si>
  <si>
    <t>Cond C</t>
  </si>
  <si>
    <t>kW</t>
  </si>
  <si>
    <t>COP</t>
  </si>
  <si>
    <t>Evap (ºC)</t>
  </si>
  <si>
    <t>Evap</t>
  </si>
  <si>
    <t>Cond</t>
  </si>
  <si>
    <t>DateTime</t>
  </si>
  <si>
    <t>CPOR_COG_TempGasEntMAbs_TT401.Analogico</t>
  </si>
  <si>
    <t>CPOR_COG_TempGasSalMAbs_TT402.Analogico</t>
  </si>
  <si>
    <t>CPOR_GEN3_PotAct.Analogico</t>
  </si>
  <si>
    <t>FRIO</t>
  </si>
  <si>
    <t>Hora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</si>
  <si>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</si>
  <si>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</si>
  <si>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</si>
  <si>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</si>
  <si>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</si>
  <si>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</si>
  <si>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</si>
  <si>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</si>
  <si>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</si>
  <si>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</si>
  <si>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</si>
  <si>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CALOR</t>
  </si>
  <si>
    <t>Carga min motor</t>
  </si>
  <si>
    <t>(null)</t>
  </si>
  <si>
    <t>Autoconsumo aux. cog.</t>
  </si>
  <si>
    <t>Tin</t>
  </si>
  <si>
    <t>Tout</t>
  </si>
  <si>
    <t>Carga Motor</t>
  </si>
  <si>
    <t>COP ele</t>
  </si>
  <si>
    <t>Potencia neta motor</t>
  </si>
  <si>
    <t>Potencia bruta motor</t>
  </si>
  <si>
    <t>kWf</t>
  </si>
  <si>
    <t>Pot frio absorción</t>
  </si>
  <si>
    <t xml:space="preserve">Carga min </t>
  </si>
  <si>
    <t>Nº enfriadoras</t>
  </si>
  <si>
    <t>MWhe</t>
  </si>
  <si>
    <t>MWht</t>
  </si>
  <si>
    <t>MWhf</t>
  </si>
  <si>
    <t>GNL</t>
  </si>
  <si>
    <t>Bomba PL02</t>
  </si>
  <si>
    <t>York2</t>
  </si>
  <si>
    <t>Bomba PL03</t>
  </si>
  <si>
    <t>York 3</t>
  </si>
  <si>
    <t>Bomba B701</t>
  </si>
  <si>
    <t>trane+abs</t>
  </si>
  <si>
    <t>Bomba B702</t>
  </si>
  <si>
    <t>Bomba B801</t>
  </si>
  <si>
    <t>Bomba B802</t>
  </si>
  <si>
    <t>Enfriadora Trane</t>
  </si>
  <si>
    <t>Enfriadora PL2</t>
  </si>
  <si>
    <t>Enfriadora PL3</t>
  </si>
  <si>
    <t>Enfriadora absorción</t>
  </si>
  <si>
    <t>Torres de refrigeración</t>
  </si>
  <si>
    <t>torres</t>
  </si>
  <si>
    <t>CPOR_AF_EnrBomEnfPL02_B02B18.EnrActMWh</t>
  </si>
  <si>
    <t>CPOR_AF_EnrBomEnfPL03_B03B17.EnrActMWh</t>
  </si>
  <si>
    <t>CPOR_AF_EnrBomRet_B701.EnrActMWh</t>
  </si>
  <si>
    <t>CPOR_AF_EnrBomRet_B702.EnrActMWh</t>
  </si>
  <si>
    <t>CPOR_AF_EnrBomTRfg_B801.EnrActMWh</t>
  </si>
  <si>
    <t>CPOR_AF_EnrBomTRfg_B802.EnrActMWh</t>
  </si>
  <si>
    <t>CPOR_AF_EnrChiller.EnrActMWh</t>
  </si>
  <si>
    <t>CPOR_AF_EnrEnfPL02.EnrActMWh</t>
  </si>
  <si>
    <t>CPOR_AF_EnrEnfPL03.EnrActMWh</t>
  </si>
  <si>
    <t>CPOR_AF_EnrMAbs.EnrActMWh</t>
  </si>
  <si>
    <t>CPOR_AF_EnrTRfg.EnrActMWh</t>
  </si>
  <si>
    <t>auxiliares anire</t>
  </si>
  <si>
    <t>Consumo torres y bombas abs y trane</t>
  </si>
  <si>
    <t>Consumo bombas enfr aire</t>
  </si>
  <si>
    <t>FALTA FRÍO</t>
  </si>
  <si>
    <t>FALTA ACS</t>
  </si>
  <si>
    <t>kg/L</t>
  </si>
  <si>
    <t>kWh/kg</t>
  </si>
  <si>
    <t>kWhpci</t>
  </si>
  <si>
    <t>PCI_PCS</t>
  </si>
  <si>
    <t>Mas nueva Trane</t>
  </si>
  <si>
    <t>h</t>
  </si>
  <si>
    <t>Se parte de las cargas parciales de un motor anterior para sacar las del nuevo</t>
  </si>
  <si>
    <t>Rendimiento</t>
  </si>
  <si>
    <t>Potencia térmica</t>
  </si>
  <si>
    <t>Nº calderas</t>
  </si>
  <si>
    <t>Consumo Aceite</t>
  </si>
  <si>
    <t>Término Fijo</t>
  </si>
  <si>
    <t>Coste DO</t>
  </si>
  <si>
    <t>Costes Energéticos</t>
  </si>
  <si>
    <t>Consumo DO</t>
  </si>
  <si>
    <t>Costes Operativos</t>
  </si>
  <si>
    <t>Seguro Planta</t>
  </si>
  <si>
    <t>EBITDA (USD)</t>
  </si>
  <si>
    <t>TOTAL</t>
  </si>
  <si>
    <t>Coste Aceite</t>
  </si>
  <si>
    <t>Coste GNL</t>
  </si>
  <si>
    <t>US$/MWh</t>
  </si>
  <si>
    <t>US$/h</t>
  </si>
  <si>
    <t>US$/año</t>
  </si>
  <si>
    <t>US$/MMBtu</t>
  </si>
  <si>
    <t>DO</t>
  </si>
  <si>
    <t>US$/kWhe</t>
  </si>
  <si>
    <t>kWh/L</t>
  </si>
  <si>
    <t>ACS</t>
  </si>
  <si>
    <t>kWp</t>
  </si>
  <si>
    <t>BP LA ROMANA - REPÚBLICA DOMINCANA</t>
  </si>
  <si>
    <t>SITUACIÓN ACTUAL</t>
  </si>
  <si>
    <t>PROPUESTA SAMPOL</t>
  </si>
  <si>
    <t>Electricidad</t>
  </si>
  <si>
    <t>Unidad</t>
  </si>
  <si>
    <t>Valor</t>
  </si>
  <si>
    <t>MWh/año</t>
  </si>
  <si>
    <t>Coste total electricidad</t>
  </si>
  <si>
    <t>Agua Helada</t>
  </si>
  <si>
    <t>Coste Total Agua Helada</t>
  </si>
  <si>
    <t>Consumo ACS</t>
  </si>
  <si>
    <t>Coste Total ACS</t>
  </si>
  <si>
    <t>Operación &amp; Mantenimiento y Término Fijo</t>
  </si>
  <si>
    <t xml:space="preserve">O&amp;M </t>
  </si>
  <si>
    <t>COSTE ENERGÉTICO TOTAL</t>
  </si>
  <si>
    <t>AHORROS ANUALES</t>
  </si>
  <si>
    <t>Consideraciones:</t>
  </si>
  <si>
    <t xml:space="preserve">   No opera en paralelo a la red</t>
  </si>
  <si>
    <t xml:space="preserve">US$/gal </t>
  </si>
  <si>
    <r>
      <rPr>
        <b/>
        <sz val="12"/>
        <color theme="1"/>
        <rFont val="Century Gothic"/>
        <family val="2"/>
      </rPr>
      <t>η</t>
    </r>
    <r>
      <rPr>
        <b/>
        <vertAlign val="subscript"/>
        <sz val="12"/>
        <color theme="1"/>
        <rFont val="Calibri"/>
        <family val="2"/>
      </rPr>
      <t xml:space="preserve">electr real </t>
    </r>
  </si>
  <si>
    <r>
      <rPr>
        <i/>
        <vertAlign val="superscript"/>
        <sz val="8"/>
        <rFont val="Arial"/>
        <family val="2"/>
      </rPr>
      <t>(III)</t>
    </r>
    <r>
      <rPr>
        <i/>
        <sz val="8"/>
        <rFont val="Arial"/>
        <family val="2"/>
      </rPr>
      <t xml:space="preserve"> COP Chillers Actuales: 4,0</t>
    </r>
  </si>
  <si>
    <t>FRÍO</t>
  </si>
  <si>
    <t>NO</t>
  </si>
  <si>
    <t>SI</t>
  </si>
  <si>
    <t>FÓRMULAS-1</t>
  </si>
  <si>
    <t>FÓRMULAS 1</t>
  </si>
  <si>
    <t>ENERGÍA ELÉCTRICA</t>
  </si>
  <si>
    <t>A=</t>
  </si>
  <si>
    <t>B=</t>
  </si>
  <si>
    <t>Pele=</t>
  </si>
  <si>
    <t>Tf=</t>
  </si>
  <si>
    <t>Calor</t>
  </si>
  <si>
    <t>C=</t>
  </si>
  <si>
    <t>margen=</t>
  </si>
  <si>
    <t>Frío</t>
  </si>
  <si>
    <t>% generación=</t>
  </si>
  <si>
    <t>D=</t>
  </si>
  <si>
    <t>Pgasoil=</t>
  </si>
  <si>
    <t>dens gasoil=</t>
  </si>
  <si>
    <t>PCI gasoil=</t>
  </si>
  <si>
    <t>rend. GASOIL=</t>
  </si>
  <si>
    <t>ESCENARIO</t>
  </si>
  <si>
    <t>PHFO (USD/l)</t>
  </si>
  <si>
    <t>Pgasoil (USD/l)</t>
  </si>
  <si>
    <t>Pelec (USD/kWhe)</t>
  </si>
  <si>
    <t>A1'=</t>
  </si>
  <si>
    <t>(1/(DENSI·PCI·REND)</t>
  </si>
  <si>
    <t>Ptérm. (USD/kWht)</t>
  </si>
  <si>
    <t>A1=</t>
  </si>
  <si>
    <t>Pfrío (USD/kWhf)</t>
  </si>
  <si>
    <t>A2'=</t>
  </si>
  <si>
    <t>((kWht/kWhe)·C)   C=0,10081)</t>
  </si>
  <si>
    <t>Venta eléctrica (USD)</t>
  </si>
  <si>
    <t>A2=</t>
  </si>
  <si>
    <t>Venta térmica (USD)</t>
  </si>
  <si>
    <t>Venta frío (USD)</t>
  </si>
  <si>
    <t>GASOIL</t>
  </si>
  <si>
    <t>Total Ingresos (USD)</t>
  </si>
  <si>
    <t>B'=</t>
  </si>
  <si>
    <t>Compra HFO (USD)</t>
  </si>
  <si>
    <t>Compra Gasoil (USD)</t>
  </si>
  <si>
    <t>Operación (USD)</t>
  </si>
  <si>
    <t>Mantenimiento (USD)</t>
  </si>
  <si>
    <t>Pele'=</t>
  </si>
  <si>
    <t>Seguros (USD)</t>
  </si>
  <si>
    <t>Total costes (USD)</t>
  </si>
  <si>
    <t>% Incremento HFO</t>
  </si>
  <si>
    <t>% Incremento Gasoil</t>
  </si>
  <si>
    <t>% Incremento EBITDA</t>
  </si>
  <si>
    <t>ENERGIA TÉRMICA CALORÍFICA</t>
  </si>
  <si>
    <t>Pt=</t>
  </si>
  <si>
    <t>USD/kWht</t>
  </si>
  <si>
    <t>ENERGIA TÉRMICA FRIGORÍFICA</t>
  </si>
  <si>
    <t>Pf=</t>
  </si>
  <si>
    <t>USD/kWhf</t>
  </si>
  <si>
    <t>1/D=</t>
  </si>
  <si>
    <t>FÓRMULAS-1 SEPARACIÓN DE FÓRMULAS</t>
  </si>
  <si>
    <t>ELECTRICIDAD</t>
  </si>
  <si>
    <t>TF</t>
  </si>
  <si>
    <t>Pele1=</t>
  </si>
  <si>
    <t>TF Pele 2</t>
  </si>
  <si>
    <t>Pele2=</t>
  </si>
  <si>
    <t>Pele1</t>
  </si>
  <si>
    <t>Tfpele2=</t>
  </si>
  <si>
    <t>Pfrío1</t>
  </si>
  <si>
    <t>Pterm=</t>
  </si>
  <si>
    <t>kWhe</t>
  </si>
  <si>
    <t>kWhf</t>
  </si>
  <si>
    <t>Pfrío=</t>
  </si>
  <si>
    <t>Coste elec. (USD)</t>
  </si>
  <si>
    <t>Pfrío1=</t>
  </si>
  <si>
    <t>Coste frío (USD)</t>
  </si>
  <si>
    <t>Pfrío2=</t>
  </si>
  <si>
    <t>Coste total (USD)</t>
  </si>
  <si>
    <t>Van 10=</t>
  </si>
  <si>
    <t>tasa=</t>
  </si>
  <si>
    <t>ESCENARIOS (anual) (incremento combustibles)  FÓRMULAS SEPARADAS</t>
  </si>
  <si>
    <t>Pelec TOTAL(USD/kWhe)</t>
  </si>
  <si>
    <t>Pelec1 (USD/kWhe)</t>
  </si>
  <si>
    <t>Pelec2(USD/kWhe)</t>
  </si>
  <si>
    <t>Pfrío TOTAL(USD/kWhf)</t>
  </si>
  <si>
    <t>Pfrío 1(USD/kWhf)</t>
  </si>
  <si>
    <t>Pfrío 2(USD/kWhf)</t>
  </si>
  <si>
    <t>Venta eléctricaTOTAL(USD)</t>
  </si>
  <si>
    <t>Venta eléctrica1(USD)</t>
  </si>
  <si>
    <t>Venta eléctrica2(USD)</t>
  </si>
  <si>
    <t>Venta frío TOTAL(USD)</t>
  </si>
  <si>
    <t>Venta frío 1(USD)</t>
  </si>
  <si>
    <t>Venta frío 2(USD)</t>
  </si>
  <si>
    <t>ESCENARIOS (anual) (descenso combustibles) FÓRMULAS SEPARADAS</t>
  </si>
  <si>
    <t>TOTAL FÓRMULA</t>
  </si>
  <si>
    <t>FÓRMULA: CONSTRUCCIÓN DE PLANTA DE COGENERACIÓN</t>
  </si>
  <si>
    <t>FÓRMULA: OPERACIÓN Y MANTENIMIENTO</t>
  </si>
  <si>
    <t>AGUA ENFRIADA</t>
  </si>
  <si>
    <r>
      <t>Phfo</t>
    </r>
    <r>
      <rPr>
        <b/>
        <sz val="12"/>
        <rFont val="Arial"/>
        <family val="2"/>
      </rPr>
      <t>=</t>
    </r>
  </si>
  <si>
    <t>USD/l (diciembre 2012)</t>
  </si>
  <si>
    <r>
      <t>Pgasoil</t>
    </r>
    <r>
      <rPr>
        <b/>
        <sz val="12"/>
        <rFont val="Arial"/>
        <family val="2"/>
      </rPr>
      <t>=</t>
    </r>
  </si>
  <si>
    <r>
      <t>Pgasoil</t>
    </r>
    <r>
      <rPr>
        <vertAlign val="subscript"/>
        <sz val="10"/>
        <rFont val="Arial"/>
        <family val="2"/>
      </rPr>
      <t>i</t>
    </r>
    <r>
      <rPr>
        <sz val="10"/>
        <rFont val="Arial"/>
        <family val="2"/>
      </rPr>
      <t>=</t>
    </r>
  </si>
  <si>
    <t>media mensual de los precios de compra del gasoil del mes de facturación de  la central de cogeneración en J$/l aplicando el tipo de cambio mensual (US$/J$)</t>
  </si>
  <si>
    <r>
      <t>Phfo</t>
    </r>
    <r>
      <rPr>
        <vertAlign val="subscript"/>
        <sz val="10"/>
        <rFont val="Arial"/>
        <family val="2"/>
      </rPr>
      <t>i</t>
    </r>
    <r>
      <rPr>
        <sz val="10"/>
        <rFont val="Arial"/>
        <family val="2"/>
      </rPr>
      <t>=</t>
    </r>
  </si>
  <si>
    <t>media mensual de los precios de compra del HFO del mes de facturación de  la central de cogeneración en J$/l aplicando el tipo de cambio mensual (US$/J$)</t>
  </si>
  <si>
    <r>
      <rPr>
        <b/>
        <sz val="10"/>
        <rFont val="Symbol"/>
        <family val="1"/>
        <charset val="2"/>
      </rPr>
      <t>D</t>
    </r>
    <r>
      <rPr>
        <b/>
        <sz val="10"/>
        <rFont val="Arial"/>
        <family val="2"/>
      </rPr>
      <t>IPC</t>
    </r>
  </si>
  <si>
    <t>Donde IPC es el índice de precios al consumo de  Diciembre del año anterior al de consumo y el IPC(o) es el índice de precios al consumo del mes de firma del contrato.</t>
  </si>
  <si>
    <t>ele total</t>
  </si>
  <si>
    <t>Pelec</t>
  </si>
  <si>
    <t>ipc</t>
  </si>
  <si>
    <t>MAL</t>
  </si>
  <si>
    <t>ele 1</t>
  </si>
  <si>
    <t>hfo</t>
  </si>
  <si>
    <t>ok</t>
  </si>
  <si>
    <t>gasoil</t>
  </si>
  <si>
    <t>ele2</t>
  </si>
  <si>
    <t>precio electrico estudio</t>
  </si>
  <si>
    <t>P frio estudio</t>
  </si>
  <si>
    <t>P frio fórmula carlos</t>
  </si>
  <si>
    <t>temr</t>
  </si>
  <si>
    <t>P frio formula contrato</t>
  </si>
  <si>
    <t>frio total</t>
  </si>
  <si>
    <t>frio1</t>
  </si>
  <si>
    <t>frio2</t>
  </si>
  <si>
    <t>(1/(PCI·REND)</t>
  </si>
  <si>
    <t>USD/L</t>
  </si>
  <si>
    <t>Pgnl=</t>
  </si>
  <si>
    <t>rend. gnl=</t>
  </si>
  <si>
    <t>(A1·Pgnl -A2·Pgnl+ B·Pgasoil)</t>
  </si>
  <si>
    <t>Pgnl (USD/MMBtu)</t>
  </si>
  <si>
    <t>% Incremento GNL</t>
  </si>
  <si>
    <t>Pgasoil (USD/L)</t>
  </si>
  <si>
    <t>Compra GNL (USD)</t>
  </si>
  <si>
    <r>
      <rPr>
        <i/>
        <vertAlign val="superscript"/>
        <sz val="8"/>
        <rFont val="Arial"/>
        <family val="2"/>
      </rPr>
      <t>(I)</t>
    </r>
    <r>
      <rPr>
        <i/>
        <sz val="8"/>
        <rFont val="Arial"/>
        <family val="2"/>
      </rPr>
      <t xml:space="preserve"> Incluye demanda de chillers eléctricos. </t>
    </r>
  </si>
  <si>
    <t xml:space="preserve"> </t>
  </si>
  <si>
    <t>Coste Total Term Fijo + O&amp;M</t>
  </si>
  <si>
    <t>Compra Aceite (USD)</t>
  </si>
  <si>
    <t>INCREMENTO DE COMBUSTIBLES</t>
  </si>
  <si>
    <t>DESCENSO DE COMBUSTIBLES</t>
  </si>
  <si>
    <t>Término fijo (USD)</t>
  </si>
  <si>
    <t>Disponibilidad CHP</t>
  </si>
  <si>
    <t>Horas indisponibilidad</t>
  </si>
  <si>
    <t>Nº paradas/año</t>
  </si>
  <si>
    <t>dias</t>
  </si>
  <si>
    <t xml:space="preserve">1ª </t>
  </si>
  <si>
    <t xml:space="preserve">2ª </t>
  </si>
  <si>
    <t xml:space="preserve">3ª </t>
  </si>
  <si>
    <t>Días parada por motor</t>
  </si>
  <si>
    <t>Demanda eléctrica</t>
  </si>
  <si>
    <t>Demanda frío</t>
  </si>
  <si>
    <t>Tarifa eléctrica Edeeste</t>
  </si>
  <si>
    <t>MWhe/año</t>
  </si>
  <si>
    <t>US$/MWhe</t>
  </si>
  <si>
    <t>Consumo eléctrico asociado a la producción de frío</t>
  </si>
  <si>
    <r>
      <t xml:space="preserve">Precio electricidad asociado al frío </t>
    </r>
    <r>
      <rPr>
        <vertAlign val="superscript"/>
        <sz val="9"/>
        <color indexed="8"/>
        <rFont val="Calibri"/>
        <family val="2"/>
      </rPr>
      <t>(III)</t>
    </r>
  </si>
  <si>
    <r>
      <t xml:space="preserve">Energía eléctrica suministrada al Hotel por Edeeste </t>
    </r>
    <r>
      <rPr>
        <vertAlign val="superscript"/>
        <sz val="9"/>
        <color indexed="8"/>
        <rFont val="Calibri"/>
        <family val="2"/>
      </rPr>
      <t>(I)</t>
    </r>
  </si>
  <si>
    <r>
      <t xml:space="preserve">Precio ACS </t>
    </r>
    <r>
      <rPr>
        <vertAlign val="superscript"/>
        <sz val="9"/>
        <color indexed="8"/>
        <rFont val="Calibri"/>
        <family val="2"/>
      </rPr>
      <t>(IV)</t>
    </r>
  </si>
  <si>
    <r>
      <rPr>
        <i/>
        <vertAlign val="superscript"/>
        <sz val="8"/>
        <rFont val="Arial"/>
        <family val="2"/>
      </rPr>
      <t xml:space="preserve">(IV) </t>
    </r>
    <r>
      <rPr>
        <i/>
        <sz val="8"/>
        <rFont val="Arial"/>
        <family val="2"/>
      </rPr>
      <t>Precio combinado bomba calor + calderas GLP</t>
    </r>
  </si>
  <si>
    <t xml:space="preserve">TÉRMINO FIJO INVERSIÓN </t>
  </si>
  <si>
    <t>AÑO 1</t>
  </si>
  <si>
    <t>AÑO 2</t>
  </si>
  <si>
    <t>AÑO 3</t>
  </si>
  <si>
    <t>AÑO 4</t>
  </si>
  <si>
    <t>AÑO 5</t>
  </si>
  <si>
    <t>AÑO 6</t>
  </si>
  <si>
    <t>AÑO 7</t>
  </si>
  <si>
    <t>AÑO 8</t>
  </si>
  <si>
    <t>AÑO 9</t>
  </si>
  <si>
    <t>AÑO 10</t>
  </si>
  <si>
    <t>Flujo Caja</t>
  </si>
  <si>
    <t>TIR</t>
  </si>
  <si>
    <t>VAN (15%)</t>
  </si>
  <si>
    <r>
      <rPr>
        <i/>
        <vertAlign val="superscript"/>
        <sz val="8"/>
        <rFont val="Arial"/>
        <family val="2"/>
      </rPr>
      <t xml:space="preserve">(V) </t>
    </r>
    <r>
      <rPr>
        <i/>
        <sz val="8"/>
        <rFont val="Arial"/>
        <family val="2"/>
      </rPr>
      <t>Demanda total de frío suministrada por la Planta de Cogeneración</t>
    </r>
  </si>
  <si>
    <r>
      <rPr>
        <i/>
        <vertAlign val="superscript"/>
        <sz val="8"/>
        <rFont val="Arial"/>
        <family val="2"/>
      </rPr>
      <t>(II)</t>
    </r>
    <r>
      <rPr>
        <i/>
        <sz val="8"/>
        <rFont val="Arial"/>
        <family val="2"/>
      </rPr>
      <t xml:space="preserve"> 10% electricidad consumida suministrada por la Planta de Emergencia</t>
    </r>
  </si>
  <si>
    <r>
      <t>US$/MWhe</t>
    </r>
    <r>
      <rPr>
        <sz val="9"/>
        <color indexed="63"/>
        <rFont val="Arial"/>
        <family val="2"/>
      </rPr>
      <t xml:space="preserve"> </t>
    </r>
  </si>
  <si>
    <r>
      <t xml:space="preserve">Energía eléctrica suministrada por Central Emergencia </t>
    </r>
    <r>
      <rPr>
        <vertAlign val="superscript"/>
        <sz val="9"/>
        <color indexed="8"/>
        <rFont val="Calibri"/>
        <family val="2"/>
      </rPr>
      <t>(I, II)</t>
    </r>
  </si>
  <si>
    <t>Precio eléctrico combinado</t>
  </si>
  <si>
    <t>AÑO 11</t>
  </si>
  <si>
    <t>AÑO 12</t>
  </si>
  <si>
    <r>
      <t xml:space="preserve">Deducción fiscal sobre inversión FV </t>
    </r>
    <r>
      <rPr>
        <vertAlign val="superscript"/>
        <sz val="9"/>
        <color indexed="8"/>
        <rFont val="Calibri"/>
        <family val="2"/>
      </rPr>
      <t>(VI)</t>
    </r>
  </si>
  <si>
    <t>Coste diésel Central Emergencia</t>
  </si>
  <si>
    <t>Otros</t>
  </si>
  <si>
    <r>
      <t xml:space="preserve">Amortización inversión </t>
    </r>
    <r>
      <rPr>
        <vertAlign val="superscript"/>
        <sz val="9"/>
        <color indexed="8"/>
        <rFont val="Calibri"/>
        <family val="2"/>
      </rPr>
      <t>(VII)</t>
    </r>
  </si>
  <si>
    <r>
      <rPr>
        <i/>
        <vertAlign val="superscript"/>
        <sz val="8"/>
        <rFont val="Arial"/>
        <family val="2"/>
      </rPr>
      <t>(VI)</t>
    </r>
    <r>
      <rPr>
        <i/>
        <sz val="8"/>
        <rFont val="Arial"/>
        <family val="2"/>
      </rPr>
      <t xml:space="preserve"> Deducción fiscal del 40% sobre la inversión Ley 253/12 Art. 32 durante los 3 primeros años</t>
    </r>
  </si>
  <si>
    <r>
      <t xml:space="preserve">(VII) </t>
    </r>
    <r>
      <rPr>
        <i/>
        <sz val="8"/>
        <rFont val="Arial"/>
        <family val="2"/>
      </rPr>
      <t>Amortización lineal por la duración del contrato</t>
    </r>
  </si>
  <si>
    <t>SITUACIÓN FUTURA</t>
  </si>
  <si>
    <t>Coste O&amp;M Planta</t>
  </si>
  <si>
    <t>Coste Variable Motor</t>
  </si>
  <si>
    <t>Subtotal</t>
  </si>
  <si>
    <t>BENEFICIO SAMPOL</t>
  </si>
  <si>
    <t>VENTA</t>
  </si>
  <si>
    <t>Coste</t>
  </si>
  <si>
    <t>Venta</t>
  </si>
  <si>
    <t>Margen</t>
  </si>
  <si>
    <t>VENTA:</t>
  </si>
  <si>
    <t>Año</t>
  </si>
  <si>
    <t>Total</t>
  </si>
  <si>
    <t>O&amp;M</t>
  </si>
  <si>
    <t>Enero</t>
  </si>
  <si>
    <t>ANÁLISIS DE SENSIBILIDAD POR VARIACIÓN EN LOS PRECIOS DE COMBUSTIBLES</t>
  </si>
  <si>
    <r>
      <t>P</t>
    </r>
    <r>
      <rPr>
        <vertAlign val="subscript"/>
        <sz val="10"/>
        <rFont val="Arial"/>
        <family val="2"/>
      </rPr>
      <t>GNL</t>
    </r>
    <r>
      <rPr>
        <sz val="10"/>
        <rFont val="Arial"/>
        <family val="2"/>
      </rPr>
      <t xml:space="preserve"> (USD/MMBtu)</t>
    </r>
  </si>
  <si>
    <r>
      <t>P</t>
    </r>
    <r>
      <rPr>
        <vertAlign val="subscript"/>
        <sz val="10"/>
        <rFont val="Arial"/>
        <family val="2"/>
      </rPr>
      <t>DO</t>
    </r>
    <r>
      <rPr>
        <sz val="10"/>
        <rFont val="Arial"/>
        <family val="2"/>
      </rPr>
      <t xml:space="preserve"> (USD/L)</t>
    </r>
  </si>
  <si>
    <t>P01 (US$/kWhe)</t>
  </si>
  <si>
    <t>P02. (US$/kWht)</t>
  </si>
  <si>
    <t>P03 (US$/kWhf)</t>
  </si>
  <si>
    <t>Término Fijo (US$)</t>
  </si>
  <si>
    <t>Coste Eléctrico (US$)</t>
  </si>
  <si>
    <t>Coste ACS (US$)</t>
  </si>
  <si>
    <t>Coste Agua Helada (US$)</t>
  </si>
  <si>
    <t>Total Costes (US$)</t>
  </si>
  <si>
    <t>Tarifa Edeeste (US$/MWhe)</t>
  </si>
  <si>
    <t xml:space="preserve">Precio ACS (US$/kWht) </t>
  </si>
  <si>
    <t>Brent (US$/bbl)</t>
  </si>
  <si>
    <t>Var. % WTI</t>
  </si>
  <si>
    <t>Brent</t>
  </si>
  <si>
    <t>Var. % Brent</t>
  </si>
  <si>
    <t xml:space="preserve"> WTI (US$/bbl)</t>
  </si>
  <si>
    <t>US$/bbl</t>
  </si>
  <si>
    <r>
      <t>P</t>
    </r>
    <r>
      <rPr>
        <vertAlign val="subscript"/>
        <sz val="10"/>
        <rFont val="Arial"/>
        <family val="2"/>
      </rPr>
      <t>DO</t>
    </r>
    <r>
      <rPr>
        <sz val="10"/>
        <rFont val="Arial"/>
        <family val="2"/>
      </rPr>
      <t xml:space="preserve"> (RD/gal)</t>
    </r>
  </si>
  <si>
    <t>US Gulf Coast no 6 (US$/bbl)</t>
  </si>
  <si>
    <t>Var. % US Gulf Coast no 6</t>
  </si>
  <si>
    <t>Precio Eléctrico Combinado (US$/kWhe)</t>
  </si>
  <si>
    <t>Precio Eléctrico asociado al frío (US$/kWhe)</t>
  </si>
  <si>
    <t>Var. % IPC en la O&amp;M</t>
  </si>
  <si>
    <t>AHORROS (US$)</t>
  </si>
  <si>
    <t>Pele combinado</t>
  </si>
  <si>
    <t>P01 SAMPOL</t>
  </si>
  <si>
    <t>JPS</t>
  </si>
  <si>
    <t>ILIMITADA</t>
  </si>
  <si>
    <t>Potencia unit.</t>
  </si>
  <si>
    <t xml:space="preserve">Potencia unit. </t>
  </si>
  <si>
    <t>Peak</t>
  </si>
  <si>
    <t>Ave</t>
  </si>
  <si>
    <t xml:space="preserve">CASO 1 </t>
  </si>
  <si>
    <t>CASO 2</t>
  </si>
  <si>
    <t>CASO 3</t>
  </si>
  <si>
    <t>Total instalado</t>
  </si>
  <si>
    <t>Planta Fotovoltaica</t>
  </si>
  <si>
    <t>3.300+HFO</t>
  </si>
  <si>
    <t>3+1 HFO</t>
  </si>
  <si>
    <t>Parametrización anterior motor a cargas parciales</t>
  </si>
  <si>
    <t>Pot. HT</t>
  </si>
  <si>
    <t>Consumo</t>
  </si>
  <si>
    <t>COMPROBACIONES</t>
  </si>
  <si>
    <t>g/kWh</t>
  </si>
  <si>
    <t>Margen min  motor</t>
  </si>
  <si>
    <t>cp GE</t>
  </si>
  <si>
    <t>HFO</t>
  </si>
  <si>
    <t>PCI DO</t>
  </si>
  <si>
    <t>Densidad DO</t>
  </si>
  <si>
    <t>PCS DO</t>
  </si>
  <si>
    <t>m3</t>
  </si>
  <si>
    <t>MODELOS GRUPOS COGENERACIÓN GAS NATURAL</t>
  </si>
  <si>
    <r>
      <t xml:space="preserve">GRUPO COGENERACIÓN </t>
    </r>
    <r>
      <rPr>
        <b/>
        <sz val="14"/>
        <rFont val="Arial"/>
        <family val="2"/>
      </rPr>
      <t>GAS NATURAL</t>
    </r>
  </si>
  <si>
    <t>MOTORES GAS CHP</t>
  </si>
  <si>
    <t>Consumo Gas</t>
  </si>
  <si>
    <t>CALDERA ACTUAL ACS</t>
  </si>
  <si>
    <t>USD</t>
  </si>
  <si>
    <t>Carga %</t>
  </si>
  <si>
    <t>x4</t>
  </si>
  <si>
    <t>Pot max entr</t>
  </si>
  <si>
    <t>PARAMETROS COMBUSTIBLE</t>
  </si>
  <si>
    <t>Ahorro Anual</t>
  </si>
  <si>
    <t>Ahorro Acumulado</t>
  </si>
  <si>
    <t xml:space="preserve"> (kWf)</t>
  </si>
  <si>
    <t xml:space="preserve">ACS </t>
  </si>
  <si>
    <t>(kWt)</t>
  </si>
  <si>
    <t xml:space="preserve">ELECTRICA </t>
  </si>
  <si>
    <t>(kWe)</t>
  </si>
  <si>
    <t>m3/kWhf</t>
  </si>
  <si>
    <t>Flow Cond</t>
  </si>
  <si>
    <t>Carga max motor</t>
  </si>
  <si>
    <t>Pot ele</t>
  </si>
  <si>
    <t>PCI GLP</t>
  </si>
  <si>
    <t>Densidad GLP</t>
  </si>
  <si>
    <t>Chiller Absorción GASES ESCAPE</t>
  </si>
  <si>
    <t>Chiller Absorción HT</t>
  </si>
  <si>
    <t>Pot frig. Max</t>
  </si>
  <si>
    <t>Potencia térmica GE/HT</t>
  </si>
  <si>
    <t>JENBACHER JMS 412 GS, 50Hz</t>
  </si>
  <si>
    <t>JENBACHER JMS 420 GS, 50Hz</t>
  </si>
  <si>
    <t>JENBACHER JMS 616 GS, 60Hz</t>
  </si>
  <si>
    <t>JENBACHER JMS 620 GS, 60Hz</t>
  </si>
  <si>
    <t>CHILLER ABSORCIÓN GE</t>
  </si>
  <si>
    <t>INTERCAMBIADOR ACS</t>
  </si>
  <si>
    <t>Consumo gas</t>
  </si>
  <si>
    <t>MOTORES EMERGENCIA</t>
  </si>
  <si>
    <t>kg/KWhm</t>
  </si>
  <si>
    <t>GRUPO MTU ANTIGUA</t>
  </si>
  <si>
    <t>Trane I</t>
  </si>
  <si>
    <t>Trane II</t>
  </si>
  <si>
    <t>USD/kWh</t>
  </si>
  <si>
    <t>Chillers TRANE CLIENTE</t>
  </si>
  <si>
    <t>USD/m3</t>
  </si>
  <si>
    <t>m3/h</t>
  </si>
  <si>
    <t>Desanilizadora:</t>
  </si>
  <si>
    <t>Consumo agua potable</t>
  </si>
  <si>
    <t>Capacidad agua potable</t>
  </si>
  <si>
    <t>Capacidad horaria</t>
  </si>
  <si>
    <t>Producción horaria</t>
  </si>
  <si>
    <t>Producción anual</t>
  </si>
  <si>
    <t>Mantenimiento desalinizadora</t>
  </si>
  <si>
    <t>Consumo eléctrico Desanilizadora</t>
  </si>
  <si>
    <t>Consumo eléctrico horario desanilizadora</t>
  </si>
  <si>
    <t>Coste eléctrico Desanilizadora</t>
  </si>
  <si>
    <t>m3/día</t>
  </si>
  <si>
    <t>m3/año</t>
  </si>
  <si>
    <t>kWh</t>
  </si>
  <si>
    <t>Coste eléctrico P01</t>
  </si>
  <si>
    <t>kWh/m3</t>
  </si>
  <si>
    <t>Coste Desalinizadora</t>
  </si>
  <si>
    <t>MARGEN EXPLOTACIÓN</t>
  </si>
  <si>
    <t>TC (MXN/USD)</t>
  </si>
  <si>
    <t>M3/mes</t>
  </si>
  <si>
    <t>DATOS IMPELMEX</t>
  </si>
  <si>
    <t>Volúmen máximo diario</t>
  </si>
  <si>
    <t>m3/24 h</t>
  </si>
  <si>
    <t>Costo mes (MXN)</t>
  </si>
  <si>
    <t>Costo mes (USD)</t>
  </si>
  <si>
    <t>Ratio (USD/m3)</t>
  </si>
  <si>
    <t>Porcentaje producción diaria</t>
  </si>
  <si>
    <t>Personal (se considera el de la CHP)</t>
  </si>
  <si>
    <t>-</t>
  </si>
  <si>
    <t>Volúmen probable diario</t>
  </si>
  <si>
    <t>lps</t>
  </si>
  <si>
    <t>Antiincrustante</t>
  </si>
  <si>
    <t>Volúmen mensual</t>
  </si>
  <si>
    <t>m3/mes</t>
  </si>
  <si>
    <t>Hipoclorito de sodio</t>
  </si>
  <si>
    <t>Anticorrosivo</t>
  </si>
  <si>
    <t>Costo Energía Eléctrica</t>
  </si>
  <si>
    <t>Prod quimicos</t>
  </si>
  <si>
    <t>Concepto</t>
  </si>
  <si>
    <t>Cantidad Instalada</t>
  </si>
  <si>
    <t>Cantidad Maxima Simultano</t>
  </si>
  <si>
    <t>Fases</t>
  </si>
  <si>
    <t xml:space="preserve"> HP</t>
  </si>
  <si>
    <t>Watts</t>
  </si>
  <si>
    <t>Hrs Operacion / dia</t>
  </si>
  <si>
    <t>Kw-h Consumo/ dia</t>
  </si>
  <si>
    <t>Mantenimiento y reparaciones</t>
  </si>
  <si>
    <t>Reposición cartuchos de filtros</t>
  </si>
  <si>
    <t>Bombas pozos 1 y 2</t>
  </si>
  <si>
    <t>Reposición de membranas</t>
  </si>
  <si>
    <t>Bombeo alta presion</t>
  </si>
  <si>
    <t>Recuperador de energia</t>
  </si>
  <si>
    <t>Dosificadoras</t>
  </si>
  <si>
    <t>Válvulas automáticas</t>
  </si>
  <si>
    <t>Bomba de enjuague</t>
  </si>
  <si>
    <t>Control</t>
  </si>
  <si>
    <t>Instrumentacion</t>
  </si>
  <si>
    <t>Fan &amp; Coil aire acondic tableros</t>
  </si>
  <si>
    <t>Suma Kw-h / día</t>
  </si>
  <si>
    <t>Suma Kw-h / mes</t>
  </si>
  <si>
    <t>MWhc</t>
  </si>
  <si>
    <t>Pot LT</t>
  </si>
  <si>
    <t>CHILLERS TORNILLO NUEVOS</t>
  </si>
  <si>
    <t>JENBACHER JMS 416 GS, 50Hz</t>
  </si>
  <si>
    <t>JENBACHER JMS 612 GS, 60Hz</t>
  </si>
  <si>
    <t>JENBACHER JMS 416 GS, 60Hz</t>
  </si>
  <si>
    <t>JENBACHER JMS 412 GS, 60Hz</t>
  </si>
  <si>
    <t>JENBACHER JMS 612 GS, 50Hz</t>
  </si>
  <si>
    <t>Temp. GE</t>
  </si>
  <si>
    <t>Temp GE</t>
  </si>
  <si>
    <t>LT (SI/NO)</t>
  </si>
  <si>
    <t>GE (SI/NO)</t>
  </si>
  <si>
    <t>Tsal GE</t>
  </si>
  <si>
    <t>SITUACIÓN CONVENCIONAL</t>
  </si>
  <si>
    <t>Distribución ACS</t>
  </si>
  <si>
    <t>Distribución Agua Helada</t>
  </si>
  <si>
    <t xml:space="preserve">Rendimiento </t>
  </si>
  <si>
    <t>RECUP/CONVENCIONAL ACEITE TÉRMICO</t>
  </si>
  <si>
    <t>FALTA THO</t>
  </si>
  <si>
    <t>MOTOR ADICIONAL JMS 612</t>
  </si>
  <si>
    <t xml:space="preserve">Paradas JMS 612: </t>
  </si>
  <si>
    <t>Paradas JMS 412:</t>
  </si>
  <si>
    <t>JMS 420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</si>
</sst>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-* #,##0.00\ _€_-;\-* #,##0.00\ _€_-;_-* &quot;-&quot;??\ _€_-;_-@_-"/>
    <numFmt numFmtId="165" formatCode="0.0%"/>
    <numFmt numFmtId="166" formatCode="d\-m\-yy\ h:mm;@"/>
    <numFmt numFmtId="167" formatCode="0.000"/>
    <numFmt numFmtId="168" formatCode="0.0"/>
    <numFmt numFmtId="169" formatCode="#,##0.0"/>
    <numFmt numFmtId="170" formatCode="0.00000"/>
    <numFmt numFmtId="171" formatCode="#,##0.000"/>
    <numFmt numFmtId="172" formatCode="0.00000000"/>
    <numFmt numFmtId="173" formatCode="#,##0.0000"/>
    <numFmt numFmtId="174" formatCode="0.0000"/>
    <numFmt numFmtId="175" formatCode="0.000000"/>
    <numFmt numFmtId="176" formatCode="0.0000%"/>
    <numFmt numFmtId="177" formatCode="#,##0.000000"/>
    <numFmt numFmtId="178" formatCode="#,##0.00000"/>
    <numFmt numFmtId="179" formatCode="[$$-409]#,##0"/>
    <numFmt numFmtId="180" formatCode="[$$-540A]#,##0"/>
    <numFmt numFmtId="181" formatCode="_-* #,##0\ _€_-;\-* #,##0\ _€_-;_-* &quot;-&quot;??\ _€_-;_-@_-"/>
  </numFmts>
  <fonts count="5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theme="1"/>
      <name val="Century Gothic"/>
      <family val="2"/>
    </font>
    <font>
      <b/>
      <vertAlign val="subscript"/>
      <sz val="12"/>
      <color theme="1"/>
      <name val="Calibri"/>
      <family val="2"/>
    </font>
    <font>
      <sz val="10"/>
      <name val="Arial"/>
      <family val="2"/>
    </font>
    <font>
      <sz val="11"/>
      <color theme="1"/>
      <name val="Arial Narrow"/>
      <family val="2"/>
    </font>
    <font>
      <b/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sz val="11"/>
      <color theme="1"/>
      <name val="Century Gothic"/>
      <family val="2"/>
    </font>
    <font>
      <i/>
      <sz val="8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6"/>
      <color theme="3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vertAlign val="superscript"/>
      <sz val="9"/>
      <color indexed="8"/>
      <name val="Calibri"/>
      <family val="2"/>
    </font>
    <font>
      <sz val="9"/>
      <color indexed="63"/>
      <name val="Arial"/>
      <family val="2"/>
    </font>
    <font>
      <i/>
      <vertAlign val="superscript"/>
      <sz val="8"/>
      <name val="Arial"/>
      <family val="2"/>
    </font>
    <font>
      <b/>
      <sz val="12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b/>
      <u/>
      <sz val="10"/>
      <name val="Arial"/>
      <family val="2"/>
    </font>
    <font>
      <sz val="10"/>
      <color rgb="FF00B050"/>
      <name val="Arial"/>
      <family val="2"/>
    </font>
    <font>
      <i/>
      <sz val="10"/>
      <name val="Arial"/>
      <family val="2"/>
    </font>
    <font>
      <i/>
      <sz val="10"/>
      <color rgb="FF00B050"/>
      <name val="Arial"/>
      <family val="2"/>
    </font>
    <font>
      <vertAlign val="subscript"/>
      <sz val="10"/>
      <name val="Arial"/>
      <family val="2"/>
    </font>
    <font>
      <b/>
      <sz val="10"/>
      <name val="Symbol"/>
      <family val="1"/>
      <charset val="2"/>
    </font>
    <font>
      <sz val="9"/>
      <name val="Arial"/>
      <family val="2"/>
    </font>
    <font>
      <b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Arial"/>
      <family val="2"/>
    </font>
    <font>
      <b/>
      <sz val="14"/>
      <color theme="0"/>
      <name val="Arial"/>
      <family val="2"/>
    </font>
    <font>
      <b/>
      <sz val="11"/>
      <color rgb="FFFFFFFF"/>
      <name val="Calibri"/>
      <family val="2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rgb="FFFF0000"/>
      <name val="Calibri"/>
      <family val="2"/>
    </font>
    <font>
      <b/>
      <sz val="10"/>
      <name val="Calibri"/>
      <family val="2"/>
    </font>
    <font>
      <b/>
      <sz val="16"/>
      <color theme="1"/>
      <name val="Arial"/>
      <family val="2"/>
    </font>
    <font>
      <b/>
      <sz val="16"/>
      <color theme="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9DC3E6"/>
        <bgColor indexed="64"/>
      </patternFill>
    </fill>
    <fill>
      <patternFill patternType="solid">
        <fgColor rgb="FFEAEFF7"/>
        <bgColor indexed="64"/>
      </patternFill>
    </fill>
    <fill>
      <patternFill patternType="solid">
        <fgColor rgb="FFD2DEE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E75B6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 style="thin">
        <color auto="1"/>
      </left>
      <right/>
      <top style="thick">
        <color auto="1"/>
      </top>
      <bottom/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n">
        <color auto="1"/>
      </left>
      <right/>
      <top/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17" fillId="0" borderId="0"/>
    <xf numFmtId="164" fontId="1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</cellStyleXfs>
  <cellXfs count="739">
    <xf numFmtId="0" fontId="0" fillId="0" borderId="0" xfId="0"/>
    <xf numFmtId="0" fontId="3" fillId="0" borderId="0" xfId="0" applyFont="1" applyAlignment="1">
      <alignment horizontal="right"/>
    </xf>
    <xf numFmtId="3" fontId="0" fillId="3" borderId="1" xfId="0" applyNumberFormat="1" applyFill="1" applyBorder="1"/>
    <xf numFmtId="0" fontId="5" fillId="0" borderId="0" xfId="0" applyFont="1" applyAlignment="1">
      <alignment horizontal="right"/>
    </xf>
    <xf numFmtId="10" fontId="0" fillId="3" borderId="1" xfId="0" applyNumberFormat="1" applyFill="1" applyBorder="1"/>
    <xf numFmtId="9" fontId="0" fillId="0" borderId="0" xfId="1" applyFont="1"/>
    <xf numFmtId="165" fontId="0" fillId="0" borderId="0" xfId="1" applyNumberFormat="1" applyFont="1"/>
    <xf numFmtId="3" fontId="0" fillId="0" borderId="0" xfId="0" applyNumberFormat="1"/>
    <xf numFmtId="166" fontId="0" fillId="0" borderId="0" xfId="0" applyNumberFormat="1"/>
    <xf numFmtId="0" fontId="8" fillId="0" borderId="0" xfId="2" applyAlignment="1">
      <alignment vertical="center"/>
    </xf>
    <xf numFmtId="0" fontId="8" fillId="0" borderId="0" xfId="2" applyAlignment="1">
      <alignment horizontal="center" vertical="center"/>
    </xf>
    <xf numFmtId="0" fontId="8" fillId="0" borderId="0" xfId="2" applyAlignment="1">
      <alignment horizontal="center" vertical="center" wrapText="1"/>
    </xf>
    <xf numFmtId="0" fontId="8" fillId="0" borderId="0" xfId="2" applyBorder="1" applyAlignment="1">
      <alignment horizontal="center" vertical="center" wrapText="1"/>
    </xf>
    <xf numFmtId="0" fontId="8" fillId="0" borderId="3" xfId="2" applyBorder="1" applyAlignment="1">
      <alignment horizontal="center" vertical="center"/>
    </xf>
    <xf numFmtId="0" fontId="8" fillId="0" borderId="0" xfId="2" applyBorder="1" applyAlignment="1">
      <alignment vertical="center"/>
    </xf>
    <xf numFmtId="3" fontId="8" fillId="0" borderId="0" xfId="2" applyNumberFormat="1" applyFill="1" applyBorder="1" applyAlignment="1">
      <alignment horizontal="center" vertical="center"/>
    </xf>
    <xf numFmtId="4" fontId="8" fillId="0" borderId="0" xfId="2" applyNumberFormat="1" applyFill="1" applyBorder="1" applyAlignment="1">
      <alignment horizontal="center" vertical="center"/>
    </xf>
    <xf numFmtId="9" fontId="8" fillId="5" borderId="1" xfId="2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8" fillId="0" borderId="4" xfId="2" applyNumberFormat="1" applyBorder="1" applyAlignment="1">
      <alignment vertical="center"/>
    </xf>
    <xf numFmtId="1" fontId="8" fillId="0" borderId="5" xfId="2" applyNumberFormat="1" applyBorder="1" applyAlignment="1">
      <alignment vertical="center"/>
    </xf>
    <xf numFmtId="1" fontId="8" fillId="0" borderId="6" xfId="2" applyNumberFormat="1" applyBorder="1" applyAlignment="1">
      <alignment vertical="center"/>
    </xf>
    <xf numFmtId="22" fontId="0" fillId="0" borderId="0" xfId="0" applyNumberFormat="1"/>
    <xf numFmtId="2" fontId="0" fillId="0" borderId="0" xfId="0" applyNumberFormat="1"/>
    <xf numFmtId="0" fontId="3" fillId="0" borderId="0" xfId="0" applyFont="1" applyAlignment="1">
      <alignment horizontal="center"/>
    </xf>
    <xf numFmtId="0" fontId="11" fillId="10" borderId="12" xfId="0" applyFont="1" applyFill="1" applyBorder="1" applyAlignment="1">
      <alignment horizontal="center"/>
    </xf>
    <xf numFmtId="0" fontId="11" fillId="0" borderId="13" xfId="0" applyFont="1" applyBorder="1"/>
    <xf numFmtId="0" fontId="3" fillId="0" borderId="0" xfId="0" applyFont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/>
    </xf>
    <xf numFmtId="0" fontId="11" fillId="10" borderId="0" xfId="0" applyFont="1" applyFill="1" applyBorder="1" applyAlignment="1">
      <alignment horizontal="center"/>
    </xf>
    <xf numFmtId="0" fontId="11" fillId="0" borderId="15" xfId="0" applyFont="1" applyBorder="1"/>
    <xf numFmtId="0" fontId="0" fillId="11" borderId="0" xfId="0" applyFill="1"/>
    <xf numFmtId="168" fontId="0" fillId="0" borderId="0" xfId="0" applyNumberFormat="1"/>
    <xf numFmtId="9" fontId="0" fillId="0" borderId="0" xfId="0" applyNumberFormat="1"/>
    <xf numFmtId="2" fontId="0" fillId="0" borderId="0" xfId="0" applyNumberFormat="1" applyBorder="1"/>
    <xf numFmtId="168" fontId="0" fillId="0" borderId="15" xfId="0" applyNumberFormat="1" applyBorder="1"/>
    <xf numFmtId="2" fontId="0" fillId="0" borderId="2" xfId="0" applyNumberFormat="1" applyBorder="1"/>
    <xf numFmtId="168" fontId="0" fillId="0" borderId="17" xfId="0" applyNumberFormat="1" applyBorder="1"/>
    <xf numFmtId="0" fontId="12" fillId="0" borderId="0" xfId="0" applyFont="1"/>
    <xf numFmtId="1" fontId="0" fillId="0" borderId="0" xfId="0" applyNumberFormat="1"/>
    <xf numFmtId="9" fontId="0" fillId="3" borderId="1" xfId="1" applyFont="1" applyFill="1" applyBorder="1"/>
    <xf numFmtId="0" fontId="13" fillId="0" borderId="0" xfId="0" applyFont="1"/>
    <xf numFmtId="3" fontId="12" fillId="0" borderId="0" xfId="0" applyNumberFormat="1" applyFont="1" applyBorder="1"/>
    <xf numFmtId="3" fontId="12" fillId="0" borderId="19" xfId="0" applyNumberFormat="1" applyFont="1" applyBorder="1"/>
    <xf numFmtId="3" fontId="12" fillId="0" borderId="21" xfId="0" applyNumberFormat="1" applyFont="1" applyBorder="1"/>
    <xf numFmtId="3" fontId="12" fillId="0" borderId="7" xfId="0" applyNumberFormat="1" applyFont="1" applyBorder="1"/>
    <xf numFmtId="3" fontId="12" fillId="0" borderId="8" xfId="0" applyNumberFormat="1" applyFont="1" applyBorder="1"/>
    <xf numFmtId="3" fontId="12" fillId="0" borderId="9" xfId="0" applyNumberFormat="1" applyFont="1" applyBorder="1"/>
    <xf numFmtId="3" fontId="12" fillId="0" borderId="10" xfId="0" applyNumberFormat="1" applyFont="1" applyBorder="1"/>
    <xf numFmtId="0" fontId="0" fillId="0" borderId="0" xfId="0" applyAlignment="1">
      <alignment horizontal="center"/>
    </xf>
    <xf numFmtId="169" fontId="0" fillId="3" borderId="1" xfId="0" applyNumberFormat="1" applyFill="1" applyBorder="1"/>
    <xf numFmtId="1" fontId="0" fillId="0" borderId="14" xfId="0" applyNumberFormat="1" applyBorder="1"/>
    <xf numFmtId="1" fontId="0" fillId="0" borderId="16" xfId="0" applyNumberFormat="1" applyBorder="1"/>
    <xf numFmtId="0" fontId="3" fillId="0" borderId="0" xfId="0" applyFont="1" applyFill="1" applyBorder="1" applyAlignment="1">
      <alignment horizontal="right"/>
    </xf>
    <xf numFmtId="0" fontId="8" fillId="0" borderId="0" xfId="2" applyAlignment="1">
      <alignment horizontal="right" vertical="center"/>
    </xf>
    <xf numFmtId="1" fontId="8" fillId="0" borderId="0" xfId="2" applyNumberFormat="1" applyBorder="1" applyAlignment="1">
      <alignment vertical="center"/>
    </xf>
    <xf numFmtId="1" fontId="8" fillId="0" borderId="8" xfId="2" applyNumberFormat="1" applyBorder="1" applyAlignment="1">
      <alignment vertical="center"/>
    </xf>
    <xf numFmtId="3" fontId="8" fillId="0" borderId="20" xfId="2" applyNumberFormat="1" applyFill="1" applyBorder="1" applyAlignment="1">
      <alignment horizontal="center" vertical="center"/>
    </xf>
    <xf numFmtId="3" fontId="8" fillId="0" borderId="3" xfId="2" applyNumberFormat="1" applyFill="1" applyBorder="1" applyAlignment="1">
      <alignment horizontal="center" vertical="center"/>
    </xf>
    <xf numFmtId="3" fontId="8" fillId="5" borderId="20" xfId="2" applyNumberFormat="1" applyFill="1" applyBorder="1" applyAlignment="1">
      <alignment horizontal="center" vertical="center"/>
    </xf>
    <xf numFmtId="3" fontId="8" fillId="5" borderId="0" xfId="2" applyNumberFormat="1" applyFill="1" applyBorder="1" applyAlignment="1">
      <alignment horizontal="center" vertical="center"/>
    </xf>
    <xf numFmtId="3" fontId="8" fillId="0" borderId="8" xfId="2" applyNumberFormat="1" applyFill="1" applyBorder="1" applyAlignment="1">
      <alignment horizontal="center" vertical="center"/>
    </xf>
    <xf numFmtId="3" fontId="8" fillId="5" borderId="3" xfId="2" applyNumberFormat="1" applyFill="1" applyBorder="1" applyAlignment="1">
      <alignment horizontal="center" vertical="center"/>
    </xf>
    <xf numFmtId="3" fontId="0" fillId="0" borderId="0" xfId="0" applyNumberFormat="1" applyBorder="1"/>
    <xf numFmtId="3" fontId="0" fillId="0" borderId="8" xfId="0" applyNumberFormat="1" applyBorder="1"/>
    <xf numFmtId="165" fontId="8" fillId="0" borderId="3" xfId="1" applyNumberFormat="1" applyFont="1" applyBorder="1" applyAlignment="1">
      <alignment vertical="center"/>
    </xf>
    <xf numFmtId="165" fontId="8" fillId="0" borderId="10" xfId="1" applyNumberFormat="1" applyFont="1" applyBorder="1" applyAlignment="1">
      <alignment vertical="center"/>
    </xf>
    <xf numFmtId="0" fontId="8" fillId="0" borderId="9" xfId="2" applyBorder="1" applyAlignment="1">
      <alignment horizontal="center" vertical="center"/>
    </xf>
    <xf numFmtId="0" fontId="8" fillId="0" borderId="10" xfId="2" applyBorder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0" fillId="0" borderId="7" xfId="0" applyBorder="1"/>
    <xf numFmtId="0" fontId="0" fillId="0" borderId="5" xfId="0" applyBorder="1"/>
    <xf numFmtId="0" fontId="0" fillId="0" borderId="6" xfId="0" applyBorder="1"/>
    <xf numFmtId="0" fontId="0" fillId="0" borderId="1" xfId="0" applyBorder="1" applyAlignment="1">
      <alignment horizontal="center"/>
    </xf>
    <xf numFmtId="3" fontId="8" fillId="0" borderId="9" xfId="2" applyNumberFormat="1" applyFill="1" applyBorder="1" applyAlignment="1">
      <alignment horizontal="center" vertical="center"/>
    </xf>
    <xf numFmtId="167" fontId="8" fillId="0" borderId="9" xfId="2" applyNumberFormat="1" applyBorder="1" applyAlignment="1">
      <alignment vertical="center"/>
    </xf>
    <xf numFmtId="167" fontId="8" fillId="0" borderId="3" xfId="2" applyNumberFormat="1" applyBorder="1" applyAlignment="1">
      <alignment vertical="center"/>
    </xf>
    <xf numFmtId="167" fontId="8" fillId="0" borderId="10" xfId="2" applyNumberFormat="1" applyBorder="1" applyAlignment="1">
      <alignment vertical="center"/>
    </xf>
    <xf numFmtId="1" fontId="8" fillId="0" borderId="19" xfId="2" applyNumberFormat="1" applyBorder="1" applyAlignment="1">
      <alignment vertical="center"/>
    </xf>
    <xf numFmtId="1" fontId="8" fillId="0" borderId="20" xfId="2" applyNumberFormat="1" applyBorder="1" applyAlignment="1">
      <alignment vertical="center"/>
    </xf>
    <xf numFmtId="1" fontId="8" fillId="0" borderId="21" xfId="2" applyNumberFormat="1" applyBorder="1" applyAlignment="1">
      <alignment vertical="center"/>
    </xf>
    <xf numFmtId="1" fontId="8" fillId="0" borderId="7" xfId="2" applyNumberFormat="1" applyBorder="1" applyAlignment="1">
      <alignment vertical="center"/>
    </xf>
    <xf numFmtId="0" fontId="0" fillId="7" borderId="0" xfId="0" applyFill="1"/>
    <xf numFmtId="0" fontId="0" fillId="6" borderId="0" xfId="0" applyFill="1"/>
    <xf numFmtId="168" fontId="0" fillId="7" borderId="0" xfId="0" applyNumberFormat="1" applyFill="1"/>
    <xf numFmtId="168" fontId="0" fillId="6" borderId="0" xfId="0" applyNumberFormat="1" applyFill="1"/>
    <xf numFmtId="172" fontId="0" fillId="0" borderId="0" xfId="0" applyNumberFormat="1"/>
    <xf numFmtId="1" fontId="0" fillId="7" borderId="0" xfId="0" applyNumberFormat="1" applyFill="1"/>
    <xf numFmtId="0" fontId="0" fillId="8" borderId="0" xfId="0" applyFill="1"/>
    <xf numFmtId="168" fontId="0" fillId="8" borderId="0" xfId="0" applyNumberFormat="1" applyFill="1"/>
    <xf numFmtId="4" fontId="0" fillId="3" borderId="1" xfId="0" applyNumberFormat="1" applyFill="1" applyBorder="1"/>
    <xf numFmtId="171" fontId="0" fillId="3" borderId="1" xfId="0" applyNumberFormat="1" applyFill="1" applyBorder="1"/>
    <xf numFmtId="3" fontId="8" fillId="5" borderId="21" xfId="2" applyNumberFormat="1" applyFill="1" applyBorder="1" applyAlignment="1">
      <alignment horizontal="center" vertical="center"/>
    </xf>
    <xf numFmtId="9" fontId="0" fillId="0" borderId="7" xfId="1" applyFont="1" applyBorder="1"/>
    <xf numFmtId="1" fontId="0" fillId="0" borderId="0" xfId="0" applyNumberFormat="1" applyBorder="1"/>
    <xf numFmtId="1" fontId="0" fillId="0" borderId="8" xfId="0" applyNumberFormat="1" applyBorder="1"/>
    <xf numFmtId="1" fontId="2" fillId="0" borderId="8" xfId="0" applyNumberFormat="1" applyFont="1" applyBorder="1"/>
    <xf numFmtId="9" fontId="0" fillId="0" borderId="9" xfId="1" applyFont="1" applyBorder="1"/>
    <xf numFmtId="1" fontId="0" fillId="0" borderId="3" xfId="0" applyNumberFormat="1" applyBorder="1"/>
    <xf numFmtId="1" fontId="0" fillId="0" borderId="10" xfId="0" applyNumberFormat="1" applyBorder="1"/>
    <xf numFmtId="9" fontId="0" fillId="0" borderId="21" xfId="1" applyFont="1" applyBorder="1"/>
    <xf numFmtId="9" fontId="0" fillId="0" borderId="8" xfId="1" applyFont="1" applyBorder="1"/>
    <xf numFmtId="9" fontId="0" fillId="0" borderId="10" xfId="1" applyFont="1" applyBorder="1"/>
    <xf numFmtId="3" fontId="0" fillId="0" borderId="3" xfId="0" applyNumberFormat="1" applyBorder="1"/>
    <xf numFmtId="3" fontId="12" fillId="0" borderId="20" xfId="0" applyNumberFormat="1" applyFont="1" applyBorder="1"/>
    <xf numFmtId="3" fontId="12" fillId="0" borderId="3" xfId="0" applyNumberFormat="1" applyFont="1" applyBorder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13" borderId="0" xfId="0" applyFill="1"/>
    <xf numFmtId="2" fontId="0" fillId="0" borderId="14" xfId="0" applyNumberFormat="1" applyBorder="1"/>
    <xf numFmtId="2" fontId="0" fillId="0" borderId="16" xfId="0" applyNumberFormat="1" applyBorder="1"/>
    <xf numFmtId="2" fontId="2" fillId="0" borderId="2" xfId="0" applyNumberFormat="1" applyFont="1" applyBorder="1"/>
    <xf numFmtId="1" fontId="0" fillId="6" borderId="0" xfId="0" applyNumberFormat="1" applyFill="1" applyBorder="1"/>
    <xf numFmtId="3" fontId="0" fillId="0" borderId="1" xfId="0" applyNumberFormat="1" applyFill="1" applyBorder="1"/>
    <xf numFmtId="0" fontId="10" fillId="0" borderId="0" xfId="2" applyFont="1" applyAlignment="1">
      <alignment vertical="center"/>
    </xf>
    <xf numFmtId="0" fontId="8" fillId="0" borderId="0" xfId="2" applyFont="1"/>
    <xf numFmtId="0" fontId="8" fillId="0" borderId="0" xfId="2" applyFont="1" applyFill="1"/>
    <xf numFmtId="0" fontId="8" fillId="0" borderId="0" xfId="2" applyFont="1" applyFill="1" applyBorder="1"/>
    <xf numFmtId="0" fontId="10" fillId="0" borderId="0" xfId="2" applyFont="1" applyFill="1" applyBorder="1" applyAlignment="1">
      <alignment horizontal="right"/>
    </xf>
    <xf numFmtId="0" fontId="8" fillId="0" borderId="0" xfId="2" applyFont="1" applyBorder="1"/>
    <xf numFmtId="0" fontId="3" fillId="0" borderId="0" xfId="0" applyFont="1"/>
    <xf numFmtId="0" fontId="0" fillId="0" borderId="8" xfId="0" applyBorder="1"/>
    <xf numFmtId="3" fontId="0" fillId="0" borderId="10" xfId="0" applyNumberFormat="1" applyBorder="1"/>
    <xf numFmtId="0" fontId="0" fillId="0" borderId="15" xfId="0" applyBorder="1"/>
    <xf numFmtId="0" fontId="0" fillId="0" borderId="0" xfId="0" applyAlignment="1">
      <alignment horizontal="right"/>
    </xf>
    <xf numFmtId="0" fontId="0" fillId="0" borderId="0" xfId="0" applyFill="1"/>
    <xf numFmtId="0" fontId="22" fillId="0" borderId="0" xfId="0" applyFont="1" applyFill="1"/>
    <xf numFmtId="0" fontId="22" fillId="15" borderId="0" xfId="0" applyFont="1" applyFill="1"/>
    <xf numFmtId="0" fontId="24" fillId="15" borderId="0" xfId="0" applyFont="1" applyFill="1" applyAlignment="1">
      <alignment vertical="center"/>
    </xf>
    <xf numFmtId="0" fontId="25" fillId="0" borderId="0" xfId="0" applyFont="1" applyFill="1" applyAlignment="1">
      <alignment horizontal="center"/>
    </xf>
    <xf numFmtId="0" fontId="0" fillId="15" borderId="0" xfId="0" applyFill="1" applyAlignment="1">
      <alignment vertical="center"/>
    </xf>
    <xf numFmtId="0" fontId="26" fillId="18" borderId="11" xfId="6" applyFont="1" applyFill="1" applyBorder="1" applyAlignment="1">
      <alignment horizontal="center" vertical="center" wrapText="1" readingOrder="1"/>
    </xf>
    <xf numFmtId="0" fontId="26" fillId="18" borderId="12" xfId="6" applyFont="1" applyFill="1" applyBorder="1" applyAlignment="1">
      <alignment horizontal="center" vertical="center" wrapText="1" readingOrder="1"/>
    </xf>
    <xf numFmtId="0" fontId="26" fillId="18" borderId="13" xfId="6" applyFont="1" applyFill="1" applyBorder="1" applyAlignment="1">
      <alignment horizontal="center" vertical="center" wrapText="1" readingOrder="1"/>
    </xf>
    <xf numFmtId="0" fontId="10" fillId="15" borderId="0" xfId="6" applyFont="1" applyFill="1" applyBorder="1" applyAlignment="1">
      <alignment vertical="center"/>
    </xf>
    <xf numFmtId="0" fontId="27" fillId="0" borderId="0" xfId="6" applyFont="1" applyFill="1" applyBorder="1" applyAlignment="1">
      <alignment horizontal="center" wrapText="1" readingOrder="1"/>
    </xf>
    <xf numFmtId="0" fontId="28" fillId="0" borderId="14" xfId="6" applyFont="1" applyFill="1" applyBorder="1" applyAlignment="1">
      <alignment horizontal="left" vertical="center" wrapText="1" readingOrder="1"/>
    </xf>
    <xf numFmtId="0" fontId="28" fillId="0" borderId="0" xfId="6" applyFont="1" applyFill="1" applyBorder="1" applyAlignment="1">
      <alignment horizontal="center" vertical="center" wrapText="1" readingOrder="1"/>
    </xf>
    <xf numFmtId="3" fontId="28" fillId="0" borderId="15" xfId="6" applyNumberFormat="1" applyFont="1" applyFill="1" applyBorder="1" applyAlignment="1">
      <alignment horizontal="center" vertical="center" wrapText="1" readingOrder="1"/>
    </xf>
    <xf numFmtId="0" fontId="8" fillId="15" borderId="0" xfId="6" applyFill="1" applyBorder="1" applyAlignment="1">
      <alignment vertical="center"/>
    </xf>
    <xf numFmtId="3" fontId="28" fillId="0" borderId="0" xfId="6" applyNumberFormat="1" applyFont="1" applyFill="1" applyBorder="1" applyAlignment="1">
      <alignment horizontal="center" wrapText="1" readingOrder="1"/>
    </xf>
    <xf numFmtId="2" fontId="28" fillId="0" borderId="15" xfId="6" applyNumberFormat="1" applyFont="1" applyFill="1" applyBorder="1" applyAlignment="1">
      <alignment horizontal="center" vertical="center" wrapText="1" readingOrder="1"/>
    </xf>
    <xf numFmtId="3" fontId="8" fillId="15" borderId="0" xfId="6" applyNumberFormat="1" applyFill="1" applyBorder="1" applyAlignment="1">
      <alignment vertical="center"/>
    </xf>
    <xf numFmtId="174" fontId="28" fillId="0" borderId="0" xfId="6" applyNumberFormat="1" applyFont="1" applyFill="1" applyBorder="1" applyAlignment="1">
      <alignment horizontal="center" wrapText="1" readingOrder="1"/>
    </xf>
    <xf numFmtId="3" fontId="27" fillId="0" borderId="15" xfId="6" applyNumberFormat="1" applyFont="1" applyFill="1" applyBorder="1" applyAlignment="1">
      <alignment horizontal="center" vertical="center" wrapText="1" readingOrder="1"/>
    </xf>
    <xf numFmtId="0" fontId="27" fillId="0" borderId="16" xfId="6" applyFont="1" applyFill="1" applyBorder="1" applyAlignment="1">
      <alignment horizontal="left" vertical="center" wrapText="1" readingOrder="1"/>
    </xf>
    <xf numFmtId="0" fontId="27" fillId="0" borderId="2" xfId="6" applyFont="1" applyFill="1" applyBorder="1" applyAlignment="1">
      <alignment horizontal="center" vertical="center" wrapText="1" readingOrder="1"/>
    </xf>
    <xf numFmtId="4" fontId="27" fillId="0" borderId="17" xfId="6" applyNumberFormat="1" applyFont="1" applyFill="1" applyBorder="1" applyAlignment="1">
      <alignment horizontal="center" vertical="center" wrapText="1" readingOrder="1"/>
    </xf>
    <xf numFmtId="4" fontId="27" fillId="0" borderId="0" xfId="6" applyNumberFormat="1" applyFont="1" applyFill="1" applyBorder="1" applyAlignment="1">
      <alignment horizontal="center" wrapText="1" readingOrder="1"/>
    </xf>
    <xf numFmtId="0" fontId="27" fillId="18" borderId="11" xfId="6" applyFont="1" applyFill="1" applyBorder="1" applyAlignment="1">
      <alignment horizontal="center" vertical="center" wrapText="1" readingOrder="1"/>
    </xf>
    <xf numFmtId="0" fontId="27" fillId="18" borderId="12" xfId="6" applyFont="1" applyFill="1" applyBorder="1" applyAlignment="1">
      <alignment horizontal="center" vertical="center" wrapText="1" readingOrder="1"/>
    </xf>
    <xf numFmtId="0" fontId="27" fillId="18" borderId="13" xfId="6" applyFont="1" applyFill="1" applyBorder="1" applyAlignment="1">
      <alignment horizontal="center" vertical="center" wrapText="1" readingOrder="1"/>
    </xf>
    <xf numFmtId="4" fontId="28" fillId="0" borderId="15" xfId="6" applyNumberFormat="1" applyFont="1" applyFill="1" applyBorder="1" applyAlignment="1">
      <alignment horizontal="center" vertical="center" wrapText="1" readingOrder="1"/>
    </xf>
    <xf numFmtId="173" fontId="28" fillId="0" borderId="0" xfId="6" applyNumberFormat="1" applyFont="1" applyFill="1" applyBorder="1" applyAlignment="1">
      <alignment horizontal="center" wrapText="1" readingOrder="1"/>
    </xf>
    <xf numFmtId="3" fontId="10" fillId="15" borderId="0" xfId="6" applyNumberFormat="1" applyFont="1" applyFill="1" applyBorder="1" applyAlignment="1">
      <alignment vertical="center"/>
    </xf>
    <xf numFmtId="0" fontId="8" fillId="15" borderId="18" xfId="6" applyFill="1" applyBorder="1" applyAlignment="1">
      <alignment vertical="center"/>
    </xf>
    <xf numFmtId="0" fontId="0" fillId="0" borderId="16" xfId="0" applyBorder="1"/>
    <xf numFmtId="0" fontId="0" fillId="0" borderId="17" xfId="0" applyBorder="1"/>
    <xf numFmtId="4" fontId="28" fillId="0" borderId="0" xfId="6" applyNumberFormat="1" applyFont="1" applyFill="1" applyBorder="1" applyAlignment="1">
      <alignment horizontal="center" wrapText="1" readingOrder="1"/>
    </xf>
    <xf numFmtId="0" fontId="27" fillId="0" borderId="17" xfId="6" applyFont="1" applyFill="1" applyBorder="1" applyAlignment="1">
      <alignment horizontal="center" vertical="center" wrapText="1" readingOrder="1"/>
    </xf>
    <xf numFmtId="3" fontId="10" fillId="0" borderId="0" xfId="6" applyNumberFormat="1" applyFont="1" applyFill="1" applyBorder="1" applyAlignment="1">
      <alignment horizontal="center"/>
    </xf>
    <xf numFmtId="2" fontId="8" fillId="15" borderId="0" xfId="6" applyNumberFormat="1" applyFont="1" applyFill="1" applyBorder="1"/>
    <xf numFmtId="3" fontId="8" fillId="0" borderId="0" xfId="6" applyNumberFormat="1" applyFill="1" applyBorder="1"/>
    <xf numFmtId="0" fontId="8" fillId="0" borderId="0" xfId="6" applyFill="1" applyBorder="1"/>
    <xf numFmtId="0" fontId="27" fillId="18" borderId="27" xfId="6" applyFont="1" applyFill="1" applyBorder="1" applyAlignment="1">
      <alignment horizontal="center" vertical="center" wrapText="1" readingOrder="1"/>
    </xf>
    <xf numFmtId="3" fontId="10" fillId="18" borderId="32" xfId="6" applyNumberFormat="1" applyFont="1" applyFill="1" applyBorder="1" applyAlignment="1">
      <alignment horizontal="center" vertical="center"/>
    </xf>
    <xf numFmtId="0" fontId="18" fillId="0" borderId="0" xfId="6" applyFont="1" applyFill="1" applyBorder="1"/>
    <xf numFmtId="3" fontId="18" fillId="0" borderId="0" xfId="6" applyNumberFormat="1" applyFont="1" applyFill="1" applyBorder="1"/>
    <xf numFmtId="0" fontId="10" fillId="0" borderId="0" xfId="2" applyFont="1" applyFill="1" applyBorder="1"/>
    <xf numFmtId="0" fontId="0" fillId="0" borderId="12" xfId="0" applyBorder="1"/>
    <xf numFmtId="0" fontId="0" fillId="0" borderId="14" xfId="0" applyBorder="1"/>
    <xf numFmtId="0" fontId="8" fillId="0" borderId="0" xfId="2"/>
    <xf numFmtId="0" fontId="32" fillId="0" borderId="0" xfId="2" applyFont="1" applyFill="1" applyBorder="1"/>
    <xf numFmtId="0" fontId="33" fillId="17" borderId="0" xfId="7" applyFont="1" applyFill="1"/>
    <xf numFmtId="0" fontId="8" fillId="0" borderId="0" xfId="7"/>
    <xf numFmtId="0" fontId="8" fillId="0" borderId="0" xfId="2" applyFill="1" applyBorder="1"/>
    <xf numFmtId="0" fontId="32" fillId="11" borderId="33" xfId="2" applyFont="1" applyFill="1" applyBorder="1"/>
    <xf numFmtId="0" fontId="32" fillId="11" borderId="34" xfId="2" applyFont="1" applyFill="1" applyBorder="1"/>
    <xf numFmtId="0" fontId="32" fillId="11" borderId="35" xfId="2" applyFont="1" applyFill="1" applyBorder="1"/>
    <xf numFmtId="0" fontId="33" fillId="0" borderId="0" xfId="2" applyFont="1" applyFill="1" applyBorder="1"/>
    <xf numFmtId="0" fontId="8" fillId="0" borderId="36" xfId="2" applyBorder="1"/>
    <xf numFmtId="0" fontId="8" fillId="0" borderId="0" xfId="2" applyBorder="1"/>
    <xf numFmtId="0" fontId="8" fillId="0" borderId="37" xfId="2" applyBorder="1"/>
    <xf numFmtId="0" fontId="10" fillId="0" borderId="0" xfId="2" applyFont="1" applyAlignment="1">
      <alignment horizontal="center"/>
    </xf>
    <xf numFmtId="0" fontId="33" fillId="17" borderId="36" xfId="2" applyFont="1" applyFill="1" applyBorder="1"/>
    <xf numFmtId="0" fontId="8" fillId="17" borderId="0" xfId="2" applyFill="1" applyBorder="1"/>
    <xf numFmtId="0" fontId="8" fillId="17" borderId="37" xfId="2" applyFill="1" applyBorder="1"/>
    <xf numFmtId="0" fontId="8" fillId="0" borderId="0" xfId="2" applyAlignment="1">
      <alignment horizontal="right"/>
    </xf>
    <xf numFmtId="175" fontId="8" fillId="0" borderId="0" xfId="2" applyNumberFormat="1"/>
    <xf numFmtId="0" fontId="10" fillId="0" borderId="36" xfId="2" applyFont="1" applyBorder="1" applyAlignment="1">
      <alignment horizontal="right"/>
    </xf>
    <xf numFmtId="0" fontId="10" fillId="0" borderId="0" xfId="7" applyFont="1" applyAlignment="1">
      <alignment horizontal="center"/>
    </xf>
    <xf numFmtId="0" fontId="0" fillId="0" borderId="0" xfId="7" applyFont="1" applyFill="1" applyAlignment="1">
      <alignment horizontal="right"/>
    </xf>
    <xf numFmtId="167" fontId="8" fillId="0" borderId="0" xfId="7" applyNumberFormat="1"/>
    <xf numFmtId="167" fontId="8" fillId="0" borderId="0" xfId="2" applyNumberFormat="1"/>
    <xf numFmtId="0" fontId="10" fillId="0" borderId="0" xfId="7" applyFont="1" applyAlignment="1">
      <alignment horizontal="right"/>
    </xf>
    <xf numFmtId="0" fontId="8" fillId="0" borderId="0" xfId="7" applyFont="1" applyAlignment="1">
      <alignment horizontal="right"/>
    </xf>
    <xf numFmtId="167" fontId="8" fillId="0" borderId="0" xfId="7" applyNumberFormat="1" applyAlignment="1">
      <alignment horizontal="center"/>
    </xf>
    <xf numFmtId="176" fontId="8" fillId="0" borderId="0" xfId="2" applyNumberFormat="1" applyBorder="1"/>
    <xf numFmtId="0" fontId="8" fillId="0" borderId="0" xfId="7" applyAlignment="1">
      <alignment horizontal="right"/>
    </xf>
    <xf numFmtId="0" fontId="8" fillId="0" borderId="0" xfId="7" applyAlignment="1">
      <alignment horizontal="center"/>
    </xf>
    <xf numFmtId="174" fontId="8" fillId="0" borderId="0" xfId="7" applyNumberFormat="1" applyAlignment="1">
      <alignment horizontal="center"/>
    </xf>
    <xf numFmtId="175" fontId="34" fillId="0" borderId="0" xfId="2" applyNumberFormat="1" applyFont="1"/>
    <xf numFmtId="0" fontId="10" fillId="0" borderId="36" xfId="2" applyFont="1" applyFill="1" applyBorder="1" applyAlignment="1">
      <alignment horizontal="right"/>
    </xf>
    <xf numFmtId="0" fontId="8" fillId="0" borderId="0" xfId="2" applyFill="1"/>
    <xf numFmtId="3" fontId="8" fillId="0" borderId="0" xfId="7" applyNumberFormat="1" applyFill="1" applyAlignment="1">
      <alignment horizontal="center"/>
    </xf>
    <xf numFmtId="3" fontId="8" fillId="0" borderId="0" xfId="7" applyNumberFormat="1" applyAlignment="1">
      <alignment horizontal="center"/>
    </xf>
    <xf numFmtId="3" fontId="10" fillId="0" borderId="0" xfId="7" applyNumberFormat="1" applyFont="1" applyAlignment="1">
      <alignment horizontal="center"/>
    </xf>
    <xf numFmtId="3" fontId="8" fillId="0" borderId="0" xfId="2" applyNumberFormat="1"/>
    <xf numFmtId="0" fontId="8" fillId="0" borderId="0" xfId="7" applyFont="1" applyAlignment="1">
      <alignment horizontal="center"/>
    </xf>
    <xf numFmtId="9" fontId="8" fillId="0" borderId="0" xfId="8" applyFont="1" applyAlignment="1">
      <alignment horizontal="center"/>
    </xf>
    <xf numFmtId="3" fontId="8" fillId="0" borderId="0" xfId="2" applyNumberFormat="1" applyBorder="1"/>
    <xf numFmtId="9" fontId="8" fillId="0" borderId="0" xfId="7" applyNumberFormat="1" applyAlignment="1">
      <alignment horizontal="center"/>
    </xf>
    <xf numFmtId="9" fontId="8" fillId="0" borderId="0" xfId="8" applyNumberFormat="1" applyFont="1" applyAlignment="1">
      <alignment horizontal="center"/>
    </xf>
    <xf numFmtId="170" fontId="8" fillId="0" borderId="0" xfId="2" applyNumberFormat="1" applyBorder="1"/>
    <xf numFmtId="177" fontId="10" fillId="0" borderId="0" xfId="7" applyNumberFormat="1" applyFont="1" applyAlignment="1">
      <alignment horizontal="center"/>
    </xf>
    <xf numFmtId="0" fontId="8" fillId="0" borderId="38" xfId="2" applyBorder="1"/>
    <xf numFmtId="0" fontId="8" fillId="0" borderId="39" xfId="2" applyBorder="1"/>
    <xf numFmtId="0" fontId="8" fillId="0" borderId="40" xfId="2" applyBorder="1"/>
    <xf numFmtId="0" fontId="33" fillId="0" borderId="0" xfId="7" applyFont="1" applyFill="1"/>
    <xf numFmtId="0" fontId="8" fillId="0" borderId="0" xfId="7" applyFill="1"/>
    <xf numFmtId="0" fontId="35" fillId="0" borderId="0" xfId="7" applyFont="1" applyFill="1"/>
    <xf numFmtId="0" fontId="35" fillId="0" borderId="0" xfId="2" applyFont="1"/>
    <xf numFmtId="0" fontId="8" fillId="0" borderId="0" xfId="7" applyFont="1" applyFill="1" applyAlignment="1">
      <alignment horizontal="right"/>
    </xf>
    <xf numFmtId="174" fontId="8" fillId="0" borderId="0" xfId="7" applyNumberFormat="1" applyFill="1"/>
    <xf numFmtId="0" fontId="8" fillId="0" borderId="0" xfId="2" applyFont="1" applyAlignment="1">
      <alignment horizontal="right"/>
    </xf>
    <xf numFmtId="167" fontId="8" fillId="0" borderId="0" xfId="7" applyNumberFormat="1" applyFill="1"/>
    <xf numFmtId="4" fontId="8" fillId="0" borderId="0" xfId="2" applyNumberFormat="1"/>
    <xf numFmtId="0" fontId="10" fillId="0" borderId="0" xfId="7" applyFont="1" applyFill="1" applyAlignment="1">
      <alignment horizontal="right"/>
    </xf>
    <xf numFmtId="0" fontId="10" fillId="0" borderId="0" xfId="7" applyFont="1" applyFill="1" applyAlignment="1">
      <alignment horizontal="center"/>
    </xf>
    <xf numFmtId="167" fontId="8" fillId="0" borderId="0" xfId="7" applyNumberFormat="1" applyFill="1" applyAlignment="1">
      <alignment horizontal="center"/>
    </xf>
    <xf numFmtId="0" fontId="8" fillId="0" borderId="0" xfId="7" applyFill="1" applyAlignment="1">
      <alignment horizontal="right"/>
    </xf>
    <xf numFmtId="174" fontId="36" fillId="0" borderId="0" xfId="7" applyNumberFormat="1" applyFont="1" applyFill="1" applyAlignment="1">
      <alignment horizontal="center"/>
    </xf>
    <xf numFmtId="174" fontId="8" fillId="0" borderId="0" xfId="7" applyNumberFormat="1" applyFill="1" applyAlignment="1">
      <alignment horizontal="center"/>
    </xf>
    <xf numFmtId="0" fontId="37" fillId="0" borderId="0" xfId="7" applyFont="1" applyFill="1" applyAlignment="1">
      <alignment horizontal="right"/>
    </xf>
    <xf numFmtId="174" fontId="37" fillId="0" borderId="0" xfId="7" applyNumberFormat="1" applyFont="1" applyFill="1" applyAlignment="1">
      <alignment horizontal="center"/>
    </xf>
    <xf numFmtId="174" fontId="38" fillId="0" borderId="0" xfId="7" applyNumberFormat="1" applyFont="1" applyFill="1" applyAlignment="1">
      <alignment horizontal="center"/>
    </xf>
    <xf numFmtId="3" fontId="37" fillId="0" borderId="0" xfId="7" applyNumberFormat="1" applyFont="1" applyFill="1" applyAlignment="1">
      <alignment horizontal="center"/>
    </xf>
    <xf numFmtId="173" fontId="36" fillId="0" borderId="0" xfId="7" applyNumberFormat="1" applyFont="1" applyFill="1" applyAlignment="1">
      <alignment horizontal="center"/>
    </xf>
    <xf numFmtId="178" fontId="36" fillId="0" borderId="0" xfId="7" applyNumberFormat="1" applyFont="1" applyFill="1" applyAlignment="1">
      <alignment horizontal="center"/>
    </xf>
    <xf numFmtId="3" fontId="10" fillId="0" borderId="0" xfId="7" applyNumberFormat="1" applyFont="1" applyFill="1" applyAlignment="1">
      <alignment horizontal="center"/>
    </xf>
    <xf numFmtId="0" fontId="8" fillId="0" borderId="0" xfId="7" applyFill="1" applyAlignment="1">
      <alignment horizontal="center"/>
    </xf>
    <xf numFmtId="178" fontId="36" fillId="0" borderId="0" xfId="2" applyNumberFormat="1" applyFont="1" applyFill="1"/>
    <xf numFmtId="0" fontId="8" fillId="0" borderId="0" xfId="7" applyFont="1" applyFill="1" applyAlignment="1">
      <alignment horizontal="center"/>
    </xf>
    <xf numFmtId="9" fontId="8" fillId="0" borderId="0" xfId="8" applyFont="1" applyFill="1" applyAlignment="1">
      <alignment horizontal="center"/>
    </xf>
    <xf numFmtId="9" fontId="8" fillId="0" borderId="0" xfId="8" applyNumberFormat="1" applyFont="1" applyFill="1" applyAlignment="1">
      <alignment horizontal="center"/>
    </xf>
    <xf numFmtId="171" fontId="36" fillId="0" borderId="0" xfId="7" applyNumberFormat="1" applyFont="1" applyFill="1" applyAlignment="1">
      <alignment horizontal="center"/>
    </xf>
    <xf numFmtId="173" fontId="36" fillId="0" borderId="0" xfId="2" applyNumberFormat="1" applyFont="1" applyFill="1"/>
    <xf numFmtId="0" fontId="8" fillId="15" borderId="0" xfId="2" applyFill="1"/>
    <xf numFmtId="0" fontId="8" fillId="15" borderId="45" xfId="2" applyFill="1" applyBorder="1"/>
    <xf numFmtId="0" fontId="8" fillId="15" borderId="34" xfId="2" applyFill="1" applyBorder="1"/>
    <xf numFmtId="0" fontId="8" fillId="15" borderId="41" xfId="2" applyFill="1" applyBorder="1"/>
    <xf numFmtId="0" fontId="8" fillId="15" borderId="35" xfId="2" applyFill="1" applyBorder="1"/>
    <xf numFmtId="0" fontId="8" fillId="15" borderId="36" xfId="2" applyFill="1" applyBorder="1"/>
    <xf numFmtId="0" fontId="8" fillId="15" borderId="0" xfId="2" applyFill="1" applyBorder="1"/>
    <xf numFmtId="0" fontId="8" fillId="15" borderId="8" xfId="2" applyFill="1" applyBorder="1"/>
    <xf numFmtId="0" fontId="8" fillId="15" borderId="37" xfId="2" applyFill="1" applyBorder="1"/>
    <xf numFmtId="0" fontId="8" fillId="15" borderId="47" xfId="2" applyFill="1" applyBorder="1"/>
    <xf numFmtId="0" fontId="8" fillId="15" borderId="39" xfId="2" applyFill="1" applyBorder="1"/>
    <xf numFmtId="0" fontId="8" fillId="15" borderId="43" xfId="2" applyFill="1" applyBorder="1"/>
    <xf numFmtId="0" fontId="8" fillId="15" borderId="40" xfId="2" applyFill="1" applyBorder="1"/>
    <xf numFmtId="0" fontId="8" fillId="15" borderId="46" xfId="2" applyFill="1" applyBorder="1"/>
    <xf numFmtId="0" fontId="10" fillId="15" borderId="46" xfId="2" applyFont="1" applyFill="1" applyBorder="1" applyAlignment="1">
      <alignment horizontal="center" vertical="center"/>
    </xf>
    <xf numFmtId="0" fontId="10" fillId="15" borderId="47" xfId="2" applyFont="1" applyFill="1" applyBorder="1" applyAlignment="1">
      <alignment horizontal="center" vertical="center"/>
    </xf>
    <xf numFmtId="0" fontId="8" fillId="15" borderId="42" xfId="2" applyFill="1" applyBorder="1"/>
    <xf numFmtId="0" fontId="8" fillId="15" borderId="7" xfId="2" applyFill="1" applyBorder="1"/>
    <xf numFmtId="0" fontId="8" fillId="15" borderId="44" xfId="2" applyFill="1" applyBorder="1"/>
    <xf numFmtId="0" fontId="32" fillId="15" borderId="0" xfId="2" applyFont="1" applyFill="1" applyAlignment="1">
      <alignment horizontal="right"/>
    </xf>
    <xf numFmtId="167" fontId="8" fillId="15" borderId="0" xfId="2" applyNumberFormat="1" applyFill="1"/>
    <xf numFmtId="0" fontId="8" fillId="15" borderId="0" xfId="2" applyFont="1" applyFill="1"/>
    <xf numFmtId="0" fontId="8" fillId="15" borderId="0" xfId="2" applyFont="1" applyFill="1" applyAlignment="1">
      <alignment horizontal="right"/>
    </xf>
    <xf numFmtId="174" fontId="8" fillId="15" borderId="0" xfId="2" applyNumberFormat="1" applyFill="1"/>
    <xf numFmtId="0" fontId="10" fillId="15" borderId="0" xfId="2" applyFont="1" applyFill="1" applyAlignment="1">
      <alignment horizontal="right"/>
    </xf>
    <xf numFmtId="0" fontId="41" fillId="15" borderId="0" xfId="2" applyFont="1" applyFill="1"/>
    <xf numFmtId="174" fontId="8" fillId="0" borderId="0" xfId="2" applyNumberFormat="1"/>
    <xf numFmtId="175" fontId="8" fillId="0" borderId="0" xfId="2" applyNumberFormat="1" applyAlignment="1">
      <alignment horizontal="center"/>
    </xf>
    <xf numFmtId="174" fontId="8" fillId="0" borderId="0" xfId="2" applyNumberFormat="1" applyAlignment="1">
      <alignment horizontal="center"/>
    </xf>
    <xf numFmtId="9" fontId="0" fillId="0" borderId="0" xfId="3" applyFont="1" applyAlignment="1">
      <alignment horizontal="left"/>
    </xf>
    <xf numFmtId="3" fontId="8" fillId="0" borderId="0" xfId="7" quotePrefix="1" applyNumberFormat="1" applyAlignment="1">
      <alignment horizontal="center"/>
    </xf>
    <xf numFmtId="3" fontId="8" fillId="0" borderId="0" xfId="7" applyNumberFormat="1" applyFont="1" applyAlignment="1">
      <alignment horizontal="center"/>
    </xf>
    <xf numFmtId="0" fontId="10" fillId="18" borderId="26" xfId="6" applyFont="1" applyFill="1" applyBorder="1" applyAlignment="1">
      <alignment horizontal="center" vertical="center"/>
    </xf>
    <xf numFmtId="0" fontId="10" fillId="15" borderId="4" xfId="6" applyFont="1" applyFill="1" applyBorder="1" applyAlignment="1">
      <alignment horizontal="center"/>
    </xf>
    <xf numFmtId="165" fontId="25" fillId="15" borderId="1" xfId="1" applyNumberFormat="1" applyFont="1" applyFill="1" applyBorder="1" applyAlignment="1">
      <alignment horizontal="center"/>
    </xf>
    <xf numFmtId="179" fontId="25" fillId="15" borderId="1" xfId="0" applyNumberFormat="1" applyFont="1" applyFill="1" applyBorder="1" applyAlignment="1">
      <alignment horizontal="center"/>
    </xf>
    <xf numFmtId="175" fontId="8" fillId="6" borderId="0" xfId="2" applyNumberFormat="1" applyFill="1"/>
    <xf numFmtId="0" fontId="8" fillId="6" borderId="0" xfId="2" applyFill="1"/>
    <xf numFmtId="175" fontId="8" fillId="6" borderId="0" xfId="7" applyNumberFormat="1" applyFill="1"/>
    <xf numFmtId="174" fontId="8" fillId="6" borderId="0" xfId="2" applyNumberFormat="1" applyFill="1" applyBorder="1"/>
    <xf numFmtId="167" fontId="8" fillId="6" borderId="0" xfId="2" applyNumberFormat="1" applyFill="1" applyBorder="1"/>
    <xf numFmtId="165" fontId="0" fillId="6" borderId="0" xfId="3" applyNumberFormat="1" applyFont="1" applyFill="1" applyBorder="1"/>
    <xf numFmtId="0" fontId="8" fillId="6" borderId="0" xfId="2" applyFill="1" applyBorder="1"/>
    <xf numFmtId="10" fontId="8" fillId="6" borderId="0" xfId="2" applyNumberFormat="1" applyFill="1" applyBorder="1"/>
    <xf numFmtId="170" fontId="8" fillId="6" borderId="0" xfId="2" applyNumberFormat="1" applyFill="1" applyBorder="1"/>
    <xf numFmtId="14" fontId="0" fillId="3" borderId="1" xfId="0" applyNumberForma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34" fillId="13" borderId="0" xfId="2" applyFont="1" applyFill="1"/>
    <xf numFmtId="165" fontId="8" fillId="0" borderId="0" xfId="2" applyNumberFormat="1" applyAlignment="1">
      <alignment horizontal="left"/>
    </xf>
    <xf numFmtId="0" fontId="42" fillId="0" borderId="19" xfId="0" applyFont="1" applyBorder="1"/>
    <xf numFmtId="0" fontId="0" fillId="0" borderId="20" xfId="0" applyBorder="1"/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/>
    <xf numFmtId="3" fontId="3" fillId="0" borderId="1" xfId="0" applyNumberFormat="1" applyFont="1" applyBorder="1" applyAlignment="1">
      <alignment horizontal="center" vertical="center"/>
    </xf>
    <xf numFmtId="3" fontId="0" fillId="5" borderId="1" xfId="0" applyNumberFormat="1" applyFont="1" applyFill="1" applyBorder="1" applyAlignment="1">
      <alignment horizontal="center" vertical="center"/>
    </xf>
    <xf numFmtId="3" fontId="0" fillId="0" borderId="1" xfId="0" applyNumberFormat="1" applyFont="1" applyBorder="1" applyAlignment="1">
      <alignment horizontal="center" vertical="center"/>
    </xf>
    <xf numFmtId="165" fontId="0" fillId="0" borderId="0" xfId="0" applyNumberForma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180" fontId="0" fillId="0" borderId="0" xfId="0" applyNumberFormat="1"/>
    <xf numFmtId="180" fontId="0" fillId="0" borderId="3" xfId="0" applyNumberFormat="1" applyBorder="1"/>
    <xf numFmtId="3" fontId="0" fillId="0" borderId="6" xfId="0" applyNumberFormat="1" applyFont="1" applyBorder="1" applyAlignment="1">
      <alignment horizontal="center" vertical="center"/>
    </xf>
    <xf numFmtId="3" fontId="0" fillId="0" borderId="4" xfId="0" applyNumberFormat="1" applyFont="1" applyBorder="1" applyAlignment="1">
      <alignment horizontal="center" vertical="center"/>
    </xf>
    <xf numFmtId="3" fontId="8" fillId="15" borderId="18" xfId="6" applyNumberFormat="1" applyFill="1" applyBorder="1" applyAlignment="1">
      <alignment vertical="center"/>
    </xf>
    <xf numFmtId="0" fontId="0" fillId="0" borderId="2" xfId="0" applyBorder="1"/>
    <xf numFmtId="0" fontId="10" fillId="0" borderId="0" xfId="2" applyFont="1" applyAlignment="1">
      <alignment horizontal="left"/>
    </xf>
    <xf numFmtId="3" fontId="31" fillId="0" borderId="0" xfId="6" applyNumberFormat="1" applyFont="1" applyFill="1" applyBorder="1"/>
    <xf numFmtId="0" fontId="19" fillId="0" borderId="0" xfId="6" applyFont="1" applyFill="1" applyBorder="1"/>
    <xf numFmtId="0" fontId="27" fillId="0" borderId="14" xfId="6" applyFont="1" applyFill="1" applyBorder="1" applyAlignment="1">
      <alignment horizontal="left" vertical="center" wrapText="1" readingOrder="1"/>
    </xf>
    <xf numFmtId="4" fontId="27" fillId="0" borderId="14" xfId="6" applyNumberFormat="1" applyFont="1" applyFill="1" applyBorder="1" applyAlignment="1">
      <alignment horizontal="center" wrapText="1" readingOrder="1"/>
    </xf>
    <xf numFmtId="169" fontId="28" fillId="0" borderId="15" xfId="6" applyNumberFormat="1" applyFont="1" applyFill="1" applyBorder="1" applyAlignment="1">
      <alignment horizontal="center" vertical="center" wrapText="1" readingOrder="1"/>
    </xf>
    <xf numFmtId="0" fontId="0" fillId="0" borderId="0" xfId="0" applyBorder="1" applyAlignment="1">
      <alignment horizontal="right"/>
    </xf>
    <xf numFmtId="2" fontId="0" fillId="0" borderId="8" xfId="0" applyNumberFormat="1" applyBorder="1"/>
    <xf numFmtId="0" fontId="0" fillId="0" borderId="25" xfId="0" applyBorder="1" applyAlignment="1">
      <alignment horizontal="center"/>
    </xf>
    <xf numFmtId="2" fontId="0" fillId="0" borderId="20" xfId="0" applyNumberFormat="1" applyBorder="1"/>
    <xf numFmtId="2" fontId="0" fillId="0" borderId="21" xfId="0" applyNumberFormat="1" applyBorder="1"/>
    <xf numFmtId="0" fontId="8" fillId="10" borderId="0" xfId="2" applyFill="1" applyBorder="1"/>
    <xf numFmtId="2" fontId="8" fillId="10" borderId="0" xfId="2" applyNumberFormat="1" applyFill="1" applyBorder="1"/>
    <xf numFmtId="0" fontId="3" fillId="19" borderId="27" xfId="0" applyFont="1" applyFill="1" applyBorder="1" applyAlignment="1">
      <alignment horizontal="center" vertical="center" wrapText="1"/>
    </xf>
    <xf numFmtId="167" fontId="3" fillId="19" borderId="27" xfId="0" applyNumberFormat="1" applyFont="1" applyFill="1" applyBorder="1" applyAlignment="1">
      <alignment horizontal="center" vertical="center" wrapText="1"/>
    </xf>
    <xf numFmtId="1" fontId="8" fillId="0" borderId="0" xfId="2" applyNumberFormat="1" applyFont="1" applyFill="1" applyBorder="1" applyAlignment="1">
      <alignment horizontal="center"/>
    </xf>
    <xf numFmtId="3" fontId="8" fillId="0" borderId="0" xfId="2" applyNumberFormat="1" applyFont="1" applyFill="1" applyBorder="1" applyAlignment="1">
      <alignment horizontal="center"/>
    </xf>
    <xf numFmtId="1" fontId="8" fillId="9" borderId="0" xfId="2" applyNumberFormat="1" applyFont="1" applyFill="1" applyBorder="1" applyAlignment="1">
      <alignment horizontal="center"/>
    </xf>
    <xf numFmtId="3" fontId="8" fillId="9" borderId="0" xfId="2" applyNumberFormat="1" applyFont="1" applyFill="1" applyBorder="1" applyAlignment="1">
      <alignment horizontal="center"/>
    </xf>
    <xf numFmtId="167" fontId="0" fillId="0" borderId="0" xfId="0" applyNumberFormat="1" applyBorder="1"/>
    <xf numFmtId="2" fontId="0" fillId="0" borderId="3" xfId="0" applyNumberFormat="1" applyBorder="1"/>
    <xf numFmtId="174" fontId="0" fillId="0" borderId="20" xfId="0" applyNumberFormat="1" applyBorder="1"/>
    <xf numFmtId="0" fontId="10" fillId="12" borderId="0" xfId="7" applyFont="1" applyFill="1" applyAlignment="1">
      <alignment horizontal="center"/>
    </xf>
    <xf numFmtId="0" fontId="8" fillId="0" borderId="19" xfId="7" applyFont="1" applyBorder="1" applyAlignment="1">
      <alignment horizontal="right"/>
    </xf>
    <xf numFmtId="174" fontId="0" fillId="0" borderId="21" xfId="0" applyNumberFormat="1" applyBorder="1"/>
    <xf numFmtId="0" fontId="8" fillId="0" borderId="7" xfId="7" applyFont="1" applyBorder="1" applyAlignment="1">
      <alignment horizontal="right"/>
    </xf>
    <xf numFmtId="174" fontId="0" fillId="0" borderId="0" xfId="0" applyNumberFormat="1" applyBorder="1"/>
    <xf numFmtId="174" fontId="0" fillId="0" borderId="8" xfId="0" applyNumberFormat="1" applyBorder="1"/>
    <xf numFmtId="0" fontId="8" fillId="0" borderId="9" xfId="7" applyFont="1" applyBorder="1" applyAlignment="1">
      <alignment horizontal="right"/>
    </xf>
    <xf numFmtId="174" fontId="0" fillId="0" borderId="3" xfId="0" applyNumberFormat="1" applyBorder="1"/>
    <xf numFmtId="174" fontId="0" fillId="0" borderId="10" xfId="0" applyNumberFormat="1" applyBorder="1"/>
    <xf numFmtId="0" fontId="8" fillId="0" borderId="19" xfId="7" applyBorder="1" applyAlignment="1">
      <alignment horizontal="right"/>
    </xf>
    <xf numFmtId="3" fontId="0" fillId="0" borderId="20" xfId="0" applyNumberFormat="1" applyBorder="1"/>
    <xf numFmtId="3" fontId="0" fillId="0" borderId="21" xfId="0" applyNumberFormat="1" applyBorder="1"/>
    <xf numFmtId="0" fontId="10" fillId="0" borderId="4" xfId="7" applyFont="1" applyBorder="1" applyAlignment="1">
      <alignment horizontal="right"/>
    </xf>
    <xf numFmtId="3" fontId="3" fillId="0" borderId="5" xfId="0" applyNumberFormat="1" applyFont="1" applyBorder="1"/>
    <xf numFmtId="3" fontId="3" fillId="0" borderId="6" xfId="0" applyNumberFormat="1" applyFont="1" applyBorder="1"/>
    <xf numFmtId="167" fontId="0" fillId="0" borderId="8" xfId="0" applyNumberFormat="1" applyBorder="1"/>
    <xf numFmtId="173" fontId="0" fillId="0" borderId="0" xfId="0" applyNumberFormat="1" applyBorder="1"/>
    <xf numFmtId="173" fontId="0" fillId="0" borderId="8" xfId="0" applyNumberFormat="1" applyBorder="1"/>
    <xf numFmtId="174" fontId="0" fillId="0" borderId="0" xfId="0" applyNumberFormat="1" applyFill="1" applyBorder="1"/>
    <xf numFmtId="174" fontId="0" fillId="0" borderId="8" xfId="0" applyNumberFormat="1" applyFill="1" applyBorder="1"/>
    <xf numFmtId="0" fontId="10" fillId="0" borderId="9" xfId="7" applyFont="1" applyBorder="1" applyAlignment="1">
      <alignment horizontal="right"/>
    </xf>
    <xf numFmtId="3" fontId="3" fillId="0" borderId="3" xfId="0" applyNumberFormat="1" applyFont="1" applyBorder="1"/>
    <xf numFmtId="3" fontId="3" fillId="0" borderId="10" xfId="0" applyNumberFormat="1" applyFont="1" applyBorder="1"/>
    <xf numFmtId="9" fontId="0" fillId="0" borderId="20" xfId="1" applyFont="1" applyFill="1" applyBorder="1"/>
    <xf numFmtId="9" fontId="0" fillId="6" borderId="20" xfId="1" applyFont="1" applyFill="1" applyBorder="1"/>
    <xf numFmtId="9" fontId="0" fillId="6" borderId="21" xfId="1" applyFont="1" applyFill="1" applyBorder="1"/>
    <xf numFmtId="9" fontId="0" fillId="0" borderId="0" xfId="1" applyFont="1" applyFill="1" applyBorder="1"/>
    <xf numFmtId="9" fontId="0" fillId="6" borderId="0" xfId="1" applyFont="1" applyFill="1" applyBorder="1"/>
    <xf numFmtId="9" fontId="0" fillId="6" borderId="8" xfId="1" applyFont="1" applyFill="1" applyBorder="1"/>
    <xf numFmtId="9" fontId="0" fillId="0" borderId="3" xfId="1" applyFont="1" applyFill="1" applyBorder="1"/>
    <xf numFmtId="9" fontId="0" fillId="6" borderId="3" xfId="1" applyFont="1" applyFill="1" applyBorder="1"/>
    <xf numFmtId="9" fontId="0" fillId="6" borderId="10" xfId="1" applyFont="1" applyFill="1" applyBorder="1"/>
    <xf numFmtId="2" fontId="0" fillId="0" borderId="10" xfId="0" applyNumberFormat="1" applyBorder="1"/>
    <xf numFmtId="167" fontId="0" fillId="0" borderId="3" xfId="0" applyNumberFormat="1" applyBorder="1"/>
    <xf numFmtId="167" fontId="0" fillId="0" borderId="10" xfId="0" applyNumberFormat="1" applyBorder="1"/>
    <xf numFmtId="0" fontId="10" fillId="0" borderId="4" xfId="7" applyFont="1" applyFill="1" applyBorder="1" applyAlignment="1">
      <alignment horizontal="right"/>
    </xf>
    <xf numFmtId="173" fontId="0" fillId="0" borderId="3" xfId="0" applyNumberFormat="1" applyBorder="1"/>
    <xf numFmtId="173" fontId="0" fillId="0" borderId="10" xfId="0" applyNumberFormat="1" applyBorder="1"/>
    <xf numFmtId="0" fontId="44" fillId="12" borderId="0" xfId="7" applyFont="1" applyFill="1" applyAlignment="1">
      <alignment horizontal="left"/>
    </xf>
    <xf numFmtId="0" fontId="46" fillId="20" borderId="48" xfId="0" applyFont="1" applyFill="1" applyBorder="1" applyAlignment="1">
      <alignment horizontal="center" wrapText="1" readingOrder="1"/>
    </xf>
    <xf numFmtId="0" fontId="47" fillId="21" borderId="49" xfId="0" applyFont="1" applyFill="1" applyBorder="1" applyAlignment="1">
      <alignment horizontal="center" wrapText="1" readingOrder="1"/>
    </xf>
    <xf numFmtId="0" fontId="48" fillId="22" borderId="50" xfId="0" applyFont="1" applyFill="1" applyBorder="1" applyAlignment="1">
      <alignment horizontal="right" wrapText="1" readingOrder="1"/>
    </xf>
    <xf numFmtId="0" fontId="48" fillId="23" borderId="50" xfId="0" applyFont="1" applyFill="1" applyBorder="1" applyAlignment="1">
      <alignment horizontal="right" wrapText="1" readingOrder="1"/>
    </xf>
    <xf numFmtId="0" fontId="48" fillId="23" borderId="49" xfId="0" applyFont="1" applyFill="1" applyBorder="1" applyAlignment="1">
      <alignment horizontal="right" wrapText="1" readingOrder="1"/>
    </xf>
    <xf numFmtId="0" fontId="3" fillId="0" borderId="0" xfId="0" applyFont="1" applyFill="1" applyBorder="1" applyAlignment="1">
      <alignment horizontal="center"/>
    </xf>
    <xf numFmtId="3" fontId="16" fillId="3" borderId="1" xfId="0" applyNumberFormat="1" applyFont="1" applyFill="1" applyBorder="1"/>
    <xf numFmtId="0" fontId="9" fillId="16" borderId="0" xfId="0" applyFont="1" applyFill="1" applyBorder="1" applyAlignment="1">
      <alignment horizontal="center"/>
    </xf>
    <xf numFmtId="0" fontId="49" fillId="0" borderId="0" xfId="0" applyFont="1"/>
    <xf numFmtId="3" fontId="49" fillId="0" borderId="0" xfId="0" applyNumberFormat="1" applyFont="1"/>
    <xf numFmtId="0" fontId="49" fillId="6" borderId="0" xfId="0" applyFont="1" applyFill="1"/>
    <xf numFmtId="3" fontId="49" fillId="6" borderId="0" xfId="0" applyNumberFormat="1" applyFont="1" applyFill="1"/>
    <xf numFmtId="0" fontId="49" fillId="8" borderId="0" xfId="0" applyFont="1" applyFill="1"/>
    <xf numFmtId="3" fontId="49" fillId="8" borderId="0" xfId="0" applyNumberFormat="1" applyFont="1" applyFill="1"/>
    <xf numFmtId="3" fontId="49" fillId="6" borderId="0" xfId="0" applyNumberFormat="1" applyFont="1" applyFill="1" applyAlignment="1">
      <alignment horizontal="right"/>
    </xf>
    <xf numFmtId="3" fontId="8" fillId="5" borderId="20" xfId="2" applyNumberFormat="1" applyFont="1" applyFill="1" applyBorder="1" applyAlignment="1">
      <alignment horizontal="center" vertical="center"/>
    </xf>
    <xf numFmtId="3" fontId="8" fillId="5" borderId="0" xfId="2" applyNumberFormat="1" applyFont="1" applyFill="1" applyBorder="1" applyAlignment="1">
      <alignment horizontal="center" vertical="center"/>
    </xf>
    <xf numFmtId="3" fontId="8" fillId="5" borderId="3" xfId="2" applyNumberFormat="1" applyFont="1" applyFill="1" applyBorder="1" applyAlignment="1">
      <alignment horizontal="center" vertical="center"/>
    </xf>
    <xf numFmtId="0" fontId="8" fillId="0" borderId="23" xfId="2" applyBorder="1" applyAlignment="1">
      <alignment horizontal="center" vertical="center"/>
    </xf>
    <xf numFmtId="10" fontId="0" fillId="0" borderId="1" xfId="1" applyNumberFormat="1" applyFont="1" applyFill="1" applyBorder="1"/>
    <xf numFmtId="0" fontId="10" fillId="0" borderId="20" xfId="2" applyFont="1" applyBorder="1" applyAlignment="1">
      <alignment horizontal="center" vertical="center" wrapText="1"/>
    </xf>
    <xf numFmtId="0" fontId="10" fillId="0" borderId="21" xfId="2" applyFont="1" applyBorder="1" applyAlignment="1">
      <alignment horizontal="center" vertical="center" wrapText="1"/>
    </xf>
    <xf numFmtId="0" fontId="10" fillId="0" borderId="19" xfId="2" applyFont="1" applyBorder="1" applyAlignment="1">
      <alignment horizontal="center" vertical="center" wrapText="1"/>
    </xf>
    <xf numFmtId="9" fontId="10" fillId="0" borderId="20" xfId="2" applyNumberFormat="1" applyFont="1" applyBorder="1" applyAlignment="1">
      <alignment horizontal="center" vertical="center" wrapText="1"/>
    </xf>
    <xf numFmtId="9" fontId="10" fillId="0" borderId="21" xfId="2" applyNumberFormat="1" applyFont="1" applyBorder="1" applyAlignment="1">
      <alignment horizontal="center" vertical="center" wrapText="1"/>
    </xf>
    <xf numFmtId="3" fontId="20" fillId="0" borderId="0" xfId="0" applyNumberFormat="1" applyFont="1" applyBorder="1"/>
    <xf numFmtId="0" fontId="10" fillId="0" borderId="5" xfId="2" applyFont="1" applyBorder="1" applyAlignment="1">
      <alignment horizontal="center" vertical="center"/>
    </xf>
    <xf numFmtId="0" fontId="10" fillId="0" borderId="6" xfId="2" applyFont="1" applyBorder="1" applyAlignment="1">
      <alignment horizontal="center" vertical="center"/>
    </xf>
    <xf numFmtId="0" fontId="10" fillId="0" borderId="21" xfId="2" applyFont="1" applyBorder="1" applyAlignment="1">
      <alignment horizontal="center" vertical="center"/>
    </xf>
    <xf numFmtId="0" fontId="8" fillId="0" borderId="10" xfId="2" applyBorder="1" applyAlignment="1">
      <alignment horizontal="right" vertical="center"/>
    </xf>
    <xf numFmtId="3" fontId="8" fillId="7" borderId="20" xfId="2" applyNumberFormat="1" applyFill="1" applyBorder="1" applyAlignment="1">
      <alignment horizontal="center" vertical="center"/>
    </xf>
    <xf numFmtId="3" fontId="8" fillId="7" borderId="20" xfId="2" applyNumberFormat="1" applyFont="1" applyFill="1" applyBorder="1" applyAlignment="1">
      <alignment horizontal="center" vertical="center"/>
    </xf>
    <xf numFmtId="165" fontId="8" fillId="7" borderId="21" xfId="2" applyNumberFormat="1" applyFill="1" applyBorder="1" applyAlignment="1">
      <alignment horizontal="center" vertical="center"/>
    </xf>
    <xf numFmtId="3" fontId="8" fillId="7" borderId="0" xfId="2" applyNumberFormat="1" applyFill="1" applyBorder="1" applyAlignment="1">
      <alignment horizontal="center" vertical="center"/>
    </xf>
    <xf numFmtId="3" fontId="8" fillId="7" borderId="0" xfId="2" applyNumberFormat="1" applyFont="1" applyFill="1" applyBorder="1" applyAlignment="1">
      <alignment horizontal="center" vertical="center"/>
    </xf>
    <xf numFmtId="165" fontId="8" fillId="7" borderId="8" xfId="2" applyNumberFormat="1" applyFill="1" applyBorder="1" applyAlignment="1">
      <alignment horizontal="center" vertical="center"/>
    </xf>
    <xf numFmtId="3" fontId="8" fillId="7" borderId="3" xfId="2" applyNumberFormat="1" applyFill="1" applyBorder="1" applyAlignment="1">
      <alignment horizontal="center" vertical="center"/>
    </xf>
    <xf numFmtId="3" fontId="8" fillId="7" borderId="3" xfId="2" applyNumberFormat="1" applyFont="1" applyFill="1" applyBorder="1" applyAlignment="1">
      <alignment horizontal="center" vertical="center"/>
    </xf>
    <xf numFmtId="165" fontId="8" fillId="7" borderId="10" xfId="2" applyNumberFormat="1" applyFill="1" applyBorder="1" applyAlignment="1">
      <alignment horizontal="center" vertical="center"/>
    </xf>
    <xf numFmtId="3" fontId="8" fillId="7" borderId="21" xfId="2" applyNumberFormat="1" applyFill="1" applyBorder="1" applyAlignment="1">
      <alignment horizontal="center" vertical="center"/>
    </xf>
    <xf numFmtId="165" fontId="8" fillId="0" borderId="21" xfId="1" applyNumberFormat="1" applyFont="1" applyFill="1" applyBorder="1" applyAlignment="1">
      <alignment horizontal="center" vertical="center"/>
    </xf>
    <xf numFmtId="3" fontId="8" fillId="7" borderId="8" xfId="2" applyNumberFormat="1" applyFill="1" applyBorder="1" applyAlignment="1">
      <alignment horizontal="center" vertical="center"/>
    </xf>
    <xf numFmtId="3" fontId="8" fillId="7" borderId="10" xfId="2" applyNumberFormat="1" applyFill="1" applyBorder="1" applyAlignment="1">
      <alignment horizontal="center" vertical="center"/>
    </xf>
    <xf numFmtId="1" fontId="8" fillId="12" borderId="0" xfId="2" applyNumberFormat="1" applyFont="1" applyFill="1" applyAlignment="1">
      <alignment horizontal="center" vertical="center"/>
    </xf>
    <xf numFmtId="165" fontId="8" fillId="12" borderId="0" xfId="1" applyNumberFormat="1" applyFont="1" applyFill="1" applyAlignment="1">
      <alignment horizontal="center" vertical="center"/>
    </xf>
    <xf numFmtId="3" fontId="20" fillId="0" borderId="8" xfId="0" applyNumberFormat="1" applyFont="1" applyBorder="1"/>
    <xf numFmtId="3" fontId="8" fillId="5" borderId="22" xfId="2" applyNumberFormat="1" applyFill="1" applyBorder="1" applyAlignment="1">
      <alignment horizontal="center" vertical="center"/>
    </xf>
    <xf numFmtId="4" fontId="8" fillId="5" borderId="1" xfId="2" applyNumberFormat="1" applyFill="1" applyBorder="1" applyAlignment="1">
      <alignment horizontal="center" vertical="center"/>
    </xf>
    <xf numFmtId="9" fontId="21" fillId="0" borderId="22" xfId="1" applyFont="1" applyBorder="1" applyAlignment="1">
      <alignment horizontal="center"/>
    </xf>
    <xf numFmtId="0" fontId="10" fillId="0" borderId="24" xfId="2" applyFont="1" applyBorder="1" applyAlignment="1">
      <alignment horizontal="center" vertical="center"/>
    </xf>
    <xf numFmtId="0" fontId="10" fillId="0" borderId="23" xfId="2" applyFont="1" applyBorder="1" applyAlignment="1">
      <alignment horizontal="center" vertical="center"/>
    </xf>
    <xf numFmtId="9" fontId="10" fillId="0" borderId="4" xfId="2" applyNumberFormat="1" applyFont="1" applyBorder="1" applyAlignment="1">
      <alignment horizontal="center" vertical="center"/>
    </xf>
    <xf numFmtId="9" fontId="3" fillId="0" borderId="4" xfId="3" applyFont="1" applyBorder="1" applyAlignment="1">
      <alignment horizontal="center" vertical="center"/>
    </xf>
    <xf numFmtId="9" fontId="3" fillId="0" borderId="5" xfId="3" applyFont="1" applyBorder="1" applyAlignment="1">
      <alignment horizontal="center" vertical="center"/>
    </xf>
    <xf numFmtId="9" fontId="3" fillId="0" borderId="6" xfId="3" applyFont="1" applyBorder="1" applyAlignment="1">
      <alignment horizontal="center" vertical="center"/>
    </xf>
    <xf numFmtId="0" fontId="10" fillId="0" borderId="4" xfId="2" applyFont="1" applyBorder="1" applyAlignment="1">
      <alignment horizontal="center" vertical="center"/>
    </xf>
    <xf numFmtId="0" fontId="10" fillId="0" borderId="0" xfId="2" applyFont="1" applyAlignment="1">
      <alignment horizontal="center" vertical="center"/>
    </xf>
    <xf numFmtId="9" fontId="3" fillId="0" borderId="0" xfId="1" applyFont="1" applyAlignment="1">
      <alignment horizontal="center"/>
    </xf>
    <xf numFmtId="0" fontId="10" fillId="0" borderId="19" xfId="2" applyFont="1" applyBorder="1" applyAlignment="1">
      <alignment horizontal="right" vertical="center"/>
    </xf>
    <xf numFmtId="0" fontId="10" fillId="0" borderId="9" xfId="2" applyFont="1" applyBorder="1" applyAlignment="1">
      <alignment horizontal="right" vertical="center"/>
    </xf>
    <xf numFmtId="9" fontId="3" fillId="0" borderId="20" xfId="3" applyFont="1" applyBorder="1" applyAlignment="1">
      <alignment horizontal="center" vertical="center"/>
    </xf>
    <xf numFmtId="9" fontId="3" fillId="0" borderId="21" xfId="3" applyFont="1" applyBorder="1" applyAlignment="1">
      <alignment horizontal="center" vertical="center"/>
    </xf>
    <xf numFmtId="9" fontId="10" fillId="0" borderId="19" xfId="2" applyNumberFormat="1" applyFont="1" applyBorder="1" applyAlignment="1">
      <alignment horizontal="center" vertical="center"/>
    </xf>
    <xf numFmtId="9" fontId="10" fillId="0" borderId="7" xfId="2" applyNumberFormat="1" applyFont="1" applyBorder="1" applyAlignment="1">
      <alignment horizontal="center" vertical="center"/>
    </xf>
    <xf numFmtId="9" fontId="10" fillId="0" borderId="9" xfId="2" applyNumberFormat="1" applyFont="1" applyBorder="1" applyAlignment="1">
      <alignment horizontal="center" vertical="center"/>
    </xf>
    <xf numFmtId="9" fontId="10" fillId="0" borderId="22" xfId="2" applyNumberFormat="1" applyFont="1" applyFill="1" applyBorder="1" applyAlignment="1">
      <alignment horizontal="center" vertical="center"/>
    </xf>
    <xf numFmtId="9" fontId="10" fillId="0" borderId="24" xfId="2" applyNumberFormat="1" applyFont="1" applyFill="1" applyBorder="1" applyAlignment="1">
      <alignment horizontal="center" vertical="center"/>
    </xf>
    <xf numFmtId="9" fontId="10" fillId="0" borderId="23" xfId="2" applyNumberFormat="1" applyFont="1" applyFill="1" applyBorder="1" applyAlignment="1">
      <alignment horizontal="center" vertical="center"/>
    </xf>
    <xf numFmtId="0" fontId="10" fillId="0" borderId="0" xfId="2" applyFont="1" applyAlignment="1">
      <alignment horizontal="right" vertical="center"/>
    </xf>
    <xf numFmtId="0" fontId="10" fillId="0" borderId="4" xfId="2" applyFont="1" applyBorder="1" applyAlignment="1">
      <alignment horizontal="right" vertical="center"/>
    </xf>
    <xf numFmtId="9" fontId="10" fillId="0" borderId="19" xfId="2" applyNumberFormat="1" applyFont="1" applyFill="1" applyBorder="1" applyAlignment="1">
      <alignment horizontal="center" vertical="center"/>
    </xf>
    <xf numFmtId="9" fontId="10" fillId="0" borderId="7" xfId="2" applyNumberFormat="1" applyFont="1" applyFill="1" applyBorder="1" applyAlignment="1">
      <alignment horizontal="center" vertical="center"/>
    </xf>
    <xf numFmtId="9" fontId="10" fillId="0" borderId="9" xfId="2" applyNumberFormat="1" applyFont="1" applyFill="1" applyBorder="1" applyAlignment="1">
      <alignment horizontal="center" vertical="center"/>
    </xf>
    <xf numFmtId="0" fontId="10" fillId="0" borderId="7" xfId="2" applyFont="1" applyBorder="1" applyAlignment="1">
      <alignment horizontal="right" vertical="center"/>
    </xf>
    <xf numFmtId="0" fontId="0" fillId="0" borderId="0" xfId="0" applyFill="1" applyBorder="1"/>
    <xf numFmtId="0" fontId="12" fillId="0" borderId="0" xfId="0" applyFont="1" applyAlignment="1"/>
    <xf numFmtId="0" fontId="0" fillId="0" borderId="0" xfId="0" applyAlignment="1"/>
    <xf numFmtId="0" fontId="4" fillId="0" borderId="0" xfId="0" applyFont="1" applyFill="1" applyBorder="1" applyAlignment="1">
      <alignment vertical="center"/>
    </xf>
    <xf numFmtId="3" fontId="0" fillId="0" borderId="14" xfId="0" applyNumberFormat="1" applyBorder="1"/>
    <xf numFmtId="0" fontId="0" fillId="0" borderId="11" xfId="0" applyBorder="1"/>
    <xf numFmtId="0" fontId="8" fillId="0" borderId="0" xfId="2" applyFill="1" applyBorder="1" applyAlignment="1">
      <alignment vertical="center"/>
    </xf>
    <xf numFmtId="0" fontId="10" fillId="0" borderId="0" xfId="2" applyFont="1" applyFill="1" applyBorder="1" applyAlignment="1">
      <alignment horizontal="center" vertical="center" wrapText="1"/>
    </xf>
    <xf numFmtId="0" fontId="8" fillId="0" borderId="0" xfId="2" applyFill="1" applyBorder="1" applyAlignment="1">
      <alignment horizontal="center" vertical="center" wrapText="1"/>
    </xf>
    <xf numFmtId="0" fontId="8" fillId="0" borderId="0" xfId="2" applyFill="1" applyBorder="1" applyAlignment="1">
      <alignment horizontal="center" vertical="center"/>
    </xf>
    <xf numFmtId="3" fontId="8" fillId="0" borderId="0" xfId="2" applyNumberFormat="1" applyFont="1" applyFill="1" applyBorder="1" applyAlignment="1">
      <alignment horizontal="center" vertical="center"/>
    </xf>
    <xf numFmtId="3" fontId="8" fillId="0" borderId="3" xfId="2" applyNumberFormat="1" applyFont="1" applyFill="1" applyBorder="1" applyAlignment="1">
      <alignment horizontal="center" vertical="center"/>
    </xf>
    <xf numFmtId="165" fontId="8" fillId="0" borderId="8" xfId="2" applyNumberFormat="1" applyFont="1" applyFill="1" applyBorder="1" applyAlignment="1">
      <alignment horizontal="center" vertical="center"/>
    </xf>
    <xf numFmtId="165" fontId="8" fillId="0" borderId="10" xfId="2" applyNumberFormat="1" applyFont="1" applyFill="1" applyBorder="1" applyAlignment="1">
      <alignment horizontal="center" vertical="center"/>
    </xf>
    <xf numFmtId="169" fontId="0" fillId="0" borderId="0" xfId="0" applyNumberFormat="1" applyFill="1" applyBorder="1" applyAlignment="1"/>
    <xf numFmtId="0" fontId="4" fillId="0" borderId="0" xfId="0" applyFont="1" applyFill="1" applyBorder="1" applyAlignment="1"/>
    <xf numFmtId="0" fontId="10" fillId="0" borderId="0" xfId="2" applyFont="1" applyFill="1" applyBorder="1" applyAlignment="1">
      <alignment vertical="center"/>
    </xf>
    <xf numFmtId="0" fontId="8" fillId="0" borderId="0" xfId="2" applyFont="1" applyFill="1" applyBorder="1" applyAlignment="1">
      <alignment vertical="center"/>
    </xf>
    <xf numFmtId="0" fontId="8" fillId="0" borderId="0" xfId="2" applyFont="1" applyFill="1" applyBorder="1" applyAlignment="1">
      <alignment horizontal="center" vertical="center"/>
    </xf>
    <xf numFmtId="1" fontId="8" fillId="0" borderId="0" xfId="2" applyNumberFormat="1" applyFont="1" applyFill="1" applyBorder="1" applyAlignment="1">
      <alignment horizontal="center" vertical="center"/>
    </xf>
    <xf numFmtId="0" fontId="8" fillId="0" borderId="19" xfId="2" applyBorder="1" applyAlignment="1">
      <alignment horizontal="right" vertical="center"/>
    </xf>
    <xf numFmtId="9" fontId="8" fillId="0" borderId="20" xfId="2" applyNumberFormat="1" applyBorder="1" applyAlignment="1">
      <alignment vertical="center"/>
    </xf>
    <xf numFmtId="9" fontId="8" fillId="0" borderId="20" xfId="1" applyFont="1" applyBorder="1" applyAlignment="1">
      <alignment vertical="center"/>
    </xf>
    <xf numFmtId="9" fontId="8" fillId="0" borderId="21" xfId="1" applyFont="1" applyBorder="1" applyAlignment="1">
      <alignment vertical="center"/>
    </xf>
    <xf numFmtId="0" fontId="8" fillId="0" borderId="9" xfId="2" applyBorder="1" applyAlignment="1">
      <alignment horizontal="right" vertical="center"/>
    </xf>
    <xf numFmtId="0" fontId="8" fillId="0" borderId="4" xfId="2" applyBorder="1" applyAlignment="1">
      <alignment horizontal="center" vertical="center"/>
    </xf>
    <xf numFmtId="0" fontId="8" fillId="0" borderId="5" xfId="2" applyBorder="1" applyAlignment="1">
      <alignment horizontal="center" vertical="center"/>
    </xf>
    <xf numFmtId="0" fontId="8" fillId="0" borderId="20" xfId="2" applyBorder="1" applyAlignment="1">
      <alignment horizontal="center" vertical="center"/>
    </xf>
    <xf numFmtId="0" fontId="8" fillId="0" borderId="21" xfId="2" applyBorder="1" applyAlignment="1">
      <alignment horizontal="center" vertical="center"/>
    </xf>
    <xf numFmtId="0" fontId="8" fillId="0" borderId="20" xfId="2" applyBorder="1" applyAlignment="1">
      <alignment vertical="center"/>
    </xf>
    <xf numFmtId="0" fontId="8" fillId="0" borderId="21" xfId="2" applyBorder="1" applyAlignment="1">
      <alignment vertical="center"/>
    </xf>
    <xf numFmtId="167" fontId="8" fillId="0" borderId="0" xfId="2" applyNumberFormat="1" applyBorder="1" applyAlignment="1">
      <alignment vertical="center"/>
    </xf>
    <xf numFmtId="2" fontId="8" fillId="7" borderId="0" xfId="2" applyNumberFormat="1" applyFont="1" applyFill="1" applyAlignment="1">
      <alignment horizontal="center" vertical="center"/>
    </xf>
    <xf numFmtId="0" fontId="8" fillId="0" borderId="0" xfId="2" applyFill="1" applyBorder="1" applyAlignment="1">
      <alignment horizontal="right" vertical="center"/>
    </xf>
    <xf numFmtId="0" fontId="8" fillId="0" borderId="1" xfId="2" applyBorder="1" applyAlignment="1">
      <alignment horizontal="right" vertical="center"/>
    </xf>
    <xf numFmtId="0" fontId="8" fillId="0" borderId="1" xfId="2" applyBorder="1" applyAlignment="1">
      <alignment vertical="center"/>
    </xf>
    <xf numFmtId="3" fontId="8" fillId="5" borderId="8" xfId="2" applyNumberFormat="1" applyFill="1" applyBorder="1" applyAlignment="1">
      <alignment horizontal="center" vertical="center"/>
    </xf>
    <xf numFmtId="3" fontId="8" fillId="5" borderId="10" xfId="2" applyNumberFormat="1" applyFill="1" applyBorder="1" applyAlignment="1">
      <alignment horizontal="center" vertical="center"/>
    </xf>
    <xf numFmtId="0" fontId="10" fillId="0" borderId="19" xfId="2" applyFont="1" applyBorder="1" applyAlignment="1">
      <alignment horizontal="left" vertical="center"/>
    </xf>
    <xf numFmtId="9" fontId="10" fillId="0" borderId="20" xfId="1" applyFont="1" applyBorder="1" applyAlignment="1">
      <alignment vertical="center"/>
    </xf>
    <xf numFmtId="9" fontId="10" fillId="0" borderId="21" xfId="1" applyFont="1" applyBorder="1" applyAlignment="1">
      <alignment vertical="center"/>
    </xf>
    <xf numFmtId="0" fontId="10" fillId="0" borderId="22" xfId="2" applyFont="1" applyBorder="1" applyAlignment="1">
      <alignment vertical="center"/>
    </xf>
    <xf numFmtId="0" fontId="10" fillId="0" borderId="24" xfId="2" applyFont="1" applyBorder="1" applyAlignment="1">
      <alignment vertical="center"/>
    </xf>
    <xf numFmtId="0" fontId="10" fillId="0" borderId="23" xfId="2" applyFont="1" applyBorder="1" applyAlignment="1">
      <alignment vertical="center"/>
    </xf>
    <xf numFmtId="0" fontId="8" fillId="0" borderId="6" xfId="2" applyBorder="1" applyAlignment="1">
      <alignment horizontal="center" vertical="center"/>
    </xf>
    <xf numFmtId="0" fontId="8" fillId="0" borderId="19" xfId="2" applyBorder="1" applyAlignment="1">
      <alignment vertical="center"/>
    </xf>
    <xf numFmtId="0" fontId="10" fillId="0" borderId="20" xfId="2" applyFont="1" applyBorder="1" applyAlignment="1">
      <alignment horizontal="center" vertical="center"/>
    </xf>
    <xf numFmtId="9" fontId="8" fillId="0" borderId="0" xfId="1" applyFont="1" applyBorder="1" applyAlignment="1">
      <alignment vertical="center"/>
    </xf>
    <xf numFmtId="2" fontId="8" fillId="0" borderId="0" xfId="2" applyNumberFormat="1" applyBorder="1" applyAlignment="1">
      <alignment vertical="center"/>
    </xf>
    <xf numFmtId="0" fontId="32" fillId="0" borderId="0" xfId="2" applyFont="1" applyFill="1" applyBorder="1" applyAlignment="1">
      <alignment vertical="center"/>
    </xf>
    <xf numFmtId="1" fontId="8" fillId="0" borderId="0" xfId="2" applyNumberFormat="1" applyAlignment="1">
      <alignment vertical="center"/>
    </xf>
    <xf numFmtId="0" fontId="50" fillId="0" borderId="0" xfId="0" applyFont="1" applyFill="1" applyAlignment="1">
      <alignment vertical="center"/>
    </xf>
    <xf numFmtId="0" fontId="34" fillId="6" borderId="0" xfId="2" applyFont="1" applyFill="1" applyBorder="1"/>
    <xf numFmtId="0" fontId="3" fillId="0" borderId="0" xfId="0" applyFont="1" applyFill="1" applyAlignment="1">
      <alignment horizontal="right"/>
    </xf>
    <xf numFmtId="0" fontId="3" fillId="19" borderId="26" xfId="0" applyFont="1" applyFill="1" applyBorder="1" applyAlignment="1">
      <alignment horizontal="center" vertical="center" wrapText="1"/>
    </xf>
    <xf numFmtId="0" fontId="3" fillId="19" borderId="32" xfId="0" applyFont="1" applyFill="1" applyBorder="1" applyAlignment="1">
      <alignment horizontal="center" vertical="center" wrapText="1"/>
    </xf>
    <xf numFmtId="3" fontId="8" fillId="0" borderId="14" xfId="2" applyNumberFormat="1" applyFont="1" applyFill="1" applyBorder="1" applyAlignment="1">
      <alignment horizontal="center"/>
    </xf>
    <xf numFmtId="3" fontId="8" fillId="0" borderId="15" xfId="2" applyNumberFormat="1" applyFont="1" applyFill="1" applyBorder="1" applyAlignment="1">
      <alignment horizontal="center"/>
    </xf>
    <xf numFmtId="3" fontId="8" fillId="9" borderId="14" xfId="2" applyNumberFormat="1" applyFont="1" applyFill="1" applyBorder="1" applyAlignment="1">
      <alignment horizontal="center"/>
    </xf>
    <xf numFmtId="3" fontId="8" fillId="9" borderId="15" xfId="2" applyNumberFormat="1" applyFont="1" applyFill="1" applyBorder="1" applyAlignment="1">
      <alignment horizontal="center"/>
    </xf>
    <xf numFmtId="3" fontId="8" fillId="9" borderId="16" xfId="2" applyNumberFormat="1" applyFont="1" applyFill="1" applyBorder="1" applyAlignment="1">
      <alignment horizontal="center"/>
    </xf>
    <xf numFmtId="3" fontId="8" fillId="9" borderId="17" xfId="2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10" fontId="0" fillId="3" borderId="1" xfId="0" applyNumberFormat="1" applyFill="1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8" fillId="0" borderId="7" xfId="2" applyBorder="1" applyAlignment="1">
      <alignment horizontal="right" vertical="center"/>
    </xf>
    <xf numFmtId="1" fontId="8" fillId="0" borderId="3" xfId="2" applyNumberFormat="1" applyBorder="1" applyAlignment="1">
      <alignment vertical="center"/>
    </xf>
    <xf numFmtId="1" fontId="8" fillId="0" borderId="10" xfId="2" applyNumberFormat="1" applyBorder="1" applyAlignment="1">
      <alignment vertical="center"/>
    </xf>
    <xf numFmtId="0" fontId="8" fillId="0" borderId="22" xfId="2" applyBorder="1" applyAlignment="1">
      <alignment horizontal="right" vertical="center"/>
    </xf>
    <xf numFmtId="9" fontId="8" fillId="0" borderId="19" xfId="2" applyNumberFormat="1" applyBorder="1" applyAlignment="1">
      <alignment vertical="center"/>
    </xf>
    <xf numFmtId="174" fontId="8" fillId="0" borderId="3" xfId="2" applyNumberFormat="1" applyBorder="1" applyAlignment="1">
      <alignment vertical="center"/>
    </xf>
    <xf numFmtId="0" fontId="8" fillId="0" borderId="24" xfId="2" applyBorder="1" applyAlignment="1">
      <alignment horizontal="right" vertical="center"/>
    </xf>
    <xf numFmtId="0" fontId="8" fillId="0" borderId="23" xfId="2" applyBorder="1" applyAlignment="1">
      <alignment horizontal="right" vertical="center"/>
    </xf>
    <xf numFmtId="0" fontId="10" fillId="0" borderId="21" xfId="2" applyFont="1" applyFill="1" applyBorder="1" applyAlignment="1">
      <alignment horizontal="center" vertical="center"/>
    </xf>
    <xf numFmtId="9" fontId="10" fillId="0" borderId="0" xfId="2" applyNumberFormat="1" applyFont="1" applyFill="1" applyBorder="1" applyAlignment="1">
      <alignment horizontal="center" vertical="center"/>
    </xf>
    <xf numFmtId="1" fontId="8" fillId="5" borderId="8" xfId="2" applyNumberFormat="1" applyFill="1" applyBorder="1" applyAlignment="1">
      <alignment horizontal="center" vertical="center"/>
    </xf>
    <xf numFmtId="1" fontId="8" fillId="5" borderId="10" xfId="2" applyNumberFormat="1" applyFill="1" applyBorder="1" applyAlignment="1">
      <alignment horizontal="center" vertical="center"/>
    </xf>
    <xf numFmtId="9" fontId="10" fillId="0" borderId="0" xfId="2" applyNumberFormat="1" applyFont="1" applyFill="1" applyBorder="1" applyAlignment="1">
      <alignment vertical="center"/>
    </xf>
    <xf numFmtId="9" fontId="8" fillId="0" borderId="0" xfId="1" applyFont="1" applyFill="1" applyBorder="1" applyAlignment="1">
      <alignment horizontal="center" vertical="center"/>
    </xf>
    <xf numFmtId="171" fontId="8" fillId="5" borderId="21" xfId="2" applyNumberFormat="1" applyFill="1" applyBorder="1" applyAlignment="1">
      <alignment horizontal="center" vertical="center"/>
    </xf>
    <xf numFmtId="171" fontId="8" fillId="5" borderId="8" xfId="2" applyNumberFormat="1" applyFill="1" applyBorder="1" applyAlignment="1">
      <alignment horizontal="center" vertical="center"/>
    </xf>
    <xf numFmtId="171" fontId="8" fillId="5" borderId="10" xfId="2" applyNumberFormat="1" applyFill="1" applyBorder="1" applyAlignment="1">
      <alignment horizontal="center" vertical="center"/>
    </xf>
    <xf numFmtId="0" fontId="8" fillId="0" borderId="7" xfId="2" applyBorder="1" applyAlignment="1">
      <alignment vertical="center"/>
    </xf>
    <xf numFmtId="165" fontId="10" fillId="0" borderId="0" xfId="1" applyNumberFormat="1" applyFont="1" applyFill="1" applyBorder="1" applyAlignment="1">
      <alignment vertical="center"/>
    </xf>
    <xf numFmtId="4" fontId="8" fillId="0" borderId="7" xfId="2" applyNumberFormat="1" applyFill="1" applyBorder="1" applyAlignment="1">
      <alignment horizontal="center" vertical="center"/>
    </xf>
    <xf numFmtId="4" fontId="8" fillId="0" borderId="8" xfId="2" applyNumberFormat="1" applyFill="1" applyBorder="1" applyAlignment="1">
      <alignment horizontal="center" vertical="center"/>
    </xf>
    <xf numFmtId="173" fontId="8" fillId="0" borderId="7" xfId="2" applyNumberFormat="1" applyFill="1" applyBorder="1" applyAlignment="1">
      <alignment horizontal="center" vertical="center"/>
    </xf>
    <xf numFmtId="173" fontId="8" fillId="0" borderId="0" xfId="2" applyNumberFormat="1" applyFill="1" applyBorder="1" applyAlignment="1">
      <alignment horizontal="center" vertical="center"/>
    </xf>
    <xf numFmtId="173" fontId="8" fillId="0" borderId="8" xfId="2" applyNumberFormat="1" applyFill="1" applyBorder="1" applyAlignment="1">
      <alignment horizontal="center" vertical="center"/>
    </xf>
    <xf numFmtId="4" fontId="8" fillId="0" borderId="9" xfId="2" applyNumberFormat="1" applyFill="1" applyBorder="1" applyAlignment="1">
      <alignment horizontal="center" vertical="center"/>
    </xf>
    <xf numFmtId="4" fontId="8" fillId="0" borderId="3" xfId="2" applyNumberFormat="1" applyFill="1" applyBorder="1" applyAlignment="1">
      <alignment horizontal="center" vertical="center"/>
    </xf>
    <xf numFmtId="4" fontId="8" fillId="0" borderId="10" xfId="2" applyNumberFormat="1" applyFill="1" applyBorder="1" applyAlignment="1">
      <alignment horizontal="center" vertical="center"/>
    </xf>
    <xf numFmtId="3" fontId="0" fillId="13" borderId="1" xfId="0" applyNumberFormat="1" applyFont="1" applyFill="1" applyBorder="1" applyAlignment="1">
      <alignment horizontal="center" vertical="center"/>
    </xf>
    <xf numFmtId="3" fontId="0" fillId="13" borderId="4" xfId="0" applyNumberFormat="1" applyFont="1" applyFill="1" applyBorder="1" applyAlignment="1">
      <alignment horizontal="center" vertical="center"/>
    </xf>
    <xf numFmtId="3" fontId="0" fillId="13" borderId="6" xfId="0" applyNumberFormat="1" applyFont="1" applyFill="1" applyBorder="1" applyAlignment="1">
      <alignment horizontal="center" vertical="center"/>
    </xf>
    <xf numFmtId="2" fontId="8" fillId="5" borderId="0" xfId="2" applyNumberFormat="1" applyFill="1" applyBorder="1" applyAlignment="1">
      <alignment vertical="center"/>
    </xf>
    <xf numFmtId="2" fontId="8" fillId="5" borderId="8" xfId="2" applyNumberFormat="1" applyFill="1" applyBorder="1" applyAlignment="1">
      <alignment vertical="center"/>
    </xf>
    <xf numFmtId="0" fontId="8" fillId="0" borderId="0" xfId="2" applyFill="1" applyAlignment="1">
      <alignment vertical="center"/>
    </xf>
    <xf numFmtId="1" fontId="8" fillId="0" borderId="0" xfId="2" applyNumberFormat="1" applyFill="1" applyBorder="1" applyAlignment="1">
      <alignment vertical="center"/>
    </xf>
    <xf numFmtId="0" fontId="8" fillId="0" borderId="19" xfId="2" applyFill="1" applyBorder="1" applyAlignment="1">
      <alignment horizontal="right" vertical="center"/>
    </xf>
    <xf numFmtId="9" fontId="8" fillId="0" borderId="19" xfId="2" applyNumberFormat="1" applyFill="1" applyBorder="1" applyAlignment="1">
      <alignment vertical="center"/>
    </xf>
    <xf numFmtId="9" fontId="8" fillId="0" borderId="20" xfId="1" applyFont="1" applyFill="1" applyBorder="1" applyAlignment="1">
      <alignment vertical="center"/>
    </xf>
    <xf numFmtId="9" fontId="8" fillId="0" borderId="21" xfId="1" applyFont="1" applyFill="1" applyBorder="1" applyAlignment="1">
      <alignment vertical="center"/>
    </xf>
    <xf numFmtId="0" fontId="8" fillId="0" borderId="0" xfId="2" applyFill="1" applyAlignment="1">
      <alignment horizontal="right" vertical="center"/>
    </xf>
    <xf numFmtId="9" fontId="8" fillId="0" borderId="1" xfId="2" applyNumberFormat="1" applyFill="1" applyBorder="1" applyAlignment="1">
      <alignment horizontal="center" vertical="center"/>
    </xf>
    <xf numFmtId="9" fontId="8" fillId="0" borderId="0" xfId="1" applyFont="1" applyFill="1" applyBorder="1" applyAlignment="1">
      <alignment vertical="center"/>
    </xf>
    <xf numFmtId="0" fontId="8" fillId="0" borderId="7" xfId="2" applyFill="1" applyBorder="1" applyAlignment="1">
      <alignment horizontal="right" vertical="center"/>
    </xf>
    <xf numFmtId="2" fontId="8" fillId="0" borderId="7" xfId="2" applyNumberFormat="1" applyFill="1" applyBorder="1" applyAlignment="1">
      <alignment vertical="center"/>
    </xf>
    <xf numFmtId="2" fontId="8" fillId="0" borderId="0" xfId="2" applyNumberFormat="1" applyFill="1" applyBorder="1" applyAlignment="1">
      <alignment vertical="center"/>
    </xf>
    <xf numFmtId="2" fontId="8" fillId="0" borderId="8" xfId="2" applyNumberFormat="1" applyFill="1" applyBorder="1" applyAlignment="1">
      <alignment vertical="center"/>
    </xf>
    <xf numFmtId="2" fontId="8" fillId="0" borderId="0" xfId="2" applyNumberFormat="1" applyFont="1" applyFill="1" applyAlignment="1">
      <alignment horizontal="center" vertical="center"/>
    </xf>
    <xf numFmtId="0" fontId="8" fillId="0" borderId="9" xfId="2" applyFill="1" applyBorder="1" applyAlignment="1">
      <alignment horizontal="right" vertical="center"/>
    </xf>
    <xf numFmtId="174" fontId="8" fillId="0" borderId="9" xfId="2" applyNumberFormat="1" applyFill="1" applyBorder="1" applyAlignment="1">
      <alignment vertical="center"/>
    </xf>
    <xf numFmtId="1" fontId="8" fillId="0" borderId="3" xfId="2" applyNumberFormat="1" applyFill="1" applyBorder="1" applyAlignment="1">
      <alignment vertical="center"/>
    </xf>
    <xf numFmtId="1" fontId="8" fillId="0" borderId="10" xfId="2" applyNumberFormat="1" applyFill="1" applyBorder="1" applyAlignment="1">
      <alignment vertical="center"/>
    </xf>
    <xf numFmtId="0" fontId="8" fillId="0" borderId="0" xfId="2" applyFill="1" applyAlignment="1">
      <alignment horizontal="center" vertical="center"/>
    </xf>
    <xf numFmtId="0" fontId="8" fillId="0" borderId="4" xfId="2" applyFill="1" applyBorder="1" applyAlignment="1">
      <alignment horizontal="center" vertical="center"/>
    </xf>
    <xf numFmtId="0" fontId="8" fillId="0" borderId="5" xfId="2" applyFill="1" applyBorder="1" applyAlignment="1">
      <alignment horizontal="center" vertical="center"/>
    </xf>
    <xf numFmtId="0" fontId="8" fillId="0" borderId="20" xfId="2" applyFill="1" applyBorder="1" applyAlignment="1">
      <alignment horizontal="center" vertical="center"/>
    </xf>
    <xf numFmtId="0" fontId="8" fillId="0" borderId="21" xfId="2" applyFill="1" applyBorder="1" applyAlignment="1">
      <alignment horizontal="center" vertical="center"/>
    </xf>
    <xf numFmtId="0" fontId="8" fillId="0" borderId="1" xfId="2" applyFill="1" applyBorder="1" applyAlignment="1">
      <alignment horizontal="right" vertical="center"/>
    </xf>
    <xf numFmtId="0" fontId="8" fillId="0" borderId="1" xfId="2" applyFill="1" applyBorder="1" applyAlignment="1">
      <alignment vertical="center"/>
    </xf>
    <xf numFmtId="0" fontId="25" fillId="0" borderId="0" xfId="0" applyFont="1" applyFill="1" applyAlignment="1">
      <alignment horizontal="right"/>
    </xf>
    <xf numFmtId="0" fontId="25" fillId="0" borderId="0" xfId="0" applyFont="1" applyFill="1" applyBorder="1" applyAlignment="1">
      <alignment horizontal="right"/>
    </xf>
    <xf numFmtId="3" fontId="0" fillId="6" borderId="1" xfId="0" applyNumberFormat="1" applyFill="1" applyBorder="1" applyAlignment="1">
      <alignment horizontal="right" vertical="center"/>
    </xf>
    <xf numFmtId="167" fontId="0" fillId="6" borderId="1" xfId="0" applyNumberFormat="1" applyFill="1" applyBorder="1" applyAlignment="1">
      <alignment horizontal="right" vertical="center"/>
    </xf>
    <xf numFmtId="167" fontId="0" fillId="6" borderId="1" xfId="0" applyNumberFormat="1" applyFill="1" applyBorder="1"/>
    <xf numFmtId="2" fontId="0" fillId="6" borderId="1" xfId="0" applyNumberFormat="1" applyFill="1" applyBorder="1" applyAlignment="1">
      <alignment horizontal="right" vertical="center"/>
    </xf>
    <xf numFmtId="2" fontId="0" fillId="13" borderId="0" xfId="0" applyNumberFormat="1" applyFill="1"/>
    <xf numFmtId="164" fontId="0" fillId="0" borderId="0" xfId="0" applyNumberFormat="1"/>
    <xf numFmtId="9" fontId="8" fillId="6" borderId="1" xfId="1" applyFont="1" applyFill="1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1" fillId="0" borderId="1" xfId="0" applyNumberFormat="1" applyFont="1" applyFill="1" applyBorder="1" applyAlignment="1" applyProtection="1">
      <alignment vertical="center"/>
    </xf>
    <xf numFmtId="0" fontId="51" fillId="0" borderId="1" xfId="0" applyNumberFormat="1" applyFont="1" applyFill="1" applyBorder="1" applyAlignment="1" applyProtection="1">
      <alignment horizontal="center" vertical="center"/>
    </xf>
    <xf numFmtId="0" fontId="52" fillId="0" borderId="1" xfId="0" applyNumberFormat="1" applyFont="1" applyFill="1" applyBorder="1" applyAlignment="1" applyProtection="1">
      <alignment horizontal="center" vertical="center"/>
    </xf>
    <xf numFmtId="0" fontId="51" fillId="0" borderId="0" xfId="0" applyNumberFormat="1" applyFont="1" applyFill="1" applyBorder="1" applyAlignment="1" applyProtection="1">
      <alignment vertical="center"/>
    </xf>
    <xf numFmtId="0" fontId="3" fillId="0" borderId="54" xfId="0" applyFont="1" applyBorder="1"/>
    <xf numFmtId="0" fontId="3" fillId="0" borderId="55" xfId="0" applyFont="1" applyBorder="1" applyAlignment="1">
      <alignment horizontal="center" vertical="center" wrapText="1"/>
    </xf>
    <xf numFmtId="0" fontId="3" fillId="0" borderId="56" xfId="0" applyFont="1" applyBorder="1" applyAlignment="1">
      <alignment horizontal="center" vertical="center" wrapText="1"/>
    </xf>
    <xf numFmtId="0" fontId="3" fillId="0" borderId="57" xfId="0" applyFont="1" applyBorder="1" applyAlignment="1">
      <alignment horizontal="center" vertical="center" wrapText="1"/>
    </xf>
    <xf numFmtId="9" fontId="53" fillId="0" borderId="1" xfId="1" applyFont="1" applyFill="1" applyBorder="1" applyAlignment="1" applyProtection="1">
      <alignment horizontal="center" vertical="center"/>
    </xf>
    <xf numFmtId="9" fontId="51" fillId="0" borderId="0" xfId="0" applyNumberFormat="1" applyFont="1" applyFill="1" applyBorder="1" applyAlignment="1" applyProtection="1">
      <alignment horizontal="center" vertical="center"/>
    </xf>
    <xf numFmtId="0" fontId="0" fillId="0" borderId="30" xfId="0" applyBorder="1"/>
    <xf numFmtId="0" fontId="3" fillId="0" borderId="10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58" xfId="0" applyFont="1" applyBorder="1" applyAlignment="1">
      <alignment horizontal="center" vertical="center" wrapText="1"/>
    </xf>
    <xf numFmtId="2" fontId="51" fillId="0" borderId="1" xfId="0" applyNumberFormat="1" applyFont="1" applyFill="1" applyBorder="1" applyAlignment="1" applyProtection="1">
      <alignment horizontal="center" vertical="center"/>
    </xf>
    <xf numFmtId="0" fontId="0" fillId="0" borderId="29" xfId="0" applyBorder="1"/>
    <xf numFmtId="181" fontId="0" fillId="0" borderId="6" xfId="5" applyNumberFormat="1" applyFont="1" applyBorder="1" applyAlignment="1">
      <alignment horizontal="center" vertical="center"/>
    </xf>
    <xf numFmtId="181" fontId="0" fillId="0" borderId="1" xfId="5" applyNumberFormat="1" applyFont="1" applyBorder="1" applyAlignment="1">
      <alignment horizontal="center" vertical="center"/>
    </xf>
    <xf numFmtId="167" fontId="0" fillId="0" borderId="31" xfId="0" applyNumberFormat="1" applyBorder="1" applyAlignment="1">
      <alignment horizontal="center" vertical="center"/>
    </xf>
    <xf numFmtId="0" fontId="51" fillId="6" borderId="1" xfId="0" applyNumberFormat="1" applyFont="1" applyFill="1" applyBorder="1" applyAlignment="1" applyProtection="1">
      <alignment horizontal="center" vertical="center"/>
    </xf>
    <xf numFmtId="2" fontId="51" fillId="0" borderId="0" xfId="0" applyNumberFormat="1" applyFont="1" applyFill="1" applyBorder="1" applyAlignment="1" applyProtection="1">
      <alignment horizontal="center" vertical="center"/>
    </xf>
    <xf numFmtId="0" fontId="54" fillId="0" borderId="0" xfId="0" applyNumberFormat="1" applyFont="1" applyFill="1" applyBorder="1" applyAlignment="1" applyProtection="1">
      <alignment vertical="center"/>
    </xf>
    <xf numFmtId="168" fontId="51" fillId="0" borderId="1" xfId="0" applyNumberFormat="1" applyFont="1" applyFill="1" applyBorder="1" applyAlignment="1" applyProtection="1">
      <alignment horizontal="center" vertical="center"/>
    </xf>
    <xf numFmtId="3" fontId="51" fillId="0" borderId="1" xfId="0" applyNumberFormat="1" applyFont="1" applyFill="1" applyBorder="1" applyAlignment="1" applyProtection="1">
      <alignment horizontal="center" vertical="center"/>
    </xf>
    <xf numFmtId="0" fontId="0" fillId="0" borderId="28" xfId="0" applyBorder="1"/>
    <xf numFmtId="181" fontId="0" fillId="0" borderId="21" xfId="5" applyNumberFormat="1" applyFont="1" applyBorder="1" applyAlignment="1">
      <alignment horizontal="center" vertical="center"/>
    </xf>
    <xf numFmtId="181" fontId="0" fillId="0" borderId="22" xfId="5" applyNumberFormat="1" applyFont="1" applyBorder="1" applyAlignment="1">
      <alignment horizontal="center" vertical="center"/>
    </xf>
    <xf numFmtId="167" fontId="0" fillId="0" borderId="59" xfId="0" applyNumberFormat="1" applyBorder="1" applyAlignment="1">
      <alignment horizontal="center" vertical="center"/>
    </xf>
    <xf numFmtId="181" fontId="3" fillId="0" borderId="55" xfId="5" applyNumberFormat="1" applyFont="1" applyBorder="1" applyAlignment="1">
      <alignment horizontal="center" vertical="center"/>
    </xf>
    <xf numFmtId="181" fontId="3" fillId="0" borderId="56" xfId="5" applyNumberFormat="1" applyFont="1" applyBorder="1" applyAlignment="1">
      <alignment horizontal="center" vertical="center"/>
    </xf>
    <xf numFmtId="167" fontId="3" fillId="13" borderId="57" xfId="0" applyNumberFormat="1" applyFont="1" applyFill="1" applyBorder="1" applyAlignment="1">
      <alignment horizontal="center" vertical="center"/>
    </xf>
    <xf numFmtId="0" fontId="51" fillId="4" borderId="1" xfId="0" applyNumberFormat="1" applyFont="1" applyFill="1" applyBorder="1" applyAlignment="1" applyProtection="1">
      <alignment vertical="center"/>
    </xf>
    <xf numFmtId="0" fontId="51" fillId="4" borderId="1" xfId="0" applyNumberFormat="1" applyFont="1" applyFill="1" applyBorder="1" applyAlignment="1" applyProtection="1">
      <alignment horizontal="center" vertical="center"/>
    </xf>
    <xf numFmtId="1" fontId="51" fillId="4" borderId="1" xfId="0" applyNumberFormat="1" applyFont="1" applyFill="1" applyBorder="1" applyAlignment="1" applyProtection="1">
      <alignment horizontal="center" vertical="center"/>
    </xf>
    <xf numFmtId="168" fontId="51" fillId="4" borderId="1" xfId="0" applyNumberFormat="1" applyFont="1" applyFill="1" applyBorder="1" applyAlignment="1" applyProtection="1">
      <alignment horizontal="center" vertical="center"/>
    </xf>
    <xf numFmtId="0" fontId="54" fillId="0" borderId="4" xfId="0" applyNumberFormat="1" applyFont="1" applyFill="1" applyBorder="1" applyAlignment="1" applyProtection="1">
      <alignment horizontal="center" vertical="center"/>
    </xf>
    <xf numFmtId="0" fontId="54" fillId="0" borderId="6" xfId="0" applyNumberFormat="1" applyFont="1" applyFill="1" applyBorder="1" applyAlignment="1" applyProtection="1">
      <alignment horizontal="center" vertical="center"/>
    </xf>
    <xf numFmtId="0" fontId="51" fillId="0" borderId="0" xfId="0" applyNumberFormat="1" applyFont="1" applyFill="1" applyBorder="1" applyAlignment="1" applyProtection="1">
      <alignment horizontal="center" vertical="center"/>
    </xf>
    <xf numFmtId="1" fontId="0" fillId="6" borderId="1" xfId="0" applyNumberFormat="1" applyFill="1" applyBorder="1" applyAlignment="1">
      <alignment horizontal="right" vertical="center"/>
    </xf>
    <xf numFmtId="0" fontId="55" fillId="15" borderId="0" xfId="0" applyFont="1" applyFill="1" applyBorder="1" applyAlignment="1">
      <alignment horizontal="center" vertical="center"/>
    </xf>
    <xf numFmtId="0" fontId="0" fillId="0" borderId="13" xfId="0" applyBorder="1"/>
    <xf numFmtId="0" fontId="25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3" fontId="0" fillId="0" borderId="0" xfId="0" applyNumberFormat="1" applyBorder="1" applyAlignment="1">
      <alignment horizontal="right"/>
    </xf>
    <xf numFmtId="3" fontId="0" fillId="0" borderId="0" xfId="0" applyNumberFormat="1" applyBorder="1" applyAlignment="1">
      <alignment horizontal="center"/>
    </xf>
    <xf numFmtId="0" fontId="0" fillId="0" borderId="17" xfId="0" applyBorder="1" applyAlignment="1">
      <alignment horizontal="left"/>
    </xf>
    <xf numFmtId="3" fontId="0" fillId="24" borderId="2" xfId="0" applyNumberFormat="1" applyFill="1" applyBorder="1"/>
    <xf numFmtId="3" fontId="0" fillId="24" borderId="2" xfId="0" applyNumberFormat="1" applyFill="1" applyBorder="1" applyAlignment="1">
      <alignment horizontal="left"/>
    </xf>
    <xf numFmtId="3" fontId="0" fillId="24" borderId="16" xfId="0" applyNumberFormat="1" applyFill="1" applyBorder="1"/>
    <xf numFmtId="3" fontId="43" fillId="24" borderId="2" xfId="0" applyNumberFormat="1" applyFont="1" applyFill="1" applyBorder="1"/>
    <xf numFmtId="0" fontId="43" fillId="0" borderId="2" xfId="0" applyFont="1" applyFill="1" applyBorder="1"/>
    <xf numFmtId="0" fontId="0" fillId="0" borderId="14" xfId="0" applyBorder="1" applyAlignment="1">
      <alignment horizontal="left"/>
    </xf>
    <xf numFmtId="0" fontId="3" fillId="0" borderId="0" xfId="0" applyFont="1" applyAlignment="1">
      <alignment horizontal="center"/>
    </xf>
    <xf numFmtId="3" fontId="8" fillId="0" borderId="4" xfId="2" applyNumberFormat="1" applyFill="1" applyBorder="1" applyAlignment="1">
      <alignment horizontal="right" vertical="center"/>
    </xf>
    <xf numFmtId="3" fontId="8" fillId="0" borderId="5" xfId="2" applyNumberFormat="1" applyFill="1" applyBorder="1" applyAlignment="1">
      <alignment horizontal="right" vertical="center"/>
    </xf>
    <xf numFmtId="3" fontId="8" fillId="0" borderId="6" xfId="2" applyNumberFormat="1" applyFill="1" applyBorder="1" applyAlignment="1">
      <alignment horizontal="right" vertical="center"/>
    </xf>
    <xf numFmtId="170" fontId="8" fillId="0" borderId="0" xfId="2" applyNumberFormat="1" applyAlignment="1">
      <alignment vertical="center"/>
    </xf>
    <xf numFmtId="1" fontId="8" fillId="0" borderId="21" xfId="2" applyNumberFormat="1" applyBorder="1" applyAlignment="1">
      <alignment horizontal="right" vertical="center"/>
    </xf>
    <xf numFmtId="0" fontId="8" fillId="0" borderId="8" xfId="2" applyBorder="1" applyAlignment="1">
      <alignment horizontal="right" vertical="center"/>
    </xf>
    <xf numFmtId="3" fontId="8" fillId="0" borderId="10" xfId="2" applyNumberFormat="1" applyFill="1" applyBorder="1" applyAlignment="1">
      <alignment horizontal="right" vertical="center"/>
    </xf>
    <xf numFmtId="167" fontId="8" fillId="7" borderId="0" xfId="2" applyNumberFormat="1" applyFont="1" applyFill="1" applyAlignment="1">
      <alignment horizontal="center" vertical="center"/>
    </xf>
    <xf numFmtId="2" fontId="8" fillId="5" borderId="7" xfId="2" applyNumberFormat="1" applyFill="1" applyBorder="1" applyAlignment="1">
      <alignment vertical="center"/>
    </xf>
    <xf numFmtId="174" fontId="8" fillId="5" borderId="9" xfId="2" applyNumberFormat="1" applyFill="1" applyBorder="1" applyAlignment="1">
      <alignment vertical="center"/>
    </xf>
    <xf numFmtId="3" fontId="34" fillId="5" borderId="3" xfId="2" applyNumberFormat="1" applyFont="1" applyFill="1" applyBorder="1" applyAlignment="1">
      <alignment horizontal="center" vertical="center"/>
    </xf>
    <xf numFmtId="3" fontId="34" fillId="5" borderId="10" xfId="2" applyNumberFormat="1" applyFont="1" applyFill="1" applyBorder="1" applyAlignment="1">
      <alignment horizontal="center" vertical="center"/>
    </xf>
    <xf numFmtId="1" fontId="8" fillId="0" borderId="20" xfId="2" applyNumberFormat="1" applyBorder="1" applyAlignment="1">
      <alignment horizontal="center" vertical="center"/>
    </xf>
    <xf numFmtId="1" fontId="8" fillId="0" borderId="21" xfId="2" applyNumberFormat="1" applyBorder="1" applyAlignment="1">
      <alignment horizontal="center" vertical="center"/>
    </xf>
    <xf numFmtId="1" fontId="8" fillId="0" borderId="3" xfId="2" applyNumberFormat="1" applyBorder="1" applyAlignment="1">
      <alignment horizontal="center" vertical="center"/>
    </xf>
    <xf numFmtId="1" fontId="8" fillId="0" borderId="10" xfId="2" applyNumberFormat="1" applyBorder="1" applyAlignment="1">
      <alignment horizontal="center" vertical="center"/>
    </xf>
    <xf numFmtId="0" fontId="10" fillId="13" borderId="0" xfId="2" applyFont="1" applyFill="1" applyAlignment="1">
      <alignment horizontal="center" vertical="center"/>
    </xf>
    <xf numFmtId="165" fontId="8" fillId="0" borderId="0" xfId="1" applyNumberFormat="1" applyFont="1" applyAlignment="1">
      <alignment vertical="center"/>
    </xf>
    <xf numFmtId="1" fontId="8" fillId="7" borderId="0" xfId="2" applyNumberFormat="1" applyFont="1" applyFill="1" applyAlignment="1">
      <alignment horizontal="center" vertical="center"/>
    </xf>
    <xf numFmtId="10" fontId="8" fillId="0" borderId="0" xfId="1" applyNumberFormat="1" applyFont="1" applyAlignment="1">
      <alignment vertical="center"/>
    </xf>
    <xf numFmtId="9" fontId="8" fillId="0" borderId="0" xfId="2" applyNumberFormat="1" applyAlignment="1">
      <alignment vertical="center"/>
    </xf>
    <xf numFmtId="0" fontId="0" fillId="0" borderId="1" xfId="0" applyBorder="1" applyAlignment="1">
      <alignment horizontal="center"/>
    </xf>
    <xf numFmtId="0" fontId="8" fillId="0" borderId="8" xfId="2" applyBorder="1" applyAlignment="1">
      <alignment vertical="center"/>
    </xf>
    <xf numFmtId="3" fontId="8" fillId="0" borderId="10" xfId="2" applyNumberFormat="1" applyFill="1" applyBorder="1" applyAlignment="1">
      <alignment horizontal="center" vertical="center"/>
    </xf>
    <xf numFmtId="3" fontId="8" fillId="0" borderId="0" xfId="2" applyNumberFormat="1" applyBorder="1" applyAlignment="1">
      <alignment horizontal="center" vertical="center" wrapText="1"/>
    </xf>
    <xf numFmtId="3" fontId="8" fillId="0" borderId="8" xfId="2" applyNumberFormat="1" applyBorder="1" applyAlignment="1">
      <alignment horizontal="center" vertical="center" wrapText="1"/>
    </xf>
    <xf numFmtId="3" fontId="8" fillId="0" borderId="0" xfId="2" applyNumberFormat="1" applyBorder="1" applyAlignment="1">
      <alignment vertical="center"/>
    </xf>
    <xf numFmtId="3" fontId="8" fillId="0" borderId="8" xfId="2" applyNumberFormat="1" applyBorder="1" applyAlignment="1">
      <alignment vertical="center"/>
    </xf>
    <xf numFmtId="10" fontId="8" fillId="0" borderId="0" xfId="1" applyNumberFormat="1" applyFont="1" applyBorder="1" applyAlignment="1">
      <alignment vertical="center"/>
    </xf>
    <xf numFmtId="10" fontId="8" fillId="0" borderId="8" xfId="1" applyNumberFormat="1" applyFont="1" applyBorder="1" applyAlignment="1">
      <alignment vertical="center"/>
    </xf>
    <xf numFmtId="3" fontId="8" fillId="12" borderId="0" xfId="2" applyNumberFormat="1" applyFont="1" applyFill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55" fillId="26" borderId="11" xfId="0" applyFont="1" applyFill="1" applyBorder="1" applyAlignment="1">
      <alignment horizontal="center" vertical="center"/>
    </xf>
    <xf numFmtId="0" fontId="55" fillId="26" borderId="12" xfId="0" applyFont="1" applyFill="1" applyBorder="1" applyAlignment="1">
      <alignment horizontal="center" vertical="center"/>
    </xf>
    <xf numFmtId="0" fontId="55" fillId="26" borderId="13" xfId="0" applyFont="1" applyFill="1" applyBorder="1" applyAlignment="1">
      <alignment horizontal="center" vertical="center"/>
    </xf>
    <xf numFmtId="0" fontId="56" fillId="27" borderId="26" xfId="0" applyFont="1" applyFill="1" applyBorder="1" applyAlignment="1">
      <alignment horizontal="center" vertical="center"/>
    </xf>
    <xf numFmtId="0" fontId="56" fillId="27" borderId="27" xfId="0" applyFont="1" applyFill="1" applyBorder="1" applyAlignment="1">
      <alignment horizontal="center" vertical="center"/>
    </xf>
    <xf numFmtId="0" fontId="56" fillId="27" borderId="32" xfId="0" applyFont="1" applyFill="1" applyBorder="1" applyAlignment="1">
      <alignment horizontal="center" vertical="center"/>
    </xf>
    <xf numFmtId="0" fontId="32" fillId="0" borderId="26" xfId="2" applyFont="1" applyBorder="1" applyAlignment="1">
      <alignment horizontal="center" vertical="center"/>
    </xf>
    <xf numFmtId="0" fontId="32" fillId="0" borderId="27" xfId="2" applyFont="1" applyBorder="1" applyAlignment="1">
      <alignment horizontal="center" vertical="center"/>
    </xf>
    <xf numFmtId="0" fontId="32" fillId="0" borderId="32" xfId="2" applyFont="1" applyBorder="1" applyAlignment="1">
      <alignment horizontal="center" vertical="center"/>
    </xf>
    <xf numFmtId="0" fontId="10" fillId="4" borderId="0" xfId="2" applyFont="1" applyFill="1" applyAlignment="1">
      <alignment horizontal="center" vertical="center"/>
    </xf>
    <xf numFmtId="9" fontId="10" fillId="4" borderId="0" xfId="2" applyNumberFormat="1" applyFont="1" applyFill="1" applyAlignment="1">
      <alignment horizontal="center" vertical="center"/>
    </xf>
    <xf numFmtId="0" fontId="10" fillId="14" borderId="3" xfId="2" applyFont="1" applyFill="1" applyBorder="1" applyAlignment="1">
      <alignment horizontal="center" vertical="center"/>
    </xf>
    <xf numFmtId="0" fontId="10" fillId="8" borderId="3" xfId="2" applyFont="1" applyFill="1" applyBorder="1" applyAlignment="1">
      <alignment horizontal="center" vertical="center"/>
    </xf>
    <xf numFmtId="0" fontId="44" fillId="0" borderId="26" xfId="2" applyFont="1" applyBorder="1" applyAlignment="1">
      <alignment horizontal="center" vertical="center"/>
    </xf>
    <xf numFmtId="0" fontId="44" fillId="0" borderId="27" xfId="2" applyFont="1" applyBorder="1" applyAlignment="1">
      <alignment horizontal="center" vertical="center"/>
    </xf>
    <xf numFmtId="0" fontId="44" fillId="0" borderId="32" xfId="2" applyFont="1" applyBorder="1" applyAlignment="1">
      <alignment horizontal="center" vertical="center"/>
    </xf>
    <xf numFmtId="0" fontId="41" fillId="0" borderId="0" xfId="2" applyFont="1" applyAlignment="1">
      <alignment horizontal="center" vertical="center"/>
    </xf>
    <xf numFmtId="0" fontId="10" fillId="7" borderId="51" xfId="2" applyFont="1" applyFill="1" applyBorder="1" applyAlignment="1">
      <alignment horizontal="center" vertical="center"/>
    </xf>
    <xf numFmtId="0" fontId="10" fillId="7" borderId="52" xfId="2" applyFont="1" applyFill="1" applyBorder="1" applyAlignment="1">
      <alignment horizontal="center" vertical="center"/>
    </xf>
    <xf numFmtId="0" fontId="10" fillId="7" borderId="53" xfId="2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10" fillId="15" borderId="33" xfId="2" applyFont="1" applyFill="1" applyBorder="1" applyAlignment="1">
      <alignment horizontal="center" vertical="center"/>
    </xf>
    <xf numFmtId="0" fontId="10" fillId="0" borderId="36" xfId="2" applyFont="1" applyBorder="1" applyAlignment="1">
      <alignment horizontal="center" vertical="center"/>
    </xf>
    <xf numFmtId="0" fontId="10" fillId="0" borderId="38" xfId="2" applyFont="1" applyBorder="1" applyAlignment="1">
      <alignment horizontal="center" vertical="center"/>
    </xf>
    <xf numFmtId="0" fontId="32" fillId="15" borderId="33" xfId="2" applyFont="1" applyFill="1" applyBorder="1" applyAlignment="1">
      <alignment horizontal="center" vertical="center"/>
    </xf>
    <xf numFmtId="0" fontId="32" fillId="0" borderId="34" xfId="2" applyFont="1" applyBorder="1" applyAlignment="1">
      <alignment horizontal="center" vertical="center"/>
    </xf>
    <xf numFmtId="0" fontId="32" fillId="0" borderId="41" xfId="2" applyFont="1" applyBorder="1" applyAlignment="1">
      <alignment horizontal="center" vertical="center"/>
    </xf>
    <xf numFmtId="0" fontId="32" fillId="0" borderId="36" xfId="2" applyFont="1" applyBorder="1" applyAlignment="1">
      <alignment horizontal="center" vertical="center"/>
    </xf>
    <xf numFmtId="0" fontId="32" fillId="0" borderId="0" xfId="2" applyFont="1" applyAlignment="1">
      <alignment horizontal="center" vertical="center"/>
    </xf>
    <xf numFmtId="0" fontId="32" fillId="0" borderId="8" xfId="2" applyFont="1" applyBorder="1" applyAlignment="1">
      <alignment horizontal="center" vertical="center"/>
    </xf>
    <xf numFmtId="0" fontId="32" fillId="0" borderId="38" xfId="2" applyFont="1" applyBorder="1" applyAlignment="1">
      <alignment horizontal="center" vertical="center"/>
    </xf>
    <xf numFmtId="0" fontId="32" fillId="0" borderId="39" xfId="2" applyFont="1" applyBorder="1" applyAlignment="1">
      <alignment horizontal="center" vertical="center"/>
    </xf>
    <xf numFmtId="0" fontId="32" fillId="0" borderId="43" xfId="2" applyFont="1" applyBorder="1" applyAlignment="1">
      <alignment horizontal="center" vertical="center"/>
    </xf>
    <xf numFmtId="0" fontId="32" fillId="15" borderId="42" xfId="2" applyFont="1" applyFill="1" applyBorder="1" applyAlignment="1">
      <alignment horizontal="center" vertical="center" wrapText="1"/>
    </xf>
    <xf numFmtId="0" fontId="32" fillId="0" borderId="34" xfId="2" applyFont="1" applyBorder="1" applyAlignment="1">
      <alignment horizontal="center" vertical="center" wrapText="1"/>
    </xf>
    <xf numFmtId="0" fontId="32" fillId="0" borderId="41" xfId="2" applyFont="1" applyBorder="1" applyAlignment="1">
      <alignment horizontal="center" vertical="center" wrapText="1"/>
    </xf>
    <xf numFmtId="0" fontId="32" fillId="0" borderId="7" xfId="2" applyFont="1" applyBorder="1" applyAlignment="1">
      <alignment horizontal="center" vertical="center" wrapText="1"/>
    </xf>
    <xf numFmtId="0" fontId="32" fillId="0" borderId="0" xfId="2" applyFont="1" applyAlignment="1">
      <alignment horizontal="center" vertical="center" wrapText="1"/>
    </xf>
    <xf numFmtId="0" fontId="32" fillId="0" borderId="8" xfId="2" applyFont="1" applyBorder="1" applyAlignment="1">
      <alignment horizontal="center" vertical="center" wrapText="1"/>
    </xf>
    <xf numFmtId="0" fontId="32" fillId="0" borderId="44" xfId="2" applyFont="1" applyBorder="1" applyAlignment="1">
      <alignment horizontal="center" vertical="center" wrapText="1"/>
    </xf>
    <xf numFmtId="0" fontId="32" fillId="0" borderId="39" xfId="2" applyFont="1" applyBorder="1" applyAlignment="1">
      <alignment horizontal="center" vertical="center" wrapText="1"/>
    </xf>
    <xf numFmtId="0" fontId="32" fillId="0" borderId="43" xfId="2" applyFont="1" applyBorder="1" applyAlignment="1">
      <alignment horizontal="center" vertical="center" wrapText="1"/>
    </xf>
    <xf numFmtId="0" fontId="32" fillId="15" borderId="42" xfId="2" applyFont="1" applyFill="1" applyBorder="1" applyAlignment="1">
      <alignment horizontal="center" vertical="center"/>
    </xf>
    <xf numFmtId="0" fontId="32" fillId="0" borderId="35" xfId="2" applyFont="1" applyBorder="1" applyAlignment="1">
      <alignment horizontal="center" vertical="center"/>
    </xf>
    <xf numFmtId="0" fontId="32" fillId="0" borderId="7" xfId="2" applyFont="1" applyBorder="1" applyAlignment="1">
      <alignment horizontal="center" vertical="center"/>
    </xf>
    <xf numFmtId="0" fontId="32" fillId="0" borderId="37" xfId="2" applyFont="1" applyBorder="1" applyAlignment="1">
      <alignment horizontal="center" vertical="center"/>
    </xf>
    <xf numFmtId="0" fontId="32" fillId="0" borderId="44" xfId="2" applyFont="1" applyBorder="1" applyAlignment="1">
      <alignment horizontal="center" vertical="center"/>
    </xf>
    <xf numFmtId="0" fontId="32" fillId="0" borderId="40" xfId="2" applyFont="1" applyBorder="1" applyAlignment="1">
      <alignment horizontal="center" vertical="center"/>
    </xf>
    <xf numFmtId="0" fontId="10" fillId="15" borderId="46" xfId="2" applyFont="1" applyFill="1" applyBorder="1" applyAlignment="1">
      <alignment horizontal="center" vertical="center"/>
    </xf>
    <xf numFmtId="0" fontId="23" fillId="17" borderId="0" xfId="0" applyFont="1" applyFill="1" applyAlignment="1">
      <alignment horizontal="center" vertical="center"/>
    </xf>
    <xf numFmtId="0" fontId="22" fillId="0" borderId="26" xfId="0" applyFont="1" applyBorder="1" applyAlignment="1">
      <alignment horizontal="center"/>
    </xf>
    <xf numFmtId="0" fontId="22" fillId="0" borderId="27" xfId="0" applyFont="1" applyBorder="1" applyAlignment="1">
      <alignment horizontal="center"/>
    </xf>
    <xf numFmtId="0" fontId="22" fillId="0" borderId="32" xfId="0" applyFont="1" applyBorder="1" applyAlignment="1">
      <alignment horizontal="center"/>
    </xf>
    <xf numFmtId="0" fontId="54" fillId="25" borderId="22" xfId="0" applyNumberFormat="1" applyFont="1" applyFill="1" applyBorder="1" applyAlignment="1" applyProtection="1">
      <alignment horizontal="center" vertical="center"/>
    </xf>
    <xf numFmtId="0" fontId="54" fillId="25" borderId="23" xfId="0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 textRotation="90"/>
    </xf>
    <xf numFmtId="0" fontId="3" fillId="0" borderId="3" xfId="0" applyFont="1" applyBorder="1" applyAlignment="1">
      <alignment horizontal="center" vertical="center"/>
    </xf>
    <xf numFmtId="0" fontId="45" fillId="17" borderId="0" xfId="7" applyFont="1" applyFill="1" applyAlignment="1">
      <alignment horizontal="center"/>
    </xf>
  </cellXfs>
  <cellStyles count="9">
    <cellStyle name="Millares" xfId="5" builtinId="3"/>
    <cellStyle name="Normal" xfId="0" builtinId="0"/>
    <cellStyle name="Normal 2" xfId="2" xr:uid="{00000000-0005-0000-0000-000002000000}"/>
    <cellStyle name="Normal 2 5 3" xfId="4" xr:uid="{00000000-0005-0000-0000-000003000000}"/>
    <cellStyle name="Normal 7" xfId="6" xr:uid="{00000000-0005-0000-0000-000004000000}"/>
    <cellStyle name="Normal 9" xfId="7" xr:uid="{00000000-0005-0000-0000-000005000000}"/>
    <cellStyle name="Porcentaje" xfId="1" builtinId="5"/>
    <cellStyle name="Porcentaje 2" xfId="3" xr:uid="{00000000-0005-0000-0000-000007000000}"/>
    <cellStyle name="Porcentual 7" xfId="8" xr:uid="{00000000-0005-0000-0000-000008000000}"/>
  </cellStyles>
  <dxfs count="14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FFCC"/>
      <color rgb="FFFFC9C9"/>
      <color rgb="FFFECEB0"/>
      <color rgb="FFF6BC94"/>
      <color rgb="FFF2A068"/>
      <color rgb="FFFFE1E1"/>
      <color rgb="FFC9D4ED"/>
      <color rgb="FFFF9999"/>
      <color rgb="FFE9ED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Absorción!$B$2:$B$755</c:f>
              <c:numCache>
                <c:formatCode>#,##0</c:formatCode>
                <c:ptCount val="754"/>
                <c:pt idx="0">
                  <c:v>64.236114501953097</c:v>
                </c:pt>
                <c:pt idx="1">
                  <c:v>65.972221374511705</c:v>
                </c:pt>
                <c:pt idx="2">
                  <c:v>67.853012084960895</c:v>
                </c:pt>
                <c:pt idx="3">
                  <c:v>68.865737915039105</c:v>
                </c:pt>
                <c:pt idx="4">
                  <c:v>70.3125</c:v>
                </c:pt>
                <c:pt idx="5">
                  <c:v>70.891204833984403</c:v>
                </c:pt>
                <c:pt idx="6">
                  <c:v>71.903938293457003</c:v>
                </c:pt>
                <c:pt idx="7">
                  <c:v>72.916664123535199</c:v>
                </c:pt>
                <c:pt idx="8">
                  <c:v>72.916664123535199</c:v>
                </c:pt>
                <c:pt idx="9">
                  <c:v>73.061340332031307</c:v>
                </c:pt>
                <c:pt idx="10">
                  <c:v>74.508102416992202</c:v>
                </c:pt>
                <c:pt idx="11">
                  <c:v>324.21875</c:v>
                </c:pt>
                <c:pt idx="12">
                  <c:v>400.89700317382801</c:v>
                </c:pt>
                <c:pt idx="13">
                  <c:v>418.83679199218801</c:v>
                </c:pt>
                <c:pt idx="14">
                  <c:v>423.46643066406301</c:v>
                </c:pt>
                <c:pt idx="15">
                  <c:v>415.79861450195301</c:v>
                </c:pt>
                <c:pt idx="16">
                  <c:v>424.91320800781301</c:v>
                </c:pt>
                <c:pt idx="17">
                  <c:v>427.51736450195301</c:v>
                </c:pt>
                <c:pt idx="18">
                  <c:v>428.09606933593801</c:v>
                </c:pt>
                <c:pt idx="19">
                  <c:v>428.09606933593801</c:v>
                </c:pt>
                <c:pt idx="20">
                  <c:v>428.09606933593801</c:v>
                </c:pt>
                <c:pt idx="21">
                  <c:v>428.38540649414102</c:v>
                </c:pt>
                <c:pt idx="22">
                  <c:v>428.964111328125</c:v>
                </c:pt>
                <c:pt idx="23">
                  <c:v>429.10879516601602</c:v>
                </c:pt>
                <c:pt idx="24">
                  <c:v>429.54281616210898</c:v>
                </c:pt>
                <c:pt idx="25">
                  <c:v>428.964111328125</c:v>
                </c:pt>
                <c:pt idx="26">
                  <c:v>436.776611328125</c:v>
                </c:pt>
                <c:pt idx="27">
                  <c:v>433.30438232421898</c:v>
                </c:pt>
                <c:pt idx="28">
                  <c:v>433.15972900390602</c:v>
                </c:pt>
                <c:pt idx="29">
                  <c:v>432.72570800781301</c:v>
                </c:pt>
                <c:pt idx="30">
                  <c:v>434.89584350585898</c:v>
                </c:pt>
                <c:pt idx="31">
                  <c:v>436.34259033203102</c:v>
                </c:pt>
                <c:pt idx="32">
                  <c:v>437.06597900390602</c:v>
                </c:pt>
                <c:pt idx="33">
                  <c:v>439.38079833984398</c:v>
                </c:pt>
                <c:pt idx="34">
                  <c:v>441.84027099609398</c:v>
                </c:pt>
                <c:pt idx="35">
                  <c:v>442.85299682617199</c:v>
                </c:pt>
                <c:pt idx="36">
                  <c:v>442.99768066406301</c:v>
                </c:pt>
                <c:pt idx="37">
                  <c:v>442.70834350585898</c:v>
                </c:pt>
                <c:pt idx="38">
                  <c:v>442.99768066406301</c:v>
                </c:pt>
                <c:pt idx="39">
                  <c:v>442.99768066406301</c:v>
                </c:pt>
                <c:pt idx="40">
                  <c:v>444.29977416992199</c:v>
                </c:pt>
                <c:pt idx="41">
                  <c:v>444.29977416992199</c:v>
                </c:pt>
                <c:pt idx="42">
                  <c:v>444.44445800781301</c:v>
                </c:pt>
                <c:pt idx="43">
                  <c:v>444.73379516601602</c:v>
                </c:pt>
                <c:pt idx="44">
                  <c:v>444.44445800781301</c:v>
                </c:pt>
                <c:pt idx="45">
                  <c:v>444.73379516601602</c:v>
                </c:pt>
                <c:pt idx="46">
                  <c:v>444.87847900390602</c:v>
                </c:pt>
                <c:pt idx="47">
                  <c:v>444.87847900390602</c:v>
                </c:pt>
                <c:pt idx="48">
                  <c:v>444.87847900390602</c:v>
                </c:pt>
                <c:pt idx="49">
                  <c:v>445.02313232421898</c:v>
                </c:pt>
                <c:pt idx="50">
                  <c:v>445.02313232421898</c:v>
                </c:pt>
                <c:pt idx="51">
                  <c:v>445.02313232421898</c:v>
                </c:pt>
                <c:pt idx="52">
                  <c:v>445.45718383789102</c:v>
                </c:pt>
                <c:pt idx="53">
                  <c:v>445.45718383789102</c:v>
                </c:pt>
                <c:pt idx="54">
                  <c:v>445.02313232421898</c:v>
                </c:pt>
                <c:pt idx="55">
                  <c:v>444.15509033203102</c:v>
                </c:pt>
                <c:pt idx="56">
                  <c:v>443.57638549804699</c:v>
                </c:pt>
                <c:pt idx="57">
                  <c:v>443.28704833984398</c:v>
                </c:pt>
                <c:pt idx="58">
                  <c:v>442.70834350585898</c:v>
                </c:pt>
                <c:pt idx="59">
                  <c:v>442.99768066406301</c:v>
                </c:pt>
                <c:pt idx="60">
                  <c:v>443.43170166015602</c:v>
                </c:pt>
                <c:pt idx="61">
                  <c:v>442.27429199218801</c:v>
                </c:pt>
                <c:pt idx="62">
                  <c:v>440.53820800781301</c:v>
                </c:pt>
                <c:pt idx="63">
                  <c:v>439.38079833984398</c:v>
                </c:pt>
                <c:pt idx="64">
                  <c:v>436.05325317382801</c:v>
                </c:pt>
                <c:pt idx="65">
                  <c:v>439.67013549804699</c:v>
                </c:pt>
                <c:pt idx="66">
                  <c:v>434.89584350585898</c:v>
                </c:pt>
                <c:pt idx="67">
                  <c:v>433.88308715820301</c:v>
                </c:pt>
                <c:pt idx="68">
                  <c:v>438.94674682617199</c:v>
                </c:pt>
                <c:pt idx="69">
                  <c:v>432.58102416992199</c:v>
                </c:pt>
                <c:pt idx="70">
                  <c:v>430.98959350585898</c:v>
                </c:pt>
                <c:pt idx="71">
                  <c:v>436.05325317382801</c:v>
                </c:pt>
                <c:pt idx="72">
                  <c:v>431.71295166015602</c:v>
                </c:pt>
                <c:pt idx="73">
                  <c:v>436.776611328125</c:v>
                </c:pt>
                <c:pt idx="74">
                  <c:v>435.76388549804699</c:v>
                </c:pt>
                <c:pt idx="75">
                  <c:v>433.30438232421898</c:v>
                </c:pt>
                <c:pt idx="76">
                  <c:v>432.870361328125</c:v>
                </c:pt>
                <c:pt idx="77">
                  <c:v>432.58102416992199</c:v>
                </c:pt>
                <c:pt idx="78">
                  <c:v>433.59375</c:v>
                </c:pt>
                <c:pt idx="79">
                  <c:v>429.54281616210898</c:v>
                </c:pt>
                <c:pt idx="80">
                  <c:v>434.60647583007801</c:v>
                </c:pt>
                <c:pt idx="81">
                  <c:v>429.83218383789102</c:v>
                </c:pt>
                <c:pt idx="82">
                  <c:v>428.81945800781301</c:v>
                </c:pt>
                <c:pt idx="83">
                  <c:v>434.60647583007801</c:v>
                </c:pt>
                <c:pt idx="84">
                  <c:v>436.34259033203102</c:v>
                </c:pt>
                <c:pt idx="85">
                  <c:v>434.75115966796898</c:v>
                </c:pt>
                <c:pt idx="86">
                  <c:v>432.72570800781301</c:v>
                </c:pt>
                <c:pt idx="87">
                  <c:v>433.88308715820301</c:v>
                </c:pt>
                <c:pt idx="88">
                  <c:v>433.15972900390602</c:v>
                </c:pt>
                <c:pt idx="89">
                  <c:v>431.27893066406301</c:v>
                </c:pt>
                <c:pt idx="90">
                  <c:v>432.43634033203102</c:v>
                </c:pt>
                <c:pt idx="91">
                  <c:v>432.14700317382801</c:v>
                </c:pt>
                <c:pt idx="92">
                  <c:v>431.85763549804699</c:v>
                </c:pt>
                <c:pt idx="93">
                  <c:v>434.17245483398398</c:v>
                </c:pt>
                <c:pt idx="94">
                  <c:v>432.58102416992199</c:v>
                </c:pt>
                <c:pt idx="95">
                  <c:v>432.43634033203102</c:v>
                </c:pt>
                <c:pt idx="96">
                  <c:v>432.43634033203102</c:v>
                </c:pt>
                <c:pt idx="97">
                  <c:v>430.55554199218801</c:v>
                </c:pt>
                <c:pt idx="98">
                  <c:v>430.98959350585898</c:v>
                </c:pt>
                <c:pt idx="99">
                  <c:v>431.27893066406301</c:v>
                </c:pt>
                <c:pt idx="100">
                  <c:v>431.27893066406301</c:v>
                </c:pt>
                <c:pt idx="101">
                  <c:v>436.776611328125</c:v>
                </c:pt>
                <c:pt idx="102">
                  <c:v>433.59375</c:v>
                </c:pt>
                <c:pt idx="103">
                  <c:v>431.85763549804699</c:v>
                </c:pt>
                <c:pt idx="104">
                  <c:v>431.27893066406301</c:v>
                </c:pt>
                <c:pt idx="105">
                  <c:v>431.71295166015602</c:v>
                </c:pt>
                <c:pt idx="106">
                  <c:v>430.26620483398398</c:v>
                </c:pt>
                <c:pt idx="107">
                  <c:v>435.04049682617199</c:v>
                </c:pt>
                <c:pt idx="108">
                  <c:v>434.89584350585898</c:v>
                </c:pt>
                <c:pt idx="109">
                  <c:v>434.60647583007801</c:v>
                </c:pt>
                <c:pt idx="110">
                  <c:v>435.32986450195301</c:v>
                </c:pt>
                <c:pt idx="111">
                  <c:v>430.410888671875</c:v>
                </c:pt>
                <c:pt idx="112">
                  <c:v>428.964111328125</c:v>
                </c:pt>
                <c:pt idx="113">
                  <c:v>428.38540649414102</c:v>
                </c:pt>
                <c:pt idx="114">
                  <c:v>429.54281616210898</c:v>
                </c:pt>
                <c:pt idx="115">
                  <c:v>429.54281616210898</c:v>
                </c:pt>
                <c:pt idx="116">
                  <c:v>429.83218383789102</c:v>
                </c:pt>
                <c:pt idx="117">
                  <c:v>430.26620483398398</c:v>
                </c:pt>
                <c:pt idx="118">
                  <c:v>430.70022583007801</c:v>
                </c:pt>
                <c:pt idx="119">
                  <c:v>431.27893066406301</c:v>
                </c:pt>
                <c:pt idx="120">
                  <c:v>430.55554199218801</c:v>
                </c:pt>
                <c:pt idx="121">
                  <c:v>430.70022583007801</c:v>
                </c:pt>
                <c:pt idx="122">
                  <c:v>431.42361450195301</c:v>
                </c:pt>
                <c:pt idx="123">
                  <c:v>431.71295166015602</c:v>
                </c:pt>
                <c:pt idx="124">
                  <c:v>431.85763549804699</c:v>
                </c:pt>
                <c:pt idx="125">
                  <c:v>432.72570800781301</c:v>
                </c:pt>
                <c:pt idx="126">
                  <c:v>434.89584350585898</c:v>
                </c:pt>
                <c:pt idx="127">
                  <c:v>436.34259033203102</c:v>
                </c:pt>
                <c:pt idx="128">
                  <c:v>436.92129516601602</c:v>
                </c:pt>
                <c:pt idx="129">
                  <c:v>438.223388671875</c:v>
                </c:pt>
                <c:pt idx="130">
                  <c:v>441.55093383789102</c:v>
                </c:pt>
                <c:pt idx="131">
                  <c:v>442.56365966796898</c:v>
                </c:pt>
                <c:pt idx="132">
                  <c:v>443.28704833984398</c:v>
                </c:pt>
                <c:pt idx="133">
                  <c:v>443.72106933593801</c:v>
                </c:pt>
                <c:pt idx="134">
                  <c:v>444.01040649414102</c:v>
                </c:pt>
                <c:pt idx="135">
                  <c:v>444.15509033203102</c:v>
                </c:pt>
                <c:pt idx="136">
                  <c:v>444.44445800781301</c:v>
                </c:pt>
                <c:pt idx="137">
                  <c:v>443.72106933593801</c:v>
                </c:pt>
                <c:pt idx="138">
                  <c:v>444.01040649414102</c:v>
                </c:pt>
                <c:pt idx="139">
                  <c:v>444.29977416992199</c:v>
                </c:pt>
                <c:pt idx="140">
                  <c:v>444.44445800781301</c:v>
                </c:pt>
                <c:pt idx="141">
                  <c:v>444.87847900390602</c:v>
                </c:pt>
                <c:pt idx="142">
                  <c:v>445.02313232421898</c:v>
                </c:pt>
                <c:pt idx="143">
                  <c:v>445.02313232421898</c:v>
                </c:pt>
                <c:pt idx="144">
                  <c:v>444.87847900390602</c:v>
                </c:pt>
                <c:pt idx="145">
                  <c:v>445.02313232421898</c:v>
                </c:pt>
                <c:pt idx="146">
                  <c:v>445.02313232421898</c:v>
                </c:pt>
                <c:pt idx="147">
                  <c:v>445.02313232421898</c:v>
                </c:pt>
                <c:pt idx="148">
                  <c:v>445.02313232421898</c:v>
                </c:pt>
                <c:pt idx="149">
                  <c:v>445.16781616210898</c:v>
                </c:pt>
                <c:pt idx="150">
                  <c:v>445.16781616210898</c:v>
                </c:pt>
                <c:pt idx="151">
                  <c:v>444.15509033203102</c:v>
                </c:pt>
                <c:pt idx="152">
                  <c:v>443.72106933593801</c:v>
                </c:pt>
                <c:pt idx="153">
                  <c:v>443.28704833984398</c:v>
                </c:pt>
                <c:pt idx="154">
                  <c:v>443.28704833984398</c:v>
                </c:pt>
                <c:pt idx="155">
                  <c:v>443.43170166015602</c:v>
                </c:pt>
                <c:pt idx="156">
                  <c:v>442.70834350585898</c:v>
                </c:pt>
                <c:pt idx="157">
                  <c:v>442.27429199218801</c:v>
                </c:pt>
                <c:pt idx="158">
                  <c:v>441.55093383789102</c:v>
                </c:pt>
                <c:pt idx="159">
                  <c:v>442.129638671875</c:v>
                </c:pt>
                <c:pt idx="160">
                  <c:v>441.26156616210898</c:v>
                </c:pt>
                <c:pt idx="161">
                  <c:v>441.40625</c:v>
                </c:pt>
                <c:pt idx="162">
                  <c:v>441.11688232421898</c:v>
                </c:pt>
                <c:pt idx="163">
                  <c:v>440.10415649414102</c:v>
                </c:pt>
                <c:pt idx="164">
                  <c:v>439.38079833984398</c:v>
                </c:pt>
                <c:pt idx="165">
                  <c:v>437.78933715820301</c:v>
                </c:pt>
                <c:pt idx="166">
                  <c:v>437.64468383789102</c:v>
                </c:pt>
                <c:pt idx="167">
                  <c:v>437.78933715820301</c:v>
                </c:pt>
                <c:pt idx="168">
                  <c:v>437.5</c:v>
                </c:pt>
                <c:pt idx="169">
                  <c:v>436.48727416992199</c:v>
                </c:pt>
                <c:pt idx="170">
                  <c:v>436.48727416992199</c:v>
                </c:pt>
                <c:pt idx="171">
                  <c:v>437.78933715820301</c:v>
                </c:pt>
                <c:pt idx="172">
                  <c:v>436.19790649414102</c:v>
                </c:pt>
                <c:pt idx="173">
                  <c:v>435.04049682617199</c:v>
                </c:pt>
                <c:pt idx="174">
                  <c:v>435.76388549804699</c:v>
                </c:pt>
                <c:pt idx="175">
                  <c:v>439.67013549804699</c:v>
                </c:pt>
                <c:pt idx="176">
                  <c:v>438.36804199218801</c:v>
                </c:pt>
                <c:pt idx="177">
                  <c:v>436.19790649414102</c:v>
                </c:pt>
                <c:pt idx="178">
                  <c:v>435.47454833984398</c:v>
                </c:pt>
                <c:pt idx="179">
                  <c:v>434.02777099609398</c:v>
                </c:pt>
                <c:pt idx="180">
                  <c:v>434.75115966796898</c:v>
                </c:pt>
                <c:pt idx="181">
                  <c:v>434.60647583007801</c:v>
                </c:pt>
                <c:pt idx="182">
                  <c:v>432.72570800781301</c:v>
                </c:pt>
                <c:pt idx="183">
                  <c:v>431.71295166015602</c:v>
                </c:pt>
                <c:pt idx="184">
                  <c:v>431.27893066406301</c:v>
                </c:pt>
                <c:pt idx="185">
                  <c:v>430.55554199218801</c:v>
                </c:pt>
                <c:pt idx="186">
                  <c:v>431.13424682617199</c:v>
                </c:pt>
                <c:pt idx="187">
                  <c:v>431.13424682617199</c:v>
                </c:pt>
                <c:pt idx="188">
                  <c:v>430.70022583007801</c:v>
                </c:pt>
                <c:pt idx="189">
                  <c:v>431.27893066406301</c:v>
                </c:pt>
                <c:pt idx="190">
                  <c:v>430.55554199218801</c:v>
                </c:pt>
                <c:pt idx="191">
                  <c:v>429.97683715820301</c:v>
                </c:pt>
                <c:pt idx="192">
                  <c:v>430.70022583007801</c:v>
                </c:pt>
                <c:pt idx="193">
                  <c:v>431.27893066406301</c:v>
                </c:pt>
                <c:pt idx="194">
                  <c:v>432.43634033203102</c:v>
                </c:pt>
                <c:pt idx="195">
                  <c:v>431.85763549804699</c:v>
                </c:pt>
                <c:pt idx="196">
                  <c:v>428.53009033203102</c:v>
                </c:pt>
                <c:pt idx="197">
                  <c:v>429.6875</c:v>
                </c:pt>
                <c:pt idx="198">
                  <c:v>428.24075317382801</c:v>
                </c:pt>
                <c:pt idx="199">
                  <c:v>432.14700317382801</c:v>
                </c:pt>
                <c:pt idx="200">
                  <c:v>428.38540649414102</c:v>
                </c:pt>
                <c:pt idx="201">
                  <c:v>428.09606933593801</c:v>
                </c:pt>
                <c:pt idx="202">
                  <c:v>429.54281616210898</c:v>
                </c:pt>
                <c:pt idx="203">
                  <c:v>433.30438232421898</c:v>
                </c:pt>
                <c:pt idx="204">
                  <c:v>434.02777099609398</c:v>
                </c:pt>
                <c:pt idx="205">
                  <c:v>433.44906616210898</c:v>
                </c:pt>
                <c:pt idx="206">
                  <c:v>433.44906616210898</c:v>
                </c:pt>
                <c:pt idx="207">
                  <c:v>435.32986450195301</c:v>
                </c:pt>
                <c:pt idx="208">
                  <c:v>436.05325317382801</c:v>
                </c:pt>
                <c:pt idx="209">
                  <c:v>437.06597900390602</c:v>
                </c:pt>
                <c:pt idx="210">
                  <c:v>436.05325317382801</c:v>
                </c:pt>
                <c:pt idx="211">
                  <c:v>429.97683715820301</c:v>
                </c:pt>
                <c:pt idx="212">
                  <c:v>429.97683715820301</c:v>
                </c:pt>
                <c:pt idx="213">
                  <c:v>429.83218383789102</c:v>
                </c:pt>
                <c:pt idx="214">
                  <c:v>430.26620483398398</c:v>
                </c:pt>
                <c:pt idx="215">
                  <c:v>430.26620483398398</c:v>
                </c:pt>
                <c:pt idx="216">
                  <c:v>431.13424682617199</c:v>
                </c:pt>
                <c:pt idx="217">
                  <c:v>431.85763549804699</c:v>
                </c:pt>
                <c:pt idx="218">
                  <c:v>431.71295166015602</c:v>
                </c:pt>
                <c:pt idx="219">
                  <c:v>431.85763549804699</c:v>
                </c:pt>
                <c:pt idx="220">
                  <c:v>432.72570800781301</c:v>
                </c:pt>
                <c:pt idx="221">
                  <c:v>432.14700317382801</c:v>
                </c:pt>
                <c:pt idx="222">
                  <c:v>433.88308715820301</c:v>
                </c:pt>
                <c:pt idx="223">
                  <c:v>436.19790649414102</c:v>
                </c:pt>
                <c:pt idx="224">
                  <c:v>420.57290649414102</c:v>
                </c:pt>
                <c:pt idx="225">
                  <c:v>417.96875</c:v>
                </c:pt>
                <c:pt idx="226">
                  <c:v>439.38079833984398</c:v>
                </c:pt>
                <c:pt idx="227">
                  <c:v>442.85299682617199</c:v>
                </c:pt>
                <c:pt idx="228">
                  <c:v>443.28704833984398</c:v>
                </c:pt>
                <c:pt idx="229">
                  <c:v>443.57638549804699</c:v>
                </c:pt>
                <c:pt idx="230">
                  <c:v>444.01040649414102</c:v>
                </c:pt>
                <c:pt idx="231">
                  <c:v>444.73379516601602</c:v>
                </c:pt>
                <c:pt idx="232">
                  <c:v>444.87847900390602</c:v>
                </c:pt>
                <c:pt idx="233">
                  <c:v>359.80902099609398</c:v>
                </c:pt>
                <c:pt idx="234">
                  <c:v>234.95370483398401</c:v>
                </c:pt>
                <c:pt idx="235">
                  <c:v>295.13888549804699</c:v>
                </c:pt>
                <c:pt idx="236">
                  <c:v>420.13888549804699</c:v>
                </c:pt>
                <c:pt idx="237">
                  <c:v>433.30438232421898</c:v>
                </c:pt>
                <c:pt idx="238">
                  <c:v>436.34259033203102</c:v>
                </c:pt>
                <c:pt idx="239">
                  <c:v>427.08334350585898</c:v>
                </c:pt>
                <c:pt idx="240">
                  <c:v>442.70834350585898</c:v>
                </c:pt>
                <c:pt idx="241">
                  <c:v>444.73379516601602</c:v>
                </c:pt>
                <c:pt idx="242">
                  <c:v>445.02313232421898</c:v>
                </c:pt>
                <c:pt idx="243">
                  <c:v>445.89120483398398</c:v>
                </c:pt>
                <c:pt idx="244">
                  <c:v>446.32522583007801</c:v>
                </c:pt>
                <c:pt idx="245">
                  <c:v>446.32522583007801</c:v>
                </c:pt>
                <c:pt idx="246">
                  <c:v>445.45718383789102</c:v>
                </c:pt>
                <c:pt idx="247">
                  <c:v>445.60183715820301</c:v>
                </c:pt>
                <c:pt idx="248">
                  <c:v>444.15509033203102</c:v>
                </c:pt>
                <c:pt idx="249">
                  <c:v>443.72106933593801</c:v>
                </c:pt>
                <c:pt idx="250">
                  <c:v>443.57638549804699</c:v>
                </c:pt>
                <c:pt idx="251">
                  <c:v>443.57638549804699</c:v>
                </c:pt>
                <c:pt idx="252">
                  <c:v>443.57638549804699</c:v>
                </c:pt>
                <c:pt idx="253">
                  <c:v>442.85299682617199</c:v>
                </c:pt>
                <c:pt idx="254">
                  <c:v>441.26156616210898</c:v>
                </c:pt>
                <c:pt idx="255">
                  <c:v>441.11688232421898</c:v>
                </c:pt>
                <c:pt idx="256">
                  <c:v>440.82754516601602</c:v>
                </c:pt>
                <c:pt idx="257">
                  <c:v>440.682861328125</c:v>
                </c:pt>
                <c:pt idx="258">
                  <c:v>439.09143066406301</c:v>
                </c:pt>
                <c:pt idx="259">
                  <c:v>437.93402099609398</c:v>
                </c:pt>
                <c:pt idx="260">
                  <c:v>437.5</c:v>
                </c:pt>
                <c:pt idx="261">
                  <c:v>436.19790649414102</c:v>
                </c:pt>
                <c:pt idx="262">
                  <c:v>436.34259033203102</c:v>
                </c:pt>
                <c:pt idx="263">
                  <c:v>435.47454833984398</c:v>
                </c:pt>
                <c:pt idx="264">
                  <c:v>436.48727416992199</c:v>
                </c:pt>
                <c:pt idx="265">
                  <c:v>436.48727416992199</c:v>
                </c:pt>
                <c:pt idx="266">
                  <c:v>436.34259033203102</c:v>
                </c:pt>
                <c:pt idx="267">
                  <c:v>434.89584350585898</c:v>
                </c:pt>
                <c:pt idx="268">
                  <c:v>436.34259033203102</c:v>
                </c:pt>
                <c:pt idx="269">
                  <c:v>436.19790649414102</c:v>
                </c:pt>
                <c:pt idx="270">
                  <c:v>435.47454833984398</c:v>
                </c:pt>
                <c:pt idx="271">
                  <c:v>433.15972900390602</c:v>
                </c:pt>
                <c:pt idx="272">
                  <c:v>434.17245483398398</c:v>
                </c:pt>
                <c:pt idx="273">
                  <c:v>434.02777099609398</c:v>
                </c:pt>
                <c:pt idx="274">
                  <c:v>437.21063232421898</c:v>
                </c:pt>
                <c:pt idx="275">
                  <c:v>436.48727416992199</c:v>
                </c:pt>
                <c:pt idx="276">
                  <c:v>435.32986450195301</c:v>
                </c:pt>
                <c:pt idx="277">
                  <c:v>434.317138671875</c:v>
                </c:pt>
                <c:pt idx="278">
                  <c:v>433.44906616210898</c:v>
                </c:pt>
                <c:pt idx="279">
                  <c:v>434.02777099609398</c:v>
                </c:pt>
                <c:pt idx="280">
                  <c:v>433.59375</c:v>
                </c:pt>
                <c:pt idx="281">
                  <c:v>431.85763549804699</c:v>
                </c:pt>
                <c:pt idx="282">
                  <c:v>431.27893066406301</c:v>
                </c:pt>
                <c:pt idx="283">
                  <c:v>431.85763549804699</c:v>
                </c:pt>
                <c:pt idx="284">
                  <c:v>430.55554199218801</c:v>
                </c:pt>
                <c:pt idx="285">
                  <c:v>435.47454833984398</c:v>
                </c:pt>
                <c:pt idx="286">
                  <c:v>435.04049682617199</c:v>
                </c:pt>
                <c:pt idx="287">
                  <c:v>436.05325317382801</c:v>
                </c:pt>
                <c:pt idx="288">
                  <c:v>435.61920166015602</c:v>
                </c:pt>
                <c:pt idx="289">
                  <c:v>431.42361450195301</c:v>
                </c:pt>
                <c:pt idx="290">
                  <c:v>432.870361328125</c:v>
                </c:pt>
                <c:pt idx="291">
                  <c:v>432.870361328125</c:v>
                </c:pt>
                <c:pt idx="292">
                  <c:v>433.88308715820301</c:v>
                </c:pt>
                <c:pt idx="293">
                  <c:v>434.17245483398398</c:v>
                </c:pt>
                <c:pt idx="294">
                  <c:v>434.02777099609398</c:v>
                </c:pt>
                <c:pt idx="295">
                  <c:v>423.03240966796898</c:v>
                </c:pt>
                <c:pt idx="296">
                  <c:v>431.13424682617199</c:v>
                </c:pt>
                <c:pt idx="297">
                  <c:v>433.30438232421898</c:v>
                </c:pt>
                <c:pt idx="298">
                  <c:v>432.72570800781301</c:v>
                </c:pt>
                <c:pt idx="299">
                  <c:v>436.19790649414102</c:v>
                </c:pt>
                <c:pt idx="300">
                  <c:v>437.21063232421898</c:v>
                </c:pt>
                <c:pt idx="301">
                  <c:v>437.21063232421898</c:v>
                </c:pt>
                <c:pt idx="302">
                  <c:v>438.65740966796898</c:v>
                </c:pt>
                <c:pt idx="303">
                  <c:v>438.223388671875</c:v>
                </c:pt>
                <c:pt idx="304">
                  <c:v>432.14700317382801</c:v>
                </c:pt>
                <c:pt idx="305">
                  <c:v>430.98959350585898</c:v>
                </c:pt>
                <c:pt idx="306">
                  <c:v>431.27893066406301</c:v>
                </c:pt>
                <c:pt idx="307">
                  <c:v>430.98959350585898</c:v>
                </c:pt>
                <c:pt idx="308">
                  <c:v>431.27893066406301</c:v>
                </c:pt>
                <c:pt idx="309">
                  <c:v>431.13424682617199</c:v>
                </c:pt>
                <c:pt idx="310">
                  <c:v>432.58102416992199</c:v>
                </c:pt>
                <c:pt idx="311">
                  <c:v>432.58102416992199</c:v>
                </c:pt>
                <c:pt idx="312">
                  <c:v>433.15972900390602</c:v>
                </c:pt>
                <c:pt idx="313">
                  <c:v>433.15972900390602</c:v>
                </c:pt>
                <c:pt idx="314">
                  <c:v>435.61920166015602</c:v>
                </c:pt>
                <c:pt idx="315">
                  <c:v>438.223388671875</c:v>
                </c:pt>
                <c:pt idx="316">
                  <c:v>438.65740966796898</c:v>
                </c:pt>
                <c:pt idx="317">
                  <c:v>436.05325317382801</c:v>
                </c:pt>
                <c:pt idx="318">
                  <c:v>433.15972900390602</c:v>
                </c:pt>
                <c:pt idx="319">
                  <c:v>439.23611450195301</c:v>
                </c:pt>
                <c:pt idx="320">
                  <c:v>440.82754516601602</c:v>
                </c:pt>
                <c:pt idx="321">
                  <c:v>441.84027099609398</c:v>
                </c:pt>
                <c:pt idx="322">
                  <c:v>443.43170166015602</c:v>
                </c:pt>
                <c:pt idx="323">
                  <c:v>444.15509033203102</c:v>
                </c:pt>
                <c:pt idx="324">
                  <c:v>444.01040649414102</c:v>
                </c:pt>
                <c:pt idx="325">
                  <c:v>444.44445800781301</c:v>
                </c:pt>
                <c:pt idx="326">
                  <c:v>445.02313232421898</c:v>
                </c:pt>
                <c:pt idx="327">
                  <c:v>445.16781616210898</c:v>
                </c:pt>
                <c:pt idx="328">
                  <c:v>445.16781616210898</c:v>
                </c:pt>
                <c:pt idx="329">
                  <c:v>445.16781616210898</c:v>
                </c:pt>
                <c:pt idx="330">
                  <c:v>445.74652099609398</c:v>
                </c:pt>
                <c:pt idx="331">
                  <c:v>445.74652099609398</c:v>
                </c:pt>
                <c:pt idx="332">
                  <c:v>445.60183715820301</c:v>
                </c:pt>
                <c:pt idx="333">
                  <c:v>445.74652099609398</c:v>
                </c:pt>
                <c:pt idx="334">
                  <c:v>445.74652099609398</c:v>
                </c:pt>
                <c:pt idx="335">
                  <c:v>445.74652099609398</c:v>
                </c:pt>
                <c:pt idx="336">
                  <c:v>445.89120483398398</c:v>
                </c:pt>
                <c:pt idx="337">
                  <c:v>446.18054199218801</c:v>
                </c:pt>
                <c:pt idx="338">
                  <c:v>445.89120483398398</c:v>
                </c:pt>
                <c:pt idx="339">
                  <c:v>446.32522583007801</c:v>
                </c:pt>
                <c:pt idx="340">
                  <c:v>445.74652099609398</c:v>
                </c:pt>
                <c:pt idx="341">
                  <c:v>446.18054199218801</c:v>
                </c:pt>
                <c:pt idx="342">
                  <c:v>446.46990966796898</c:v>
                </c:pt>
                <c:pt idx="343">
                  <c:v>445.89120483398398</c:v>
                </c:pt>
                <c:pt idx="344">
                  <c:v>445.02313232421898</c:v>
                </c:pt>
                <c:pt idx="345">
                  <c:v>444.01040649414102</c:v>
                </c:pt>
                <c:pt idx="346">
                  <c:v>443.57638549804699</c:v>
                </c:pt>
                <c:pt idx="347">
                  <c:v>443.28704833984398</c:v>
                </c:pt>
                <c:pt idx="348">
                  <c:v>442.85299682617199</c:v>
                </c:pt>
                <c:pt idx="349">
                  <c:v>442.85299682617199</c:v>
                </c:pt>
                <c:pt idx="350">
                  <c:v>440.39352416992199</c:v>
                </c:pt>
                <c:pt idx="351">
                  <c:v>440.682861328125</c:v>
                </c:pt>
                <c:pt idx="352">
                  <c:v>440.53820800781301</c:v>
                </c:pt>
                <c:pt idx="353">
                  <c:v>440.53820800781301</c:v>
                </c:pt>
                <c:pt idx="354">
                  <c:v>439.95950317382801</c:v>
                </c:pt>
                <c:pt idx="355">
                  <c:v>439.95950317382801</c:v>
                </c:pt>
                <c:pt idx="356">
                  <c:v>363.85995483398398</c:v>
                </c:pt>
                <c:pt idx="357">
                  <c:v>374.56597900390602</c:v>
                </c:pt>
                <c:pt idx="358">
                  <c:v>433.59375</c:v>
                </c:pt>
                <c:pt idx="359">
                  <c:v>435.61920166015602</c:v>
                </c:pt>
                <c:pt idx="360">
                  <c:v>434.17245483398398</c:v>
                </c:pt>
                <c:pt idx="361">
                  <c:v>432.72570800781301</c:v>
                </c:pt>
                <c:pt idx="362">
                  <c:v>436.92129516601602</c:v>
                </c:pt>
                <c:pt idx="363">
                  <c:v>434.89584350585898</c:v>
                </c:pt>
                <c:pt idx="364">
                  <c:v>435.47454833984398</c:v>
                </c:pt>
                <c:pt idx="365">
                  <c:v>408.27545166015602</c:v>
                </c:pt>
                <c:pt idx="366">
                  <c:v>383.96990966796898</c:v>
                </c:pt>
                <c:pt idx="367">
                  <c:v>256.65509033203102</c:v>
                </c:pt>
                <c:pt idx="368">
                  <c:v>183.01504516601599</c:v>
                </c:pt>
                <c:pt idx="369">
                  <c:v>140.48031616210901</c:v>
                </c:pt>
                <c:pt idx="370">
                  <c:v>112.991897583008</c:v>
                </c:pt>
                <c:pt idx="371">
                  <c:v>292.96875</c:v>
                </c:pt>
                <c:pt idx="372">
                  <c:v>413.77313232421898</c:v>
                </c:pt>
                <c:pt idx="373">
                  <c:v>426.93865966796898</c:v>
                </c:pt>
                <c:pt idx="374">
                  <c:v>431.71295166015602</c:v>
                </c:pt>
                <c:pt idx="375">
                  <c:v>433.15972900390602</c:v>
                </c:pt>
                <c:pt idx="376">
                  <c:v>432.870361328125</c:v>
                </c:pt>
                <c:pt idx="377">
                  <c:v>433.59375</c:v>
                </c:pt>
                <c:pt idx="378">
                  <c:v>432.58102416992199</c:v>
                </c:pt>
                <c:pt idx="379">
                  <c:v>429.83218383789102</c:v>
                </c:pt>
                <c:pt idx="380">
                  <c:v>431.85763549804699</c:v>
                </c:pt>
                <c:pt idx="381">
                  <c:v>430.70022583007801</c:v>
                </c:pt>
                <c:pt idx="382">
                  <c:v>430.26620483398398</c:v>
                </c:pt>
                <c:pt idx="383">
                  <c:v>436.92129516601602</c:v>
                </c:pt>
                <c:pt idx="384">
                  <c:v>436.92129516601602</c:v>
                </c:pt>
                <c:pt idx="385">
                  <c:v>437.64468383789102</c:v>
                </c:pt>
                <c:pt idx="386">
                  <c:v>433.44906616210898</c:v>
                </c:pt>
                <c:pt idx="387">
                  <c:v>430.410888671875</c:v>
                </c:pt>
                <c:pt idx="388">
                  <c:v>432.00231933593801</c:v>
                </c:pt>
                <c:pt idx="389">
                  <c:v>434.17245483398398</c:v>
                </c:pt>
                <c:pt idx="390">
                  <c:v>424.91320800781301</c:v>
                </c:pt>
                <c:pt idx="391">
                  <c:v>431.85763549804699</c:v>
                </c:pt>
                <c:pt idx="392">
                  <c:v>432.43634033203102</c:v>
                </c:pt>
                <c:pt idx="393">
                  <c:v>424.18981933593801</c:v>
                </c:pt>
                <c:pt idx="394">
                  <c:v>433.88308715820301</c:v>
                </c:pt>
                <c:pt idx="395">
                  <c:v>432.43634033203102</c:v>
                </c:pt>
                <c:pt idx="396">
                  <c:v>435.47454833984398</c:v>
                </c:pt>
                <c:pt idx="397">
                  <c:v>436.48727416992199</c:v>
                </c:pt>
                <c:pt idx="398">
                  <c:v>433.15972900390602</c:v>
                </c:pt>
                <c:pt idx="399">
                  <c:v>430.410888671875</c:v>
                </c:pt>
                <c:pt idx="400">
                  <c:v>429.6875</c:v>
                </c:pt>
                <c:pt idx="401">
                  <c:v>429.6875</c:v>
                </c:pt>
                <c:pt idx="402">
                  <c:v>429.83218383789102</c:v>
                </c:pt>
                <c:pt idx="403">
                  <c:v>429.83218383789102</c:v>
                </c:pt>
                <c:pt idx="404">
                  <c:v>429.83218383789102</c:v>
                </c:pt>
                <c:pt idx="405">
                  <c:v>429.54281616210898</c:v>
                </c:pt>
                <c:pt idx="406">
                  <c:v>429.6875</c:v>
                </c:pt>
                <c:pt idx="407">
                  <c:v>430.410888671875</c:v>
                </c:pt>
                <c:pt idx="408">
                  <c:v>430.98959350585898</c:v>
                </c:pt>
                <c:pt idx="409">
                  <c:v>431.27893066406301</c:v>
                </c:pt>
                <c:pt idx="410">
                  <c:v>432.00231933593801</c:v>
                </c:pt>
                <c:pt idx="411">
                  <c:v>432.72570800781301</c:v>
                </c:pt>
                <c:pt idx="412">
                  <c:v>433.88308715820301</c:v>
                </c:pt>
                <c:pt idx="413">
                  <c:v>435.61920166015602</c:v>
                </c:pt>
                <c:pt idx="414">
                  <c:v>437.21063232421898</c:v>
                </c:pt>
                <c:pt idx="415">
                  <c:v>438.94674682617199</c:v>
                </c:pt>
                <c:pt idx="416">
                  <c:v>440.39352416992199</c:v>
                </c:pt>
                <c:pt idx="417">
                  <c:v>442.99768066406301</c:v>
                </c:pt>
                <c:pt idx="418">
                  <c:v>444.29977416992199</c:v>
                </c:pt>
                <c:pt idx="419">
                  <c:v>444.29977416992199</c:v>
                </c:pt>
                <c:pt idx="420">
                  <c:v>445.02313232421898</c:v>
                </c:pt>
                <c:pt idx="421">
                  <c:v>444.73379516601602</c:v>
                </c:pt>
                <c:pt idx="422">
                  <c:v>445.16781616210898</c:v>
                </c:pt>
                <c:pt idx="423">
                  <c:v>444.15509033203102</c:v>
                </c:pt>
                <c:pt idx="424">
                  <c:v>443.72106933593801</c:v>
                </c:pt>
                <c:pt idx="425">
                  <c:v>442.27429199218801</c:v>
                </c:pt>
                <c:pt idx="426">
                  <c:v>444.01040649414102</c:v>
                </c:pt>
                <c:pt idx="427">
                  <c:v>439.67013549804699</c:v>
                </c:pt>
                <c:pt idx="428">
                  <c:v>444.73379516601602</c:v>
                </c:pt>
                <c:pt idx="429">
                  <c:v>436.34259033203102</c:v>
                </c:pt>
                <c:pt idx="430">
                  <c:v>444.87847900390602</c:v>
                </c:pt>
                <c:pt idx="431">
                  <c:v>445.45718383789102</c:v>
                </c:pt>
                <c:pt idx="432">
                  <c:v>439.23611450195301</c:v>
                </c:pt>
                <c:pt idx="433">
                  <c:v>442.129638671875</c:v>
                </c:pt>
                <c:pt idx="434">
                  <c:v>428.964111328125</c:v>
                </c:pt>
                <c:pt idx="435">
                  <c:v>442.99768066406301</c:v>
                </c:pt>
                <c:pt idx="436">
                  <c:v>439.81481933593801</c:v>
                </c:pt>
                <c:pt idx="437">
                  <c:v>429.25347900390602</c:v>
                </c:pt>
                <c:pt idx="438">
                  <c:v>442.129638671875</c:v>
                </c:pt>
                <c:pt idx="439">
                  <c:v>437.64468383789102</c:v>
                </c:pt>
                <c:pt idx="440">
                  <c:v>425.20254516601602</c:v>
                </c:pt>
                <c:pt idx="441">
                  <c:v>437.93402099609398</c:v>
                </c:pt>
                <c:pt idx="442">
                  <c:v>435.32986450195301</c:v>
                </c:pt>
                <c:pt idx="443">
                  <c:v>438.51272583007801</c:v>
                </c:pt>
                <c:pt idx="444">
                  <c:v>440.39352416992199</c:v>
                </c:pt>
                <c:pt idx="445">
                  <c:v>437.5</c:v>
                </c:pt>
                <c:pt idx="446">
                  <c:v>435.04049682617199</c:v>
                </c:pt>
                <c:pt idx="447">
                  <c:v>436.19790649414102</c:v>
                </c:pt>
                <c:pt idx="448">
                  <c:v>436.92129516601602</c:v>
                </c:pt>
                <c:pt idx="449">
                  <c:v>434.75115966796898</c:v>
                </c:pt>
                <c:pt idx="450">
                  <c:v>433.59375</c:v>
                </c:pt>
                <c:pt idx="451">
                  <c:v>431.71295166015602</c:v>
                </c:pt>
                <c:pt idx="452">
                  <c:v>428.38540649414102</c:v>
                </c:pt>
                <c:pt idx="453">
                  <c:v>435.47454833984398</c:v>
                </c:pt>
                <c:pt idx="454">
                  <c:v>422.01968383789102</c:v>
                </c:pt>
                <c:pt idx="455">
                  <c:v>430.70022583007801</c:v>
                </c:pt>
                <c:pt idx="456">
                  <c:v>431.42361450195301</c:v>
                </c:pt>
                <c:pt idx="457">
                  <c:v>423.03240966796898</c:v>
                </c:pt>
                <c:pt idx="458">
                  <c:v>426.93865966796898</c:v>
                </c:pt>
                <c:pt idx="459">
                  <c:v>424.62384033203102</c:v>
                </c:pt>
                <c:pt idx="460">
                  <c:v>424.62384033203102</c:v>
                </c:pt>
                <c:pt idx="461">
                  <c:v>420.86227416992199</c:v>
                </c:pt>
                <c:pt idx="462">
                  <c:v>421.875</c:v>
                </c:pt>
                <c:pt idx="463">
                  <c:v>420.57290649414102</c:v>
                </c:pt>
                <c:pt idx="464">
                  <c:v>418.83679199218801</c:v>
                </c:pt>
                <c:pt idx="465">
                  <c:v>423.03240966796898</c:v>
                </c:pt>
                <c:pt idx="466">
                  <c:v>424.62384033203102</c:v>
                </c:pt>
                <c:pt idx="467">
                  <c:v>425.49188232421898</c:v>
                </c:pt>
                <c:pt idx="468">
                  <c:v>430.26620483398398</c:v>
                </c:pt>
                <c:pt idx="469">
                  <c:v>436.34259033203102</c:v>
                </c:pt>
                <c:pt idx="470">
                  <c:v>435.61920166015602</c:v>
                </c:pt>
                <c:pt idx="471">
                  <c:v>436.19790649414102</c:v>
                </c:pt>
                <c:pt idx="472">
                  <c:v>435.32986450195301</c:v>
                </c:pt>
                <c:pt idx="473">
                  <c:v>429.97683715820301</c:v>
                </c:pt>
                <c:pt idx="474">
                  <c:v>429.10879516601602</c:v>
                </c:pt>
                <c:pt idx="475">
                  <c:v>426.35995483398398</c:v>
                </c:pt>
                <c:pt idx="476">
                  <c:v>424.76852416992199</c:v>
                </c:pt>
                <c:pt idx="477">
                  <c:v>427.51736450195301</c:v>
                </c:pt>
                <c:pt idx="478">
                  <c:v>424.47915649414102</c:v>
                </c:pt>
                <c:pt idx="479">
                  <c:v>424.76852416992199</c:v>
                </c:pt>
                <c:pt idx="480">
                  <c:v>422.74304199218801</c:v>
                </c:pt>
                <c:pt idx="481">
                  <c:v>422.74304199218801</c:v>
                </c:pt>
                <c:pt idx="482">
                  <c:v>423.03240966796898</c:v>
                </c:pt>
                <c:pt idx="483">
                  <c:v>421.58563232421898</c:v>
                </c:pt>
                <c:pt idx="484">
                  <c:v>423.90045166015602</c:v>
                </c:pt>
                <c:pt idx="485">
                  <c:v>387.58679199218801</c:v>
                </c:pt>
                <c:pt idx="486">
                  <c:v>372.68518066406301</c:v>
                </c:pt>
                <c:pt idx="487">
                  <c:v>360.96643066406301</c:v>
                </c:pt>
                <c:pt idx="488">
                  <c:v>359.375</c:v>
                </c:pt>
                <c:pt idx="489">
                  <c:v>356.77084350585898</c:v>
                </c:pt>
                <c:pt idx="490">
                  <c:v>348.09027099609398</c:v>
                </c:pt>
                <c:pt idx="491">
                  <c:v>345.77545166015602</c:v>
                </c:pt>
                <c:pt idx="492">
                  <c:v>345.92013549804699</c:v>
                </c:pt>
                <c:pt idx="493">
                  <c:v>411.89236450195301</c:v>
                </c:pt>
                <c:pt idx="494">
                  <c:v>423.90045166015602</c:v>
                </c:pt>
                <c:pt idx="495">
                  <c:v>425.63656616210898</c:v>
                </c:pt>
                <c:pt idx="496">
                  <c:v>426.35995483398398</c:v>
                </c:pt>
                <c:pt idx="497">
                  <c:v>426.93865966796898</c:v>
                </c:pt>
                <c:pt idx="498">
                  <c:v>427.08334350585898</c:v>
                </c:pt>
                <c:pt idx="499">
                  <c:v>427.66204833984398</c:v>
                </c:pt>
                <c:pt idx="500">
                  <c:v>427.66204833984398</c:v>
                </c:pt>
                <c:pt idx="501">
                  <c:v>429.25347900390602</c:v>
                </c:pt>
                <c:pt idx="502">
                  <c:v>433.88308715820301</c:v>
                </c:pt>
                <c:pt idx="503">
                  <c:v>433.15972900390602</c:v>
                </c:pt>
                <c:pt idx="504">
                  <c:v>433.44906616210898</c:v>
                </c:pt>
                <c:pt idx="505">
                  <c:v>435.04049682617199</c:v>
                </c:pt>
                <c:pt idx="506">
                  <c:v>434.60647583007801</c:v>
                </c:pt>
                <c:pt idx="507">
                  <c:v>434.89584350585898</c:v>
                </c:pt>
                <c:pt idx="508">
                  <c:v>436.34259033203102</c:v>
                </c:pt>
                <c:pt idx="509">
                  <c:v>436.05325317382801</c:v>
                </c:pt>
                <c:pt idx="510">
                  <c:v>435.61920166015602</c:v>
                </c:pt>
                <c:pt idx="511">
                  <c:v>438.65740966796898</c:v>
                </c:pt>
                <c:pt idx="512">
                  <c:v>427.80670166015602</c:v>
                </c:pt>
                <c:pt idx="513">
                  <c:v>438.36804199218801</c:v>
                </c:pt>
                <c:pt idx="514">
                  <c:v>441.98495483398398</c:v>
                </c:pt>
                <c:pt idx="515">
                  <c:v>431.13424682617199</c:v>
                </c:pt>
                <c:pt idx="516">
                  <c:v>442.27429199218801</c:v>
                </c:pt>
                <c:pt idx="517">
                  <c:v>443.57638549804699</c:v>
                </c:pt>
                <c:pt idx="518">
                  <c:v>443.28704833984398</c:v>
                </c:pt>
                <c:pt idx="519">
                  <c:v>432.72570800781301</c:v>
                </c:pt>
                <c:pt idx="520">
                  <c:v>443.43170166015602</c:v>
                </c:pt>
                <c:pt idx="521">
                  <c:v>444.73379516601602</c:v>
                </c:pt>
                <c:pt idx="522">
                  <c:v>439.67013549804699</c:v>
                </c:pt>
                <c:pt idx="523">
                  <c:v>442.85299682617199</c:v>
                </c:pt>
                <c:pt idx="524">
                  <c:v>444.73379516601602</c:v>
                </c:pt>
                <c:pt idx="525">
                  <c:v>433.88308715820301</c:v>
                </c:pt>
                <c:pt idx="526">
                  <c:v>444.73379516601602</c:v>
                </c:pt>
                <c:pt idx="527">
                  <c:v>436.05325317382801</c:v>
                </c:pt>
                <c:pt idx="528">
                  <c:v>443.28704833984398</c:v>
                </c:pt>
                <c:pt idx="529">
                  <c:v>442.27429199218801</c:v>
                </c:pt>
                <c:pt idx="530">
                  <c:v>442.85299682617199</c:v>
                </c:pt>
                <c:pt idx="531">
                  <c:v>429.6875</c:v>
                </c:pt>
                <c:pt idx="532">
                  <c:v>444.73379516601602</c:v>
                </c:pt>
                <c:pt idx="533">
                  <c:v>428.38540649414102</c:v>
                </c:pt>
                <c:pt idx="534">
                  <c:v>444.44445800781301</c:v>
                </c:pt>
                <c:pt idx="535">
                  <c:v>438.36804199218801</c:v>
                </c:pt>
                <c:pt idx="536">
                  <c:v>441.84027099609398</c:v>
                </c:pt>
                <c:pt idx="537">
                  <c:v>436.34259033203102</c:v>
                </c:pt>
                <c:pt idx="538">
                  <c:v>434.75115966796898</c:v>
                </c:pt>
                <c:pt idx="539">
                  <c:v>436.05325317382801</c:v>
                </c:pt>
                <c:pt idx="540">
                  <c:v>435.76388549804699</c:v>
                </c:pt>
                <c:pt idx="541">
                  <c:v>434.89584350585898</c:v>
                </c:pt>
                <c:pt idx="542">
                  <c:v>432.870361328125</c:v>
                </c:pt>
                <c:pt idx="543">
                  <c:v>430.70022583007801</c:v>
                </c:pt>
                <c:pt idx="544">
                  <c:v>429.54281616210898</c:v>
                </c:pt>
                <c:pt idx="545">
                  <c:v>428.53009033203102</c:v>
                </c:pt>
                <c:pt idx="546">
                  <c:v>431.42361450195301</c:v>
                </c:pt>
                <c:pt idx="547">
                  <c:v>428.09606933593801</c:v>
                </c:pt>
                <c:pt idx="548">
                  <c:v>426.35995483398398</c:v>
                </c:pt>
                <c:pt idx="549">
                  <c:v>428.09606933593801</c:v>
                </c:pt>
                <c:pt idx="550">
                  <c:v>423.75579833984398</c:v>
                </c:pt>
                <c:pt idx="551">
                  <c:v>423.46643066406301</c:v>
                </c:pt>
                <c:pt idx="552">
                  <c:v>424.04513549804699</c:v>
                </c:pt>
                <c:pt idx="553">
                  <c:v>423.32174682617199</c:v>
                </c:pt>
                <c:pt idx="554">
                  <c:v>420.28356933593801</c:v>
                </c:pt>
                <c:pt idx="555">
                  <c:v>421.58563232421898</c:v>
                </c:pt>
                <c:pt idx="556">
                  <c:v>417.245361328125</c:v>
                </c:pt>
                <c:pt idx="557">
                  <c:v>417.67938232421898</c:v>
                </c:pt>
                <c:pt idx="558">
                  <c:v>421.151611328125</c:v>
                </c:pt>
                <c:pt idx="559">
                  <c:v>400.31829833984398</c:v>
                </c:pt>
                <c:pt idx="560">
                  <c:v>374.13195800781301</c:v>
                </c:pt>
                <c:pt idx="561">
                  <c:v>359.80902099609398</c:v>
                </c:pt>
                <c:pt idx="562">
                  <c:v>350.839111328125</c:v>
                </c:pt>
                <c:pt idx="563">
                  <c:v>346.64352416992199</c:v>
                </c:pt>
                <c:pt idx="564">
                  <c:v>343.75</c:v>
                </c:pt>
                <c:pt idx="565">
                  <c:v>391.20370483398398</c:v>
                </c:pt>
                <c:pt idx="566">
                  <c:v>418.11343383789102</c:v>
                </c:pt>
                <c:pt idx="567">
                  <c:v>430.70022583007801</c:v>
                </c:pt>
                <c:pt idx="568">
                  <c:v>431.85763549804699</c:v>
                </c:pt>
                <c:pt idx="569">
                  <c:v>432.58102416992199</c:v>
                </c:pt>
                <c:pt idx="570">
                  <c:v>432.870361328125</c:v>
                </c:pt>
                <c:pt idx="571">
                  <c:v>428.964111328125</c:v>
                </c:pt>
                <c:pt idx="572">
                  <c:v>427.66204833984398</c:v>
                </c:pt>
                <c:pt idx="573">
                  <c:v>427.37268066406301</c:v>
                </c:pt>
                <c:pt idx="574">
                  <c:v>433.59375</c:v>
                </c:pt>
                <c:pt idx="575">
                  <c:v>413.62847900390602</c:v>
                </c:pt>
                <c:pt idx="576">
                  <c:v>430.55554199218801</c:v>
                </c:pt>
                <c:pt idx="577">
                  <c:v>433.44906616210898</c:v>
                </c:pt>
                <c:pt idx="578">
                  <c:v>431.71295166015602</c:v>
                </c:pt>
                <c:pt idx="579">
                  <c:v>426.79397583007801</c:v>
                </c:pt>
                <c:pt idx="580">
                  <c:v>411.74768066406301</c:v>
                </c:pt>
                <c:pt idx="581">
                  <c:v>432.72570800781301</c:v>
                </c:pt>
                <c:pt idx="582">
                  <c:v>436.19790649414102</c:v>
                </c:pt>
                <c:pt idx="583">
                  <c:v>433.59375</c:v>
                </c:pt>
                <c:pt idx="584">
                  <c:v>438.51272583007801</c:v>
                </c:pt>
                <c:pt idx="585">
                  <c:v>436.34259033203102</c:v>
                </c:pt>
                <c:pt idx="586">
                  <c:v>435.61920166015602</c:v>
                </c:pt>
                <c:pt idx="587">
                  <c:v>432.14700317382801</c:v>
                </c:pt>
                <c:pt idx="588">
                  <c:v>431.71295166015602</c:v>
                </c:pt>
                <c:pt idx="589">
                  <c:v>430.26620483398398</c:v>
                </c:pt>
                <c:pt idx="590">
                  <c:v>437.06597900390602</c:v>
                </c:pt>
                <c:pt idx="591">
                  <c:v>437.21063232421898</c:v>
                </c:pt>
                <c:pt idx="592">
                  <c:v>436.48727416992199</c:v>
                </c:pt>
                <c:pt idx="593">
                  <c:v>436.92129516601602</c:v>
                </c:pt>
                <c:pt idx="594">
                  <c:v>436.776611328125</c:v>
                </c:pt>
                <c:pt idx="595">
                  <c:v>437.78933715820301</c:v>
                </c:pt>
                <c:pt idx="596">
                  <c:v>437.78933715820301</c:v>
                </c:pt>
                <c:pt idx="597">
                  <c:v>431.85763549804699</c:v>
                </c:pt>
                <c:pt idx="598">
                  <c:v>431.13424682617199</c:v>
                </c:pt>
                <c:pt idx="599">
                  <c:v>431.13424682617199</c:v>
                </c:pt>
                <c:pt idx="600">
                  <c:v>431.85763549804699</c:v>
                </c:pt>
                <c:pt idx="601">
                  <c:v>432.58102416992199</c:v>
                </c:pt>
                <c:pt idx="602">
                  <c:v>433.15972900390602</c:v>
                </c:pt>
                <c:pt idx="603">
                  <c:v>436.05325317382801</c:v>
                </c:pt>
                <c:pt idx="604">
                  <c:v>437.06597900390602</c:v>
                </c:pt>
                <c:pt idx="605">
                  <c:v>437.5</c:v>
                </c:pt>
                <c:pt idx="606">
                  <c:v>439.23611450195301</c:v>
                </c:pt>
                <c:pt idx="607">
                  <c:v>440.53820800781301</c:v>
                </c:pt>
                <c:pt idx="608">
                  <c:v>441.26156616210898</c:v>
                </c:pt>
                <c:pt idx="609">
                  <c:v>443.43170166015602</c:v>
                </c:pt>
                <c:pt idx="610">
                  <c:v>444.44445800781301</c:v>
                </c:pt>
                <c:pt idx="611">
                  <c:v>445.89120483398398</c:v>
                </c:pt>
                <c:pt idx="612">
                  <c:v>445.45718383789102</c:v>
                </c:pt>
                <c:pt idx="613">
                  <c:v>446.18054199218801</c:v>
                </c:pt>
                <c:pt idx="614">
                  <c:v>445.60183715820301</c:v>
                </c:pt>
                <c:pt idx="615">
                  <c:v>445.60183715820301</c:v>
                </c:pt>
                <c:pt idx="616">
                  <c:v>446.18054199218801</c:v>
                </c:pt>
                <c:pt idx="617">
                  <c:v>445.89120483398398</c:v>
                </c:pt>
                <c:pt idx="618">
                  <c:v>445.89120483398398</c:v>
                </c:pt>
                <c:pt idx="619">
                  <c:v>446.61459350585898</c:v>
                </c:pt>
                <c:pt idx="620">
                  <c:v>446.46990966796898</c:v>
                </c:pt>
                <c:pt idx="621">
                  <c:v>446.32522583007801</c:v>
                </c:pt>
                <c:pt idx="622">
                  <c:v>446.61459350585898</c:v>
                </c:pt>
                <c:pt idx="623">
                  <c:v>446.46990966796898</c:v>
                </c:pt>
                <c:pt idx="624">
                  <c:v>447.04861450195301</c:v>
                </c:pt>
                <c:pt idx="625">
                  <c:v>446.18054199218801</c:v>
                </c:pt>
                <c:pt idx="626">
                  <c:v>445.45718383789102</c:v>
                </c:pt>
                <c:pt idx="627">
                  <c:v>445.89120483398398</c:v>
                </c:pt>
                <c:pt idx="628">
                  <c:v>447.04861450195301</c:v>
                </c:pt>
                <c:pt idx="629">
                  <c:v>447.33795166015602</c:v>
                </c:pt>
                <c:pt idx="630">
                  <c:v>445.45718383789102</c:v>
                </c:pt>
                <c:pt idx="631">
                  <c:v>445.74652099609398</c:v>
                </c:pt>
                <c:pt idx="632">
                  <c:v>445.45718383789102</c:v>
                </c:pt>
                <c:pt idx="633">
                  <c:v>444.73379516601602</c:v>
                </c:pt>
                <c:pt idx="634">
                  <c:v>444.87847900390602</c:v>
                </c:pt>
                <c:pt idx="635">
                  <c:v>444.73379516601602</c:v>
                </c:pt>
                <c:pt idx="636">
                  <c:v>445.02313232421898</c:v>
                </c:pt>
                <c:pt idx="637">
                  <c:v>444.15509033203102</c:v>
                </c:pt>
                <c:pt idx="638">
                  <c:v>427.37268066406301</c:v>
                </c:pt>
                <c:pt idx="639">
                  <c:v>441.84027099609398</c:v>
                </c:pt>
                <c:pt idx="640">
                  <c:v>442.129638671875</c:v>
                </c:pt>
                <c:pt idx="641">
                  <c:v>436.34259033203102</c:v>
                </c:pt>
                <c:pt idx="642">
                  <c:v>431.13424682617199</c:v>
                </c:pt>
                <c:pt idx="643">
                  <c:v>431.42361450195301</c:v>
                </c:pt>
                <c:pt idx="644">
                  <c:v>424.18981933593801</c:v>
                </c:pt>
                <c:pt idx="645">
                  <c:v>422.45370483398398</c:v>
                </c:pt>
                <c:pt idx="646">
                  <c:v>423.03240966796898</c:v>
                </c:pt>
                <c:pt idx="647">
                  <c:v>428.24075317382801</c:v>
                </c:pt>
                <c:pt idx="648">
                  <c:v>426.07058715820301</c:v>
                </c:pt>
                <c:pt idx="649">
                  <c:v>425.34722900390602</c:v>
                </c:pt>
                <c:pt idx="650">
                  <c:v>425.63656616210898</c:v>
                </c:pt>
                <c:pt idx="651">
                  <c:v>436.92129516601602</c:v>
                </c:pt>
                <c:pt idx="652">
                  <c:v>437.06597900390602</c:v>
                </c:pt>
                <c:pt idx="653">
                  <c:v>437.21063232421898</c:v>
                </c:pt>
                <c:pt idx="654">
                  <c:v>431.13424682617199</c:v>
                </c:pt>
                <c:pt idx="655">
                  <c:v>437.5</c:v>
                </c:pt>
                <c:pt idx="656">
                  <c:v>439.38079833984398</c:v>
                </c:pt>
                <c:pt idx="657">
                  <c:v>440.53820800781301</c:v>
                </c:pt>
                <c:pt idx="658">
                  <c:v>442.85299682617199</c:v>
                </c:pt>
                <c:pt idx="659">
                  <c:v>350.26040649414102</c:v>
                </c:pt>
                <c:pt idx="660">
                  <c:v>274.45022583007801</c:v>
                </c:pt>
                <c:pt idx="661">
                  <c:v>225.98379516601599</c:v>
                </c:pt>
                <c:pt idx="662">
                  <c:v>243.63426208496099</c:v>
                </c:pt>
                <c:pt idx="663">
                  <c:v>365.59606933593801</c:v>
                </c:pt>
                <c:pt idx="664">
                  <c:v>421.73031616210898</c:v>
                </c:pt>
                <c:pt idx="665">
                  <c:v>429.83218383789102</c:v>
                </c:pt>
                <c:pt idx="666">
                  <c:v>431.13424682617199</c:v>
                </c:pt>
                <c:pt idx="667">
                  <c:v>430.70022583007801</c:v>
                </c:pt>
                <c:pt idx="668">
                  <c:v>431.85763549804699</c:v>
                </c:pt>
                <c:pt idx="669">
                  <c:v>432.00231933593801</c:v>
                </c:pt>
                <c:pt idx="670">
                  <c:v>431.85763549804699</c:v>
                </c:pt>
                <c:pt idx="671">
                  <c:v>432.43634033203102</c:v>
                </c:pt>
                <c:pt idx="672">
                  <c:v>432.870361328125</c:v>
                </c:pt>
                <c:pt idx="673">
                  <c:v>434.17245483398398</c:v>
                </c:pt>
                <c:pt idx="674">
                  <c:v>434.317138671875</c:v>
                </c:pt>
                <c:pt idx="675">
                  <c:v>424.47915649414102</c:v>
                </c:pt>
                <c:pt idx="676">
                  <c:v>421.58563232421898</c:v>
                </c:pt>
                <c:pt idx="677">
                  <c:v>428.964111328125</c:v>
                </c:pt>
                <c:pt idx="678">
                  <c:v>436.05325317382801</c:v>
                </c:pt>
                <c:pt idx="679">
                  <c:v>442.27429199218801</c:v>
                </c:pt>
                <c:pt idx="680">
                  <c:v>428.81945800781301</c:v>
                </c:pt>
                <c:pt idx="681">
                  <c:v>436.05325317382801</c:v>
                </c:pt>
                <c:pt idx="682">
                  <c:v>434.75115966796898</c:v>
                </c:pt>
                <c:pt idx="683">
                  <c:v>435.04049682617199</c:v>
                </c:pt>
                <c:pt idx="684">
                  <c:v>436.05325317382801</c:v>
                </c:pt>
                <c:pt idx="685">
                  <c:v>436.19790649414102</c:v>
                </c:pt>
                <c:pt idx="686">
                  <c:v>436.05325317382801</c:v>
                </c:pt>
                <c:pt idx="687">
                  <c:v>436.34259033203102</c:v>
                </c:pt>
                <c:pt idx="688">
                  <c:v>436.48727416992199</c:v>
                </c:pt>
                <c:pt idx="689">
                  <c:v>437.64468383789102</c:v>
                </c:pt>
                <c:pt idx="690">
                  <c:v>437.78933715820301</c:v>
                </c:pt>
                <c:pt idx="691">
                  <c:v>439.95950317382801</c:v>
                </c:pt>
                <c:pt idx="692">
                  <c:v>439.38079833984398</c:v>
                </c:pt>
                <c:pt idx="693">
                  <c:v>431.85763549804699</c:v>
                </c:pt>
                <c:pt idx="694">
                  <c:v>431.27893066406301</c:v>
                </c:pt>
                <c:pt idx="695">
                  <c:v>431.85763549804699</c:v>
                </c:pt>
                <c:pt idx="696">
                  <c:v>431.85763549804699</c:v>
                </c:pt>
                <c:pt idx="697">
                  <c:v>432.870361328125</c:v>
                </c:pt>
                <c:pt idx="698">
                  <c:v>435.61920166015602</c:v>
                </c:pt>
                <c:pt idx="699">
                  <c:v>436.776611328125</c:v>
                </c:pt>
                <c:pt idx="700">
                  <c:v>437.21063232421898</c:v>
                </c:pt>
                <c:pt idx="701">
                  <c:v>437.78933715820301</c:v>
                </c:pt>
                <c:pt idx="702">
                  <c:v>439.67013549804699</c:v>
                </c:pt>
                <c:pt idx="703">
                  <c:v>440.39352416992199</c:v>
                </c:pt>
                <c:pt idx="704">
                  <c:v>441.26156616210898</c:v>
                </c:pt>
                <c:pt idx="705">
                  <c:v>443.57638549804699</c:v>
                </c:pt>
                <c:pt idx="706">
                  <c:v>445.45718383789102</c:v>
                </c:pt>
                <c:pt idx="707">
                  <c:v>446.61459350585898</c:v>
                </c:pt>
                <c:pt idx="708">
                  <c:v>447.04861450195301</c:v>
                </c:pt>
                <c:pt idx="709">
                  <c:v>447.19329833984398</c:v>
                </c:pt>
                <c:pt idx="710">
                  <c:v>447.19329833984398</c:v>
                </c:pt>
                <c:pt idx="711">
                  <c:v>447.33795166015602</c:v>
                </c:pt>
                <c:pt idx="712">
                  <c:v>447.33795166015602</c:v>
                </c:pt>
                <c:pt idx="713">
                  <c:v>447.62731933593801</c:v>
                </c:pt>
                <c:pt idx="714">
                  <c:v>447.77200317382801</c:v>
                </c:pt>
                <c:pt idx="715">
                  <c:v>447.19329833984398</c:v>
                </c:pt>
                <c:pt idx="716">
                  <c:v>447.04861450195301</c:v>
                </c:pt>
                <c:pt idx="717">
                  <c:v>447.33795166015602</c:v>
                </c:pt>
                <c:pt idx="718">
                  <c:v>447.62731933593801</c:v>
                </c:pt>
                <c:pt idx="719">
                  <c:v>447.91665649414102</c:v>
                </c:pt>
                <c:pt idx="720">
                  <c:v>448.06134033203102</c:v>
                </c:pt>
                <c:pt idx="721">
                  <c:v>448.06134033203102</c:v>
                </c:pt>
                <c:pt idx="722">
                  <c:v>447.91665649414102</c:v>
                </c:pt>
                <c:pt idx="723">
                  <c:v>447.77200317382801</c:v>
                </c:pt>
                <c:pt idx="724">
                  <c:v>448.06134033203102</c:v>
                </c:pt>
                <c:pt idx="725">
                  <c:v>448.35067749023398</c:v>
                </c:pt>
                <c:pt idx="726">
                  <c:v>448.06134033203102</c:v>
                </c:pt>
                <c:pt idx="727">
                  <c:v>447.33795166015602</c:v>
                </c:pt>
                <c:pt idx="728">
                  <c:v>446.61459350585898</c:v>
                </c:pt>
                <c:pt idx="729">
                  <c:v>446.61459350585898</c:v>
                </c:pt>
                <c:pt idx="730">
                  <c:v>446.61459350585898</c:v>
                </c:pt>
                <c:pt idx="731">
                  <c:v>447.04861450195301</c:v>
                </c:pt>
                <c:pt idx="732">
                  <c:v>447.04861450195301</c:v>
                </c:pt>
                <c:pt idx="733">
                  <c:v>446.46990966796898</c:v>
                </c:pt>
                <c:pt idx="734">
                  <c:v>444.73379516601602</c:v>
                </c:pt>
                <c:pt idx="735">
                  <c:v>444.44445800781301</c:v>
                </c:pt>
                <c:pt idx="736">
                  <c:v>445.16781616210898</c:v>
                </c:pt>
                <c:pt idx="737">
                  <c:v>445.02313232421898</c:v>
                </c:pt>
                <c:pt idx="738">
                  <c:v>444.01040649414102</c:v>
                </c:pt>
                <c:pt idx="739">
                  <c:v>442.99768066406301</c:v>
                </c:pt>
                <c:pt idx="740">
                  <c:v>442.129638671875</c:v>
                </c:pt>
                <c:pt idx="741">
                  <c:v>441.40625</c:v>
                </c:pt>
                <c:pt idx="742">
                  <c:v>442.129638671875</c:v>
                </c:pt>
                <c:pt idx="743">
                  <c:v>440.82754516601602</c:v>
                </c:pt>
                <c:pt idx="744">
                  <c:v>439.38079833984398</c:v>
                </c:pt>
                <c:pt idx="745">
                  <c:v>439.67013549804699</c:v>
                </c:pt>
                <c:pt idx="746">
                  <c:v>438.65740966796898</c:v>
                </c:pt>
                <c:pt idx="747">
                  <c:v>439.23611450195301</c:v>
                </c:pt>
                <c:pt idx="748">
                  <c:v>438.65740966796898</c:v>
                </c:pt>
                <c:pt idx="749">
                  <c:v>439.09143066406301</c:v>
                </c:pt>
                <c:pt idx="750">
                  <c:v>438.36804199218801</c:v>
                </c:pt>
                <c:pt idx="751">
                  <c:v>438.94674682617199</c:v>
                </c:pt>
                <c:pt idx="752">
                  <c:v>439.81481933593801</c:v>
                </c:pt>
                <c:pt idx="753">
                  <c:v>440.682861328125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4-42AF-9917-902AE8087B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Absorción!$C$2:$C$755</c:f>
              <c:numCache>
                <c:formatCode>#,##0</c:formatCode>
                <c:ptCount val="754"/>
                <c:pt idx="0">
                  <c:v>48.104747772216797</c:v>
                </c:pt>
                <c:pt idx="1">
                  <c:v>47.699653625488303</c:v>
                </c:pt>
                <c:pt idx="2">
                  <c:v>47.497108459472699</c:v>
                </c:pt>
                <c:pt idx="3">
                  <c:v>47.092014312744098</c:v>
                </c:pt>
                <c:pt idx="4">
                  <c:v>46.686920166015597</c:v>
                </c:pt>
                <c:pt idx="5">
                  <c:v>46.585647583007798</c:v>
                </c:pt>
                <c:pt idx="6">
                  <c:v>46.281829833984403</c:v>
                </c:pt>
                <c:pt idx="7">
                  <c:v>46.0792846679688</c:v>
                </c:pt>
                <c:pt idx="8">
                  <c:v>46.0792846679688</c:v>
                </c:pt>
                <c:pt idx="9">
                  <c:v>45.674190521240199</c:v>
                </c:pt>
                <c:pt idx="10">
                  <c:v>45.572917938232401</c:v>
                </c:pt>
                <c:pt idx="11">
                  <c:v>54.079860687255902</c:v>
                </c:pt>
                <c:pt idx="12">
                  <c:v>96.817131042480497</c:v>
                </c:pt>
                <c:pt idx="13">
                  <c:v>126.49016571044901</c:v>
                </c:pt>
                <c:pt idx="14">
                  <c:v>137.63020324707</c:v>
                </c:pt>
                <c:pt idx="15">
                  <c:v>133.275466918945</c:v>
                </c:pt>
                <c:pt idx="16">
                  <c:v>140.97222900390599</c:v>
                </c:pt>
                <c:pt idx="17">
                  <c:v>144.31423950195301</c:v>
                </c:pt>
                <c:pt idx="18">
                  <c:v>145.42823791503901</c:v>
                </c:pt>
                <c:pt idx="19">
                  <c:v>146.035888671875</c:v>
                </c:pt>
                <c:pt idx="20">
                  <c:v>146.035888671875</c:v>
                </c:pt>
                <c:pt idx="21">
                  <c:v>146.035888671875</c:v>
                </c:pt>
                <c:pt idx="22">
                  <c:v>146.035888671875</c:v>
                </c:pt>
                <c:pt idx="23">
                  <c:v>146.44097900390599</c:v>
                </c:pt>
                <c:pt idx="24">
                  <c:v>146.33970642089801</c:v>
                </c:pt>
                <c:pt idx="25">
                  <c:v>146.33970642089801</c:v>
                </c:pt>
                <c:pt idx="26">
                  <c:v>142.49131774902301</c:v>
                </c:pt>
                <c:pt idx="27">
                  <c:v>142.99768066406301</c:v>
                </c:pt>
                <c:pt idx="28">
                  <c:v>142.896408081055</c:v>
                </c:pt>
                <c:pt idx="29">
                  <c:v>142.79513549804699</c:v>
                </c:pt>
                <c:pt idx="30">
                  <c:v>141.37731933593801</c:v>
                </c:pt>
                <c:pt idx="31">
                  <c:v>140.162033081055</c:v>
                </c:pt>
                <c:pt idx="32">
                  <c:v>138.84548950195301</c:v>
                </c:pt>
                <c:pt idx="33">
                  <c:v>136.82002258300801</c:v>
                </c:pt>
                <c:pt idx="34">
                  <c:v>134.18692016601599</c:v>
                </c:pt>
                <c:pt idx="35">
                  <c:v>132.56655883789099</c:v>
                </c:pt>
                <c:pt idx="36">
                  <c:v>131.35127258300801</c:v>
                </c:pt>
                <c:pt idx="37">
                  <c:v>131.04745483398401</c:v>
                </c:pt>
                <c:pt idx="38">
                  <c:v>131.14872741699199</c:v>
                </c:pt>
                <c:pt idx="39">
                  <c:v>131.14872741699199</c:v>
                </c:pt>
                <c:pt idx="40">
                  <c:v>129.629638671875</c:v>
                </c:pt>
                <c:pt idx="41">
                  <c:v>128.81944274902301</c:v>
                </c:pt>
                <c:pt idx="42">
                  <c:v>128.61689758300801</c:v>
                </c:pt>
                <c:pt idx="43">
                  <c:v>128.31307983398401</c:v>
                </c:pt>
                <c:pt idx="44">
                  <c:v>128.00926208496099</c:v>
                </c:pt>
                <c:pt idx="45">
                  <c:v>128.11053466796901</c:v>
                </c:pt>
                <c:pt idx="46">
                  <c:v>127.502891540527</c:v>
                </c:pt>
                <c:pt idx="47">
                  <c:v>127.60417175293</c:v>
                </c:pt>
                <c:pt idx="48">
                  <c:v>127.705444335938</c:v>
                </c:pt>
                <c:pt idx="49">
                  <c:v>127.60417175293</c:v>
                </c:pt>
                <c:pt idx="50">
                  <c:v>127.502891540527</c:v>
                </c:pt>
                <c:pt idx="51">
                  <c:v>127.806716918945</c:v>
                </c:pt>
                <c:pt idx="52">
                  <c:v>127.60417175293</c:v>
                </c:pt>
                <c:pt idx="53">
                  <c:v>127.300346374512</c:v>
                </c:pt>
                <c:pt idx="54">
                  <c:v>127.60417175293</c:v>
                </c:pt>
                <c:pt idx="55">
                  <c:v>128.21180725097699</c:v>
                </c:pt>
                <c:pt idx="56">
                  <c:v>129.32580566406301</c:v>
                </c:pt>
                <c:pt idx="57">
                  <c:v>129.73091125488301</c:v>
                </c:pt>
                <c:pt idx="58">
                  <c:v>130.74363708496099</c:v>
                </c:pt>
                <c:pt idx="59">
                  <c:v>131.14872741699199</c:v>
                </c:pt>
                <c:pt idx="60">
                  <c:v>131.14872741699199</c:v>
                </c:pt>
                <c:pt idx="61">
                  <c:v>132.06018066406301</c:v>
                </c:pt>
                <c:pt idx="62">
                  <c:v>134.18692016601599</c:v>
                </c:pt>
                <c:pt idx="63">
                  <c:v>134.89582824707</c:v>
                </c:pt>
                <c:pt idx="64">
                  <c:v>131.65509033203099</c:v>
                </c:pt>
                <c:pt idx="65">
                  <c:v>134.38946533203099</c:v>
                </c:pt>
                <c:pt idx="66">
                  <c:v>131.25</c:v>
                </c:pt>
                <c:pt idx="67">
                  <c:v>131.25</c:v>
                </c:pt>
                <c:pt idx="68">
                  <c:v>131.55381774902301</c:v>
                </c:pt>
                <c:pt idx="69">
                  <c:v>134.18692016601599</c:v>
                </c:pt>
                <c:pt idx="70">
                  <c:v>131.14872741699199</c:v>
                </c:pt>
                <c:pt idx="71">
                  <c:v>134.79455566406301</c:v>
                </c:pt>
                <c:pt idx="72">
                  <c:v>131.04745483398401</c:v>
                </c:pt>
                <c:pt idx="73">
                  <c:v>135.40220642089801</c:v>
                </c:pt>
                <c:pt idx="74">
                  <c:v>138.44039916992199</c:v>
                </c:pt>
                <c:pt idx="75">
                  <c:v>141.68113708496099</c:v>
                </c:pt>
                <c:pt idx="76">
                  <c:v>143.301513671875</c:v>
                </c:pt>
                <c:pt idx="77">
                  <c:v>144.51678466796901</c:v>
                </c:pt>
                <c:pt idx="78">
                  <c:v>144.31423950195301</c:v>
                </c:pt>
                <c:pt idx="79">
                  <c:v>139.85821533203099</c:v>
                </c:pt>
                <c:pt idx="80">
                  <c:v>141.78240966796901</c:v>
                </c:pt>
                <c:pt idx="81">
                  <c:v>135.19966125488301</c:v>
                </c:pt>
                <c:pt idx="82">
                  <c:v>129.224533081055</c:v>
                </c:pt>
                <c:pt idx="83">
                  <c:v>137.12384033203099</c:v>
                </c:pt>
                <c:pt idx="84">
                  <c:v>140.76968383789099</c:v>
                </c:pt>
                <c:pt idx="85">
                  <c:v>143.301513671875</c:v>
                </c:pt>
                <c:pt idx="86">
                  <c:v>145.42823791503901</c:v>
                </c:pt>
                <c:pt idx="87">
                  <c:v>145.83332824707</c:v>
                </c:pt>
                <c:pt idx="88">
                  <c:v>145.83332824707</c:v>
                </c:pt>
                <c:pt idx="89">
                  <c:v>146.33970642089801</c:v>
                </c:pt>
                <c:pt idx="90">
                  <c:v>146.23843383789099</c:v>
                </c:pt>
                <c:pt idx="91">
                  <c:v>146.035888671875</c:v>
                </c:pt>
                <c:pt idx="92">
                  <c:v>146.23843383789099</c:v>
                </c:pt>
                <c:pt idx="93">
                  <c:v>144.921875</c:v>
                </c:pt>
                <c:pt idx="94">
                  <c:v>144.31423950195301</c:v>
                </c:pt>
                <c:pt idx="95">
                  <c:v>144.212966918945</c:v>
                </c:pt>
                <c:pt idx="96">
                  <c:v>144.31423950195301</c:v>
                </c:pt>
                <c:pt idx="97">
                  <c:v>145.02314758300801</c:v>
                </c:pt>
                <c:pt idx="98">
                  <c:v>145.32696533203099</c:v>
                </c:pt>
                <c:pt idx="99">
                  <c:v>145.32696533203099</c:v>
                </c:pt>
                <c:pt idx="100">
                  <c:v>145.32696533203099</c:v>
                </c:pt>
                <c:pt idx="101">
                  <c:v>143.80787658691401</c:v>
                </c:pt>
                <c:pt idx="102">
                  <c:v>140.66841125488301</c:v>
                </c:pt>
                <c:pt idx="103">
                  <c:v>143.80787658691401</c:v>
                </c:pt>
                <c:pt idx="104">
                  <c:v>145.02314758300801</c:v>
                </c:pt>
                <c:pt idx="105">
                  <c:v>145.22569274902301</c:v>
                </c:pt>
                <c:pt idx="106">
                  <c:v>145.93460083007801</c:v>
                </c:pt>
                <c:pt idx="107">
                  <c:v>143.301513671875</c:v>
                </c:pt>
                <c:pt idx="108">
                  <c:v>142.69386291503901</c:v>
                </c:pt>
                <c:pt idx="109">
                  <c:v>142.39004516601599</c:v>
                </c:pt>
                <c:pt idx="110">
                  <c:v>142.39004516601599</c:v>
                </c:pt>
                <c:pt idx="111">
                  <c:v>143.70660400390599</c:v>
                </c:pt>
                <c:pt idx="112">
                  <c:v>145.42823791503901</c:v>
                </c:pt>
                <c:pt idx="113">
                  <c:v>145.93460083007801</c:v>
                </c:pt>
                <c:pt idx="114">
                  <c:v>146.035888671875</c:v>
                </c:pt>
                <c:pt idx="115">
                  <c:v>146.23843383789099</c:v>
                </c:pt>
                <c:pt idx="116">
                  <c:v>146.035888671875</c:v>
                </c:pt>
                <c:pt idx="117">
                  <c:v>146.74479675293</c:v>
                </c:pt>
                <c:pt idx="118">
                  <c:v>146.33970642089801</c:v>
                </c:pt>
                <c:pt idx="119">
                  <c:v>145.73205566406301</c:v>
                </c:pt>
                <c:pt idx="120">
                  <c:v>145.83332824707</c:v>
                </c:pt>
                <c:pt idx="121">
                  <c:v>145.52951049804699</c:v>
                </c:pt>
                <c:pt idx="122">
                  <c:v>145.32696533203099</c:v>
                </c:pt>
                <c:pt idx="123">
                  <c:v>145.22569274902301</c:v>
                </c:pt>
                <c:pt idx="124">
                  <c:v>144.82060241699199</c:v>
                </c:pt>
                <c:pt idx="125">
                  <c:v>144.212966918945</c:v>
                </c:pt>
                <c:pt idx="126">
                  <c:v>142.79513549804699</c:v>
                </c:pt>
                <c:pt idx="127">
                  <c:v>141.27604675293</c:v>
                </c:pt>
                <c:pt idx="128">
                  <c:v>140.97222900390599</c:v>
                </c:pt>
                <c:pt idx="129">
                  <c:v>137.32638549804699</c:v>
                </c:pt>
                <c:pt idx="130">
                  <c:v>135.19966125488301</c:v>
                </c:pt>
                <c:pt idx="131">
                  <c:v>134.38946533203099</c:v>
                </c:pt>
                <c:pt idx="132">
                  <c:v>133.68055725097699</c:v>
                </c:pt>
                <c:pt idx="133">
                  <c:v>132.66783142089801</c:v>
                </c:pt>
                <c:pt idx="134">
                  <c:v>131.75636291503901</c:v>
                </c:pt>
                <c:pt idx="135">
                  <c:v>131.25</c:v>
                </c:pt>
                <c:pt idx="136">
                  <c:v>130.64236450195301</c:v>
                </c:pt>
                <c:pt idx="137">
                  <c:v>130.541091918945</c:v>
                </c:pt>
                <c:pt idx="138">
                  <c:v>130.23727416992199</c:v>
                </c:pt>
                <c:pt idx="139">
                  <c:v>130.23727416992199</c:v>
                </c:pt>
                <c:pt idx="140">
                  <c:v>129.629638671875</c:v>
                </c:pt>
                <c:pt idx="141">
                  <c:v>129.52835083007801</c:v>
                </c:pt>
                <c:pt idx="142">
                  <c:v>128.71817016601599</c:v>
                </c:pt>
                <c:pt idx="143">
                  <c:v>128.71817016601599</c:v>
                </c:pt>
                <c:pt idx="144">
                  <c:v>128.515625</c:v>
                </c:pt>
                <c:pt idx="145">
                  <c:v>128.61689758300801</c:v>
                </c:pt>
                <c:pt idx="146">
                  <c:v>128.61689758300801</c:v>
                </c:pt>
                <c:pt idx="147">
                  <c:v>128.515625</c:v>
                </c:pt>
                <c:pt idx="148">
                  <c:v>128.515625</c:v>
                </c:pt>
                <c:pt idx="149">
                  <c:v>128.31307983398401</c:v>
                </c:pt>
                <c:pt idx="150">
                  <c:v>128.21180725097699</c:v>
                </c:pt>
                <c:pt idx="151">
                  <c:v>129.224533081055</c:v>
                </c:pt>
                <c:pt idx="152">
                  <c:v>129.83218383789099</c:v>
                </c:pt>
                <c:pt idx="153">
                  <c:v>130.74363708496099</c:v>
                </c:pt>
                <c:pt idx="154">
                  <c:v>131.35127258300801</c:v>
                </c:pt>
                <c:pt idx="155">
                  <c:v>131.35127258300801</c:v>
                </c:pt>
                <c:pt idx="156">
                  <c:v>132.06018066406301</c:v>
                </c:pt>
                <c:pt idx="157">
                  <c:v>132.06018066406301</c:v>
                </c:pt>
                <c:pt idx="158">
                  <c:v>133.275466918945</c:v>
                </c:pt>
                <c:pt idx="159">
                  <c:v>132.87037658691401</c:v>
                </c:pt>
                <c:pt idx="160">
                  <c:v>133.37673950195301</c:v>
                </c:pt>
                <c:pt idx="161">
                  <c:v>133.78182983398401</c:v>
                </c:pt>
                <c:pt idx="162">
                  <c:v>134.89582824707</c:v>
                </c:pt>
                <c:pt idx="163">
                  <c:v>135.70602416992199</c:v>
                </c:pt>
                <c:pt idx="164">
                  <c:v>137.12384033203099</c:v>
                </c:pt>
                <c:pt idx="165">
                  <c:v>138.744216918945</c:v>
                </c:pt>
                <c:pt idx="166">
                  <c:v>139.14930725097699</c:v>
                </c:pt>
                <c:pt idx="167">
                  <c:v>139.453125</c:v>
                </c:pt>
                <c:pt idx="168">
                  <c:v>139.65567016601599</c:v>
                </c:pt>
                <c:pt idx="169">
                  <c:v>140.162033081055</c:v>
                </c:pt>
                <c:pt idx="170">
                  <c:v>140.46585083007801</c:v>
                </c:pt>
                <c:pt idx="171">
                  <c:v>139.95948791503901</c:v>
                </c:pt>
                <c:pt idx="172">
                  <c:v>140.66841125488301</c:v>
                </c:pt>
                <c:pt idx="173">
                  <c:v>141.78240966796901</c:v>
                </c:pt>
                <c:pt idx="174">
                  <c:v>141.78240966796901</c:v>
                </c:pt>
                <c:pt idx="175">
                  <c:v>139.65567016601599</c:v>
                </c:pt>
                <c:pt idx="176">
                  <c:v>138.84548950195301</c:v>
                </c:pt>
                <c:pt idx="177">
                  <c:v>140.26330566406301</c:v>
                </c:pt>
                <c:pt idx="178">
                  <c:v>141.78240966796901</c:v>
                </c:pt>
                <c:pt idx="179">
                  <c:v>143.20022583007801</c:v>
                </c:pt>
                <c:pt idx="180">
                  <c:v>143.70660400390599</c:v>
                </c:pt>
                <c:pt idx="181">
                  <c:v>144.41551208496099</c:v>
                </c:pt>
                <c:pt idx="182">
                  <c:v>145.52951049804699</c:v>
                </c:pt>
                <c:pt idx="183">
                  <c:v>146.23843383789099</c:v>
                </c:pt>
                <c:pt idx="184">
                  <c:v>146.54225158691401</c:v>
                </c:pt>
                <c:pt idx="185">
                  <c:v>147.04861450195301</c:v>
                </c:pt>
                <c:pt idx="186">
                  <c:v>147.45370483398401</c:v>
                </c:pt>
                <c:pt idx="187">
                  <c:v>147.35243225097699</c:v>
                </c:pt>
                <c:pt idx="188">
                  <c:v>147.25115966796901</c:v>
                </c:pt>
                <c:pt idx="189">
                  <c:v>147.04861450195301</c:v>
                </c:pt>
                <c:pt idx="190">
                  <c:v>147.35243225097699</c:v>
                </c:pt>
                <c:pt idx="191">
                  <c:v>147.35243225097699</c:v>
                </c:pt>
                <c:pt idx="192">
                  <c:v>147.55497741699199</c:v>
                </c:pt>
                <c:pt idx="193">
                  <c:v>147.75752258300801</c:v>
                </c:pt>
                <c:pt idx="194">
                  <c:v>147.45370483398401</c:v>
                </c:pt>
                <c:pt idx="195">
                  <c:v>144.41551208496099</c:v>
                </c:pt>
                <c:pt idx="196">
                  <c:v>140.26330566406301</c:v>
                </c:pt>
                <c:pt idx="197">
                  <c:v>137.93403625488301</c:v>
                </c:pt>
                <c:pt idx="198">
                  <c:v>137.32638549804699</c:v>
                </c:pt>
                <c:pt idx="199">
                  <c:v>140.162033081055</c:v>
                </c:pt>
                <c:pt idx="200">
                  <c:v>137.93403625488301</c:v>
                </c:pt>
                <c:pt idx="201">
                  <c:v>136.21238708496099</c:v>
                </c:pt>
                <c:pt idx="202">
                  <c:v>142.28877258300801</c:v>
                </c:pt>
                <c:pt idx="203">
                  <c:v>143.90914916992199</c:v>
                </c:pt>
                <c:pt idx="204">
                  <c:v>144.212966918945</c:v>
                </c:pt>
                <c:pt idx="205">
                  <c:v>144.71932983398401</c:v>
                </c:pt>
                <c:pt idx="206">
                  <c:v>144.31423950195301</c:v>
                </c:pt>
                <c:pt idx="207">
                  <c:v>142.99768066406301</c:v>
                </c:pt>
                <c:pt idx="208">
                  <c:v>142.1875</c:v>
                </c:pt>
                <c:pt idx="209">
                  <c:v>141.27604675293</c:v>
                </c:pt>
                <c:pt idx="210">
                  <c:v>141.37731933593801</c:v>
                </c:pt>
                <c:pt idx="211">
                  <c:v>144.921875</c:v>
                </c:pt>
                <c:pt idx="212">
                  <c:v>145.52951049804699</c:v>
                </c:pt>
                <c:pt idx="213">
                  <c:v>145.73205566406301</c:v>
                </c:pt>
                <c:pt idx="214">
                  <c:v>145.22569274902301</c:v>
                </c:pt>
                <c:pt idx="215">
                  <c:v>145.42823791503901</c:v>
                </c:pt>
                <c:pt idx="216">
                  <c:v>145.02314758300801</c:v>
                </c:pt>
                <c:pt idx="217">
                  <c:v>144.212966918945</c:v>
                </c:pt>
                <c:pt idx="218">
                  <c:v>144.51678466796901</c:v>
                </c:pt>
                <c:pt idx="219">
                  <c:v>144.82060241699199</c:v>
                </c:pt>
                <c:pt idx="220">
                  <c:v>144.31423950195301</c:v>
                </c:pt>
                <c:pt idx="221">
                  <c:v>144.41551208496099</c:v>
                </c:pt>
                <c:pt idx="222">
                  <c:v>143.80787658691401</c:v>
                </c:pt>
                <c:pt idx="223">
                  <c:v>142.49131774902301</c:v>
                </c:pt>
                <c:pt idx="224">
                  <c:v>131.04745483398401</c:v>
                </c:pt>
                <c:pt idx="225">
                  <c:v>121.02141571044901</c:v>
                </c:pt>
                <c:pt idx="226">
                  <c:v>130.541091918945</c:v>
                </c:pt>
                <c:pt idx="227">
                  <c:v>134.18692016601599</c:v>
                </c:pt>
                <c:pt idx="228">
                  <c:v>135.70602416992199</c:v>
                </c:pt>
                <c:pt idx="229">
                  <c:v>136.31365966796901</c:v>
                </c:pt>
                <c:pt idx="230">
                  <c:v>136.31365966796901</c:v>
                </c:pt>
                <c:pt idx="231">
                  <c:v>135.098388671875</c:v>
                </c:pt>
                <c:pt idx="232">
                  <c:v>134.28819274902301</c:v>
                </c:pt>
                <c:pt idx="233">
                  <c:v>121.122688293457</c:v>
                </c:pt>
                <c:pt idx="234">
                  <c:v>109.375</c:v>
                </c:pt>
                <c:pt idx="235">
                  <c:v>98.943870544433594</c:v>
                </c:pt>
                <c:pt idx="236">
                  <c:v>111.096641540527</c:v>
                </c:pt>
                <c:pt idx="237">
                  <c:v>127.300346374512</c:v>
                </c:pt>
                <c:pt idx="238">
                  <c:v>134.08564758300801</c:v>
                </c:pt>
                <c:pt idx="239">
                  <c:v>128.81944274902301</c:v>
                </c:pt>
                <c:pt idx="240">
                  <c:v>129.52835083007801</c:v>
                </c:pt>
                <c:pt idx="241">
                  <c:v>131.25</c:v>
                </c:pt>
                <c:pt idx="242">
                  <c:v>132.26272583007801</c:v>
                </c:pt>
                <c:pt idx="243">
                  <c:v>132.26272583007801</c:v>
                </c:pt>
                <c:pt idx="244">
                  <c:v>132.364013671875</c:v>
                </c:pt>
                <c:pt idx="245">
                  <c:v>132.16145324707</c:v>
                </c:pt>
                <c:pt idx="246">
                  <c:v>132.56655883789099</c:v>
                </c:pt>
                <c:pt idx="247">
                  <c:v>132.76910400390599</c:v>
                </c:pt>
                <c:pt idx="248">
                  <c:v>133.88310241699199</c:v>
                </c:pt>
                <c:pt idx="249">
                  <c:v>134.28819274902301</c:v>
                </c:pt>
                <c:pt idx="250">
                  <c:v>135.098388671875</c:v>
                </c:pt>
                <c:pt idx="251">
                  <c:v>135.40220642089801</c:v>
                </c:pt>
                <c:pt idx="252">
                  <c:v>135.30093383789099</c:v>
                </c:pt>
                <c:pt idx="253">
                  <c:v>135.19966125488301</c:v>
                </c:pt>
                <c:pt idx="254">
                  <c:v>136.92129516601599</c:v>
                </c:pt>
                <c:pt idx="255">
                  <c:v>137.63020324707</c:v>
                </c:pt>
                <c:pt idx="256">
                  <c:v>137.63020324707</c:v>
                </c:pt>
                <c:pt idx="257">
                  <c:v>138.23785400390599</c:v>
                </c:pt>
                <c:pt idx="258">
                  <c:v>139.25057983398401</c:v>
                </c:pt>
                <c:pt idx="259">
                  <c:v>140.66841125488301</c:v>
                </c:pt>
                <c:pt idx="260">
                  <c:v>141.68113708496099</c:v>
                </c:pt>
                <c:pt idx="261">
                  <c:v>142.896408081055</c:v>
                </c:pt>
                <c:pt idx="262">
                  <c:v>143.301513671875</c:v>
                </c:pt>
                <c:pt idx="263">
                  <c:v>141.68113708496099</c:v>
                </c:pt>
                <c:pt idx="264">
                  <c:v>142.79513549804699</c:v>
                </c:pt>
                <c:pt idx="265">
                  <c:v>143.70660400390599</c:v>
                </c:pt>
                <c:pt idx="266">
                  <c:v>144.212966918945</c:v>
                </c:pt>
                <c:pt idx="267">
                  <c:v>143.40278625488301</c:v>
                </c:pt>
                <c:pt idx="268">
                  <c:v>143.20022583007801</c:v>
                </c:pt>
                <c:pt idx="269">
                  <c:v>143.90914916992199</c:v>
                </c:pt>
                <c:pt idx="270">
                  <c:v>144.71932983398401</c:v>
                </c:pt>
                <c:pt idx="271">
                  <c:v>141.68113708496099</c:v>
                </c:pt>
                <c:pt idx="272">
                  <c:v>141.78240966796901</c:v>
                </c:pt>
                <c:pt idx="273">
                  <c:v>135.90856933593801</c:v>
                </c:pt>
                <c:pt idx="274">
                  <c:v>140.87095642089801</c:v>
                </c:pt>
                <c:pt idx="275">
                  <c:v>142.99768066406301</c:v>
                </c:pt>
                <c:pt idx="276">
                  <c:v>144.31423950195301</c:v>
                </c:pt>
                <c:pt idx="277">
                  <c:v>145.42823791503901</c:v>
                </c:pt>
                <c:pt idx="278">
                  <c:v>146.44097900390599</c:v>
                </c:pt>
                <c:pt idx="279">
                  <c:v>146.54225158691401</c:v>
                </c:pt>
                <c:pt idx="280">
                  <c:v>146.84606933593801</c:v>
                </c:pt>
                <c:pt idx="281">
                  <c:v>147.55497741699199</c:v>
                </c:pt>
                <c:pt idx="282">
                  <c:v>147.96006774902301</c:v>
                </c:pt>
                <c:pt idx="283">
                  <c:v>148.26388549804699</c:v>
                </c:pt>
                <c:pt idx="284">
                  <c:v>148.97280883789099</c:v>
                </c:pt>
                <c:pt idx="285">
                  <c:v>146.035888671875</c:v>
                </c:pt>
                <c:pt idx="286">
                  <c:v>145.52951049804699</c:v>
                </c:pt>
                <c:pt idx="287">
                  <c:v>144.41551208496099</c:v>
                </c:pt>
                <c:pt idx="288">
                  <c:v>143.80787658691401</c:v>
                </c:pt>
                <c:pt idx="289">
                  <c:v>146.74479675293</c:v>
                </c:pt>
                <c:pt idx="290">
                  <c:v>146.84606933593801</c:v>
                </c:pt>
                <c:pt idx="291">
                  <c:v>147.35243225097699</c:v>
                </c:pt>
                <c:pt idx="292">
                  <c:v>146.947341918945</c:v>
                </c:pt>
                <c:pt idx="293">
                  <c:v>146.74479675293</c:v>
                </c:pt>
                <c:pt idx="294">
                  <c:v>146.84606933593801</c:v>
                </c:pt>
                <c:pt idx="295">
                  <c:v>136.21238708496099</c:v>
                </c:pt>
                <c:pt idx="296">
                  <c:v>143.70660400390599</c:v>
                </c:pt>
                <c:pt idx="297">
                  <c:v>146.23843383789099</c:v>
                </c:pt>
                <c:pt idx="298">
                  <c:v>147.85879516601599</c:v>
                </c:pt>
                <c:pt idx="299">
                  <c:v>147.45370483398401</c:v>
                </c:pt>
                <c:pt idx="300">
                  <c:v>146.23843383789099</c:v>
                </c:pt>
                <c:pt idx="301">
                  <c:v>146.23843383789099</c:v>
                </c:pt>
                <c:pt idx="302">
                  <c:v>144.921875</c:v>
                </c:pt>
                <c:pt idx="303">
                  <c:v>144.01042175293</c:v>
                </c:pt>
                <c:pt idx="304">
                  <c:v>145.32696533203099</c:v>
                </c:pt>
                <c:pt idx="305">
                  <c:v>146.74479675293</c:v>
                </c:pt>
                <c:pt idx="306">
                  <c:v>147.55497741699199</c:v>
                </c:pt>
                <c:pt idx="307">
                  <c:v>147.96006774902301</c:v>
                </c:pt>
                <c:pt idx="308">
                  <c:v>148.06134033203099</c:v>
                </c:pt>
                <c:pt idx="309">
                  <c:v>148.06134033203099</c:v>
                </c:pt>
                <c:pt idx="310">
                  <c:v>147.75752258300801</c:v>
                </c:pt>
                <c:pt idx="311">
                  <c:v>147.45370483398401</c:v>
                </c:pt>
                <c:pt idx="312">
                  <c:v>146.84606933593801</c:v>
                </c:pt>
                <c:pt idx="313">
                  <c:v>146.947341918945</c:v>
                </c:pt>
                <c:pt idx="314">
                  <c:v>146.33970642089801</c:v>
                </c:pt>
                <c:pt idx="315">
                  <c:v>144.01042175293</c:v>
                </c:pt>
                <c:pt idx="316">
                  <c:v>143.301513671875</c:v>
                </c:pt>
                <c:pt idx="317">
                  <c:v>144.71932983398401</c:v>
                </c:pt>
                <c:pt idx="318">
                  <c:v>133.275466918945</c:v>
                </c:pt>
                <c:pt idx="319">
                  <c:v>137.12384033203099</c:v>
                </c:pt>
                <c:pt idx="320">
                  <c:v>140.46585083007801</c:v>
                </c:pt>
                <c:pt idx="321">
                  <c:v>141.17477416992199</c:v>
                </c:pt>
                <c:pt idx="322">
                  <c:v>139.95948791503901</c:v>
                </c:pt>
                <c:pt idx="323">
                  <c:v>138.744216918945</c:v>
                </c:pt>
                <c:pt idx="324">
                  <c:v>138.13658142089801</c:v>
                </c:pt>
                <c:pt idx="325">
                  <c:v>136.82002258300801</c:v>
                </c:pt>
                <c:pt idx="326">
                  <c:v>135.90856933593801</c:v>
                </c:pt>
                <c:pt idx="327">
                  <c:v>134.89582824707</c:v>
                </c:pt>
                <c:pt idx="328">
                  <c:v>134.28819274902301</c:v>
                </c:pt>
                <c:pt idx="329">
                  <c:v>133.88310241699199</c:v>
                </c:pt>
                <c:pt idx="330">
                  <c:v>133.275466918945</c:v>
                </c:pt>
                <c:pt idx="331">
                  <c:v>133.17419433593801</c:v>
                </c:pt>
                <c:pt idx="332">
                  <c:v>133.17419433593801</c:v>
                </c:pt>
                <c:pt idx="333">
                  <c:v>133.17419433593801</c:v>
                </c:pt>
                <c:pt idx="334">
                  <c:v>132.76910400390599</c:v>
                </c:pt>
                <c:pt idx="335">
                  <c:v>132.76910400390599</c:v>
                </c:pt>
                <c:pt idx="336">
                  <c:v>132.56655883789099</c:v>
                </c:pt>
                <c:pt idx="337">
                  <c:v>132.56655883789099</c:v>
                </c:pt>
                <c:pt idx="338">
                  <c:v>132.66783142089801</c:v>
                </c:pt>
                <c:pt idx="339">
                  <c:v>132.26272583007801</c:v>
                </c:pt>
                <c:pt idx="340">
                  <c:v>132.66783142089801</c:v>
                </c:pt>
                <c:pt idx="341">
                  <c:v>132.364013671875</c:v>
                </c:pt>
                <c:pt idx="342">
                  <c:v>132.06018066406301</c:v>
                </c:pt>
                <c:pt idx="343">
                  <c:v>132.364013671875</c:v>
                </c:pt>
                <c:pt idx="344">
                  <c:v>132.87037658691401</c:v>
                </c:pt>
                <c:pt idx="345">
                  <c:v>134.08564758300801</c:v>
                </c:pt>
                <c:pt idx="346">
                  <c:v>134.59201049804699</c:v>
                </c:pt>
                <c:pt idx="347">
                  <c:v>134.693283081055</c:v>
                </c:pt>
                <c:pt idx="348">
                  <c:v>135.40220642089801</c:v>
                </c:pt>
                <c:pt idx="349">
                  <c:v>135.098388671875</c:v>
                </c:pt>
                <c:pt idx="350">
                  <c:v>136.71875</c:v>
                </c:pt>
                <c:pt idx="351">
                  <c:v>137.22511291503901</c:v>
                </c:pt>
                <c:pt idx="352">
                  <c:v>137.427658081055</c:v>
                </c:pt>
                <c:pt idx="353">
                  <c:v>137.93403625488301</c:v>
                </c:pt>
                <c:pt idx="354">
                  <c:v>138.84548950195301</c:v>
                </c:pt>
                <c:pt idx="355">
                  <c:v>138.84548950195301</c:v>
                </c:pt>
                <c:pt idx="356">
                  <c:v>117.98321533203099</c:v>
                </c:pt>
                <c:pt idx="357">
                  <c:v>109.78009033203099</c:v>
                </c:pt>
                <c:pt idx="358">
                  <c:v>125.27488708496099</c:v>
                </c:pt>
                <c:pt idx="359">
                  <c:v>135.90856933593801</c:v>
                </c:pt>
                <c:pt idx="360">
                  <c:v>140.97222900390599</c:v>
                </c:pt>
                <c:pt idx="361">
                  <c:v>143.40278625488301</c:v>
                </c:pt>
                <c:pt idx="362">
                  <c:v>142.28877258300801</c:v>
                </c:pt>
                <c:pt idx="363">
                  <c:v>144.01042175293</c:v>
                </c:pt>
                <c:pt idx="364">
                  <c:v>144.41551208496099</c:v>
                </c:pt>
                <c:pt idx="365">
                  <c:v>130.84490966796901</c:v>
                </c:pt>
                <c:pt idx="366">
                  <c:v>115.55266571044901</c:v>
                </c:pt>
                <c:pt idx="367">
                  <c:v>105.02025604248</c:v>
                </c:pt>
                <c:pt idx="368">
                  <c:v>97.323493957519503</c:v>
                </c:pt>
                <c:pt idx="369">
                  <c:v>90.335647583007798</c:v>
                </c:pt>
                <c:pt idx="370">
                  <c:v>84.664352416992202</c:v>
                </c:pt>
                <c:pt idx="371">
                  <c:v>81.524887084960895</c:v>
                </c:pt>
                <c:pt idx="372">
                  <c:v>109.071182250977</c:v>
                </c:pt>
                <c:pt idx="373">
                  <c:v>129.52835083007801</c:v>
                </c:pt>
                <c:pt idx="374">
                  <c:v>137.12384033203099</c:v>
                </c:pt>
                <c:pt idx="375">
                  <c:v>140.46585083007801</c:v>
                </c:pt>
                <c:pt idx="376">
                  <c:v>142.49131774902301</c:v>
                </c:pt>
                <c:pt idx="377">
                  <c:v>143.50405883789099</c:v>
                </c:pt>
                <c:pt idx="378">
                  <c:v>144.921875</c:v>
                </c:pt>
                <c:pt idx="379">
                  <c:v>138.44039916992199</c:v>
                </c:pt>
                <c:pt idx="380">
                  <c:v>144.51678466796901</c:v>
                </c:pt>
                <c:pt idx="381">
                  <c:v>146.54225158691401</c:v>
                </c:pt>
                <c:pt idx="382">
                  <c:v>147.35243225097699</c:v>
                </c:pt>
                <c:pt idx="383">
                  <c:v>144.41551208496099</c:v>
                </c:pt>
                <c:pt idx="384">
                  <c:v>144.31423950195301</c:v>
                </c:pt>
                <c:pt idx="385">
                  <c:v>144.01042175293</c:v>
                </c:pt>
                <c:pt idx="386">
                  <c:v>146.33970642089801</c:v>
                </c:pt>
                <c:pt idx="387">
                  <c:v>143.80787658691401</c:v>
                </c:pt>
                <c:pt idx="388">
                  <c:v>138.84548950195301</c:v>
                </c:pt>
                <c:pt idx="389">
                  <c:v>142.49131774902301</c:v>
                </c:pt>
                <c:pt idx="390">
                  <c:v>133.07292175293</c:v>
                </c:pt>
                <c:pt idx="391">
                  <c:v>136.82002258300801</c:v>
                </c:pt>
                <c:pt idx="392">
                  <c:v>135.70602416992199</c:v>
                </c:pt>
                <c:pt idx="393">
                  <c:v>129.32580566406301</c:v>
                </c:pt>
                <c:pt idx="394">
                  <c:v>139.75694274902301</c:v>
                </c:pt>
                <c:pt idx="395">
                  <c:v>144.41551208496099</c:v>
                </c:pt>
                <c:pt idx="396">
                  <c:v>144.71932983398401</c:v>
                </c:pt>
                <c:pt idx="397">
                  <c:v>144.212966918945</c:v>
                </c:pt>
                <c:pt idx="398">
                  <c:v>145.52951049804699</c:v>
                </c:pt>
                <c:pt idx="399">
                  <c:v>148.06134033203099</c:v>
                </c:pt>
                <c:pt idx="400">
                  <c:v>148.56770324707</c:v>
                </c:pt>
                <c:pt idx="401">
                  <c:v>149.27662658691401</c:v>
                </c:pt>
                <c:pt idx="402">
                  <c:v>149.27662658691401</c:v>
                </c:pt>
                <c:pt idx="403">
                  <c:v>149.47917175293</c:v>
                </c:pt>
                <c:pt idx="404">
                  <c:v>149.37789916992199</c:v>
                </c:pt>
                <c:pt idx="405">
                  <c:v>149.37789916992199</c:v>
                </c:pt>
                <c:pt idx="406">
                  <c:v>148.97280883789099</c:v>
                </c:pt>
                <c:pt idx="407">
                  <c:v>148.97280883789099</c:v>
                </c:pt>
                <c:pt idx="408">
                  <c:v>148.56770324707</c:v>
                </c:pt>
                <c:pt idx="409">
                  <c:v>148.26388549804699</c:v>
                </c:pt>
                <c:pt idx="410">
                  <c:v>147.55497741699199</c:v>
                </c:pt>
                <c:pt idx="411">
                  <c:v>147.85879516601599</c:v>
                </c:pt>
                <c:pt idx="412">
                  <c:v>145.73205566406301</c:v>
                </c:pt>
                <c:pt idx="413">
                  <c:v>145.73205566406301</c:v>
                </c:pt>
                <c:pt idx="414">
                  <c:v>145.02314758300801</c:v>
                </c:pt>
                <c:pt idx="415">
                  <c:v>143.70660400390599</c:v>
                </c:pt>
                <c:pt idx="416">
                  <c:v>142.28877258300801</c:v>
                </c:pt>
                <c:pt idx="417">
                  <c:v>140.26330566406301</c:v>
                </c:pt>
                <c:pt idx="418">
                  <c:v>138.84548950195301</c:v>
                </c:pt>
                <c:pt idx="419">
                  <c:v>137.73147583007801</c:v>
                </c:pt>
                <c:pt idx="420">
                  <c:v>136.31365966796901</c:v>
                </c:pt>
                <c:pt idx="421">
                  <c:v>135.80729675293</c:v>
                </c:pt>
                <c:pt idx="422">
                  <c:v>135.30093383789099</c:v>
                </c:pt>
                <c:pt idx="423">
                  <c:v>134.79455566406301</c:v>
                </c:pt>
                <c:pt idx="424">
                  <c:v>134.79455566406301</c:v>
                </c:pt>
                <c:pt idx="425">
                  <c:v>132.56655883789099</c:v>
                </c:pt>
                <c:pt idx="426">
                  <c:v>134.18692016601599</c:v>
                </c:pt>
                <c:pt idx="427">
                  <c:v>127.09780120849599</c:v>
                </c:pt>
                <c:pt idx="428">
                  <c:v>132.16145324707</c:v>
                </c:pt>
                <c:pt idx="429">
                  <c:v>125.57870483398401</c:v>
                </c:pt>
                <c:pt idx="430">
                  <c:v>132.56655883789099</c:v>
                </c:pt>
                <c:pt idx="431">
                  <c:v>135.098388671875</c:v>
                </c:pt>
                <c:pt idx="432">
                  <c:v>132.26272583007801</c:v>
                </c:pt>
                <c:pt idx="433">
                  <c:v>130.33854675293</c:v>
                </c:pt>
                <c:pt idx="434">
                  <c:v>124.66724395752</c:v>
                </c:pt>
                <c:pt idx="435">
                  <c:v>129.629638671875</c:v>
                </c:pt>
                <c:pt idx="436">
                  <c:v>124.768516540527</c:v>
                </c:pt>
                <c:pt idx="437">
                  <c:v>123.45196533203099</c:v>
                </c:pt>
                <c:pt idx="438">
                  <c:v>126.692710876465</c:v>
                </c:pt>
                <c:pt idx="439">
                  <c:v>122.54051208496099</c:v>
                </c:pt>
                <c:pt idx="440">
                  <c:v>120.616317749023</c:v>
                </c:pt>
                <c:pt idx="441">
                  <c:v>124.46469879150401</c:v>
                </c:pt>
                <c:pt idx="442">
                  <c:v>123.65451812744099</c:v>
                </c:pt>
                <c:pt idx="443">
                  <c:v>130.23727416992199</c:v>
                </c:pt>
                <c:pt idx="444">
                  <c:v>132.76910400390599</c:v>
                </c:pt>
                <c:pt idx="445">
                  <c:v>130.541091918945</c:v>
                </c:pt>
                <c:pt idx="446">
                  <c:v>130.33854675293</c:v>
                </c:pt>
                <c:pt idx="447">
                  <c:v>130.33854675293</c:v>
                </c:pt>
                <c:pt idx="448">
                  <c:v>130.541091918945</c:v>
                </c:pt>
                <c:pt idx="449">
                  <c:v>130.13600158691401</c:v>
                </c:pt>
                <c:pt idx="450">
                  <c:v>130.03472900390599</c:v>
                </c:pt>
                <c:pt idx="451">
                  <c:v>132.26272583007801</c:v>
                </c:pt>
                <c:pt idx="452">
                  <c:v>125.57870483398401</c:v>
                </c:pt>
                <c:pt idx="453">
                  <c:v>135.70602416992199</c:v>
                </c:pt>
                <c:pt idx="454">
                  <c:v>126.793983459473</c:v>
                </c:pt>
                <c:pt idx="455">
                  <c:v>131.14872741699199</c:v>
                </c:pt>
                <c:pt idx="456">
                  <c:v>129.52835083007801</c:v>
                </c:pt>
                <c:pt idx="457">
                  <c:v>123.958335876465</c:v>
                </c:pt>
                <c:pt idx="458">
                  <c:v>125.78125</c:v>
                </c:pt>
                <c:pt idx="459">
                  <c:v>122.945602416992</c:v>
                </c:pt>
                <c:pt idx="460">
                  <c:v>123.45196533203099</c:v>
                </c:pt>
                <c:pt idx="461">
                  <c:v>119.704864501953</c:v>
                </c:pt>
                <c:pt idx="462">
                  <c:v>119.19849395752</c:v>
                </c:pt>
                <c:pt idx="463">
                  <c:v>118.590858459473</c:v>
                </c:pt>
                <c:pt idx="464">
                  <c:v>115.55266571044901</c:v>
                </c:pt>
                <c:pt idx="465">
                  <c:v>115.45139312744099</c:v>
                </c:pt>
                <c:pt idx="466">
                  <c:v>117.17303466796901</c:v>
                </c:pt>
                <c:pt idx="467">
                  <c:v>114.945022583008</c:v>
                </c:pt>
                <c:pt idx="468">
                  <c:v>114.539932250977</c:v>
                </c:pt>
                <c:pt idx="469">
                  <c:v>129.12326049804699</c:v>
                </c:pt>
                <c:pt idx="470">
                  <c:v>135.70602416992199</c:v>
                </c:pt>
                <c:pt idx="471">
                  <c:v>138.13658142089801</c:v>
                </c:pt>
                <c:pt idx="472">
                  <c:v>140.26330566406301</c:v>
                </c:pt>
                <c:pt idx="473">
                  <c:v>137.22511291503901</c:v>
                </c:pt>
                <c:pt idx="474">
                  <c:v>134.79455566406301</c:v>
                </c:pt>
                <c:pt idx="475">
                  <c:v>132.66783142089801</c:v>
                </c:pt>
                <c:pt idx="476">
                  <c:v>129.52835083007801</c:v>
                </c:pt>
                <c:pt idx="477">
                  <c:v>132.56655883789099</c:v>
                </c:pt>
                <c:pt idx="478">
                  <c:v>129.73091125488301</c:v>
                </c:pt>
                <c:pt idx="479">
                  <c:v>129.73091125488301</c:v>
                </c:pt>
                <c:pt idx="480">
                  <c:v>130.541091918945</c:v>
                </c:pt>
                <c:pt idx="481">
                  <c:v>129.32580566406301</c:v>
                </c:pt>
                <c:pt idx="482">
                  <c:v>129.52835083007801</c:v>
                </c:pt>
                <c:pt idx="483">
                  <c:v>124.565971374512</c:v>
                </c:pt>
                <c:pt idx="484">
                  <c:v>125.98379516601599</c:v>
                </c:pt>
                <c:pt idx="485">
                  <c:v>110.79282379150401</c:v>
                </c:pt>
                <c:pt idx="486">
                  <c:v>101.171875</c:v>
                </c:pt>
                <c:pt idx="487">
                  <c:v>94.386573791503906</c:v>
                </c:pt>
                <c:pt idx="488">
                  <c:v>91.652198791503906</c:v>
                </c:pt>
                <c:pt idx="489">
                  <c:v>90.335647583007798</c:v>
                </c:pt>
                <c:pt idx="490">
                  <c:v>90.031829833984403</c:v>
                </c:pt>
                <c:pt idx="491">
                  <c:v>90.538192749023395</c:v>
                </c:pt>
                <c:pt idx="492">
                  <c:v>91.044563293457003</c:v>
                </c:pt>
                <c:pt idx="493">
                  <c:v>102.28588104248</c:v>
                </c:pt>
                <c:pt idx="494">
                  <c:v>130.23727416992199</c:v>
                </c:pt>
                <c:pt idx="495">
                  <c:v>138.64294433593801</c:v>
                </c:pt>
                <c:pt idx="496">
                  <c:v>141.78240966796901</c:v>
                </c:pt>
                <c:pt idx="497">
                  <c:v>143.50405883789099</c:v>
                </c:pt>
                <c:pt idx="498">
                  <c:v>144.921875</c:v>
                </c:pt>
                <c:pt idx="499">
                  <c:v>145.52951049804699</c:v>
                </c:pt>
                <c:pt idx="500">
                  <c:v>146.23843383789099</c:v>
                </c:pt>
                <c:pt idx="501">
                  <c:v>145.52951049804699</c:v>
                </c:pt>
                <c:pt idx="502">
                  <c:v>142.79513549804699</c:v>
                </c:pt>
                <c:pt idx="503">
                  <c:v>144.01042175293</c:v>
                </c:pt>
                <c:pt idx="504">
                  <c:v>144.212966918945</c:v>
                </c:pt>
                <c:pt idx="505">
                  <c:v>143.50405883789099</c:v>
                </c:pt>
                <c:pt idx="506">
                  <c:v>143.40278625488301</c:v>
                </c:pt>
                <c:pt idx="507">
                  <c:v>142.896408081055</c:v>
                </c:pt>
                <c:pt idx="508">
                  <c:v>142.39004516601599</c:v>
                </c:pt>
                <c:pt idx="509">
                  <c:v>141.98495483398401</c:v>
                </c:pt>
                <c:pt idx="510">
                  <c:v>142.39004516601599</c:v>
                </c:pt>
                <c:pt idx="511">
                  <c:v>140.66841125488301</c:v>
                </c:pt>
                <c:pt idx="512">
                  <c:v>130.74363708496099</c:v>
                </c:pt>
                <c:pt idx="513">
                  <c:v>135.70602416992199</c:v>
                </c:pt>
                <c:pt idx="514">
                  <c:v>136.61747741699199</c:v>
                </c:pt>
                <c:pt idx="515">
                  <c:v>127.300346374512</c:v>
                </c:pt>
                <c:pt idx="516">
                  <c:v>132.56655883789099</c:v>
                </c:pt>
                <c:pt idx="517">
                  <c:v>135.19966125488301</c:v>
                </c:pt>
                <c:pt idx="518">
                  <c:v>135.60475158691401</c:v>
                </c:pt>
                <c:pt idx="519">
                  <c:v>126.085067749023</c:v>
                </c:pt>
                <c:pt idx="520">
                  <c:v>132.06018066406301</c:v>
                </c:pt>
                <c:pt idx="521">
                  <c:v>134.28819274902301</c:v>
                </c:pt>
                <c:pt idx="522">
                  <c:v>132.16145324707</c:v>
                </c:pt>
                <c:pt idx="523">
                  <c:v>129.83218383789099</c:v>
                </c:pt>
                <c:pt idx="524">
                  <c:v>133.17419433593801</c:v>
                </c:pt>
                <c:pt idx="525">
                  <c:v>124.66724395752</c:v>
                </c:pt>
                <c:pt idx="526">
                  <c:v>129.83218383789099</c:v>
                </c:pt>
                <c:pt idx="527">
                  <c:v>127.806716918945</c:v>
                </c:pt>
                <c:pt idx="528">
                  <c:v>127.806716918945</c:v>
                </c:pt>
                <c:pt idx="529">
                  <c:v>129.224533081055</c:v>
                </c:pt>
                <c:pt idx="530">
                  <c:v>126.18634033203099</c:v>
                </c:pt>
                <c:pt idx="531">
                  <c:v>123.148147583008</c:v>
                </c:pt>
                <c:pt idx="532">
                  <c:v>126.996528625488</c:v>
                </c:pt>
                <c:pt idx="533">
                  <c:v>121.62905120849599</c:v>
                </c:pt>
                <c:pt idx="534">
                  <c:v>127.09780120849599</c:v>
                </c:pt>
                <c:pt idx="535">
                  <c:v>122.13542175293</c:v>
                </c:pt>
                <c:pt idx="536">
                  <c:v>127.19907379150401</c:v>
                </c:pt>
                <c:pt idx="537">
                  <c:v>123.45196533203099</c:v>
                </c:pt>
                <c:pt idx="538">
                  <c:v>121.223960876465</c:v>
                </c:pt>
                <c:pt idx="539">
                  <c:v>122.236694335938</c:v>
                </c:pt>
                <c:pt idx="540">
                  <c:v>121.527778625488</c:v>
                </c:pt>
                <c:pt idx="541">
                  <c:v>120.616317749023</c:v>
                </c:pt>
                <c:pt idx="542">
                  <c:v>121.02141571044901</c:v>
                </c:pt>
                <c:pt idx="543">
                  <c:v>119.097221374512</c:v>
                </c:pt>
                <c:pt idx="544">
                  <c:v>118.08449554443401</c:v>
                </c:pt>
                <c:pt idx="545">
                  <c:v>117.07176208496099</c:v>
                </c:pt>
                <c:pt idx="546">
                  <c:v>119.19849395752</c:v>
                </c:pt>
                <c:pt idx="547">
                  <c:v>119.704864501953</c:v>
                </c:pt>
                <c:pt idx="548">
                  <c:v>118.99594879150401</c:v>
                </c:pt>
                <c:pt idx="549">
                  <c:v>121.42650604248</c:v>
                </c:pt>
                <c:pt idx="550">
                  <c:v>120.008682250977</c:v>
                </c:pt>
                <c:pt idx="551">
                  <c:v>119.19849395752</c:v>
                </c:pt>
                <c:pt idx="552">
                  <c:v>121.223960876465</c:v>
                </c:pt>
                <c:pt idx="553">
                  <c:v>122.64178466796901</c:v>
                </c:pt>
                <c:pt idx="554">
                  <c:v>120.008682250977</c:v>
                </c:pt>
                <c:pt idx="555">
                  <c:v>121.42650604248</c:v>
                </c:pt>
                <c:pt idx="556">
                  <c:v>120.008682250977</c:v>
                </c:pt>
                <c:pt idx="557">
                  <c:v>119.097221374512</c:v>
                </c:pt>
                <c:pt idx="558">
                  <c:v>122.54051208496099</c:v>
                </c:pt>
                <c:pt idx="559">
                  <c:v>114.43865966796901</c:v>
                </c:pt>
                <c:pt idx="560">
                  <c:v>104.31134033203099</c:v>
                </c:pt>
                <c:pt idx="561">
                  <c:v>99.348960876464801</c:v>
                </c:pt>
                <c:pt idx="562">
                  <c:v>95.601852416992202</c:v>
                </c:pt>
                <c:pt idx="563">
                  <c:v>93.373840332031307</c:v>
                </c:pt>
                <c:pt idx="564">
                  <c:v>92.057289123535199</c:v>
                </c:pt>
                <c:pt idx="565">
                  <c:v>93.677665710449205</c:v>
                </c:pt>
                <c:pt idx="566">
                  <c:v>99.348960876464801</c:v>
                </c:pt>
                <c:pt idx="567">
                  <c:v>123.75579071044901</c:v>
                </c:pt>
                <c:pt idx="568">
                  <c:v>134.28819274902301</c:v>
                </c:pt>
                <c:pt idx="569">
                  <c:v>138.13658142089801</c:v>
                </c:pt>
                <c:pt idx="570">
                  <c:v>141.17477416992199</c:v>
                </c:pt>
                <c:pt idx="571">
                  <c:v>144.41551208496099</c:v>
                </c:pt>
                <c:pt idx="572">
                  <c:v>145.83332824707</c:v>
                </c:pt>
                <c:pt idx="573">
                  <c:v>147.04861450195301</c:v>
                </c:pt>
                <c:pt idx="574">
                  <c:v>141.98495483398401</c:v>
                </c:pt>
                <c:pt idx="575">
                  <c:v>129.02198791503901</c:v>
                </c:pt>
                <c:pt idx="576">
                  <c:v>133.57928466796901</c:v>
                </c:pt>
                <c:pt idx="577">
                  <c:v>139.453125</c:v>
                </c:pt>
                <c:pt idx="578">
                  <c:v>140.66841125488301</c:v>
                </c:pt>
                <c:pt idx="579">
                  <c:v>131.35127258300801</c:v>
                </c:pt>
                <c:pt idx="580">
                  <c:v>118.99594879150401</c:v>
                </c:pt>
                <c:pt idx="581">
                  <c:v>125.98379516601599</c:v>
                </c:pt>
                <c:pt idx="582">
                  <c:v>134.79455566406301</c:v>
                </c:pt>
                <c:pt idx="583">
                  <c:v>129.629638671875</c:v>
                </c:pt>
                <c:pt idx="584">
                  <c:v>135.098388671875</c:v>
                </c:pt>
                <c:pt idx="585">
                  <c:v>135.80729675293</c:v>
                </c:pt>
                <c:pt idx="586">
                  <c:v>138.744216918945</c:v>
                </c:pt>
                <c:pt idx="587">
                  <c:v>143.20022583007801</c:v>
                </c:pt>
                <c:pt idx="588">
                  <c:v>144.41551208496099</c:v>
                </c:pt>
                <c:pt idx="589">
                  <c:v>145.52951049804699</c:v>
                </c:pt>
                <c:pt idx="590">
                  <c:v>141.88368225097699</c:v>
                </c:pt>
                <c:pt idx="591">
                  <c:v>140.46585083007801</c:v>
                </c:pt>
                <c:pt idx="592">
                  <c:v>140.46585083007801</c:v>
                </c:pt>
                <c:pt idx="593">
                  <c:v>140.162033081055</c:v>
                </c:pt>
                <c:pt idx="594">
                  <c:v>139.95948791503901</c:v>
                </c:pt>
                <c:pt idx="595">
                  <c:v>139.75694274902301</c:v>
                </c:pt>
                <c:pt idx="596">
                  <c:v>139.453125</c:v>
                </c:pt>
                <c:pt idx="597">
                  <c:v>142.896408081055</c:v>
                </c:pt>
                <c:pt idx="598">
                  <c:v>144.41551208496099</c:v>
                </c:pt>
                <c:pt idx="599">
                  <c:v>144.41551208496099</c:v>
                </c:pt>
                <c:pt idx="600">
                  <c:v>144.41551208496099</c:v>
                </c:pt>
                <c:pt idx="601">
                  <c:v>144.51678466796901</c:v>
                </c:pt>
                <c:pt idx="602">
                  <c:v>144.41551208496099</c:v>
                </c:pt>
                <c:pt idx="603">
                  <c:v>143.20022583007801</c:v>
                </c:pt>
                <c:pt idx="604">
                  <c:v>142.79513549804699</c:v>
                </c:pt>
                <c:pt idx="605">
                  <c:v>142.69386291503901</c:v>
                </c:pt>
                <c:pt idx="606">
                  <c:v>141.68113708496099</c:v>
                </c:pt>
                <c:pt idx="607">
                  <c:v>140.36457824707</c:v>
                </c:pt>
                <c:pt idx="608">
                  <c:v>139.14930725097699</c:v>
                </c:pt>
                <c:pt idx="609">
                  <c:v>137.427658081055</c:v>
                </c:pt>
                <c:pt idx="610">
                  <c:v>135.098388671875</c:v>
                </c:pt>
                <c:pt idx="611">
                  <c:v>133.275466918945</c:v>
                </c:pt>
                <c:pt idx="612">
                  <c:v>132.87037658691401</c:v>
                </c:pt>
                <c:pt idx="613">
                  <c:v>132.56655883789099</c:v>
                </c:pt>
                <c:pt idx="614">
                  <c:v>131.75636291503901</c:v>
                </c:pt>
                <c:pt idx="615">
                  <c:v>131.65509033203099</c:v>
                </c:pt>
                <c:pt idx="616">
                  <c:v>131.55381774902301</c:v>
                </c:pt>
                <c:pt idx="617">
                  <c:v>131.04745483398401</c:v>
                </c:pt>
                <c:pt idx="618">
                  <c:v>130.33854675293</c:v>
                </c:pt>
                <c:pt idx="619">
                  <c:v>129.83218383789099</c:v>
                </c:pt>
                <c:pt idx="620">
                  <c:v>129.83218383789099</c:v>
                </c:pt>
                <c:pt idx="621">
                  <c:v>130.03472900390599</c:v>
                </c:pt>
                <c:pt idx="622">
                  <c:v>129.73091125488301</c:v>
                </c:pt>
                <c:pt idx="623">
                  <c:v>129.73091125488301</c:v>
                </c:pt>
                <c:pt idx="624">
                  <c:v>129.224533081055</c:v>
                </c:pt>
                <c:pt idx="625">
                  <c:v>128.11053466796901</c:v>
                </c:pt>
                <c:pt idx="626">
                  <c:v>127.09780120849599</c:v>
                </c:pt>
                <c:pt idx="627">
                  <c:v>127.19907379150401</c:v>
                </c:pt>
                <c:pt idx="628">
                  <c:v>128.11053466796901</c:v>
                </c:pt>
                <c:pt idx="629">
                  <c:v>128.515625</c:v>
                </c:pt>
                <c:pt idx="630">
                  <c:v>128.71817016601599</c:v>
                </c:pt>
                <c:pt idx="631">
                  <c:v>129.73091125488301</c:v>
                </c:pt>
                <c:pt idx="632">
                  <c:v>131.65509033203099</c:v>
                </c:pt>
                <c:pt idx="633">
                  <c:v>133.17419433593801</c:v>
                </c:pt>
                <c:pt idx="634">
                  <c:v>134.08564758300801</c:v>
                </c:pt>
                <c:pt idx="635">
                  <c:v>133.88310241699199</c:v>
                </c:pt>
                <c:pt idx="636">
                  <c:v>134.18692016601599</c:v>
                </c:pt>
                <c:pt idx="637">
                  <c:v>134.38946533203099</c:v>
                </c:pt>
                <c:pt idx="638">
                  <c:v>126.591438293457</c:v>
                </c:pt>
                <c:pt idx="639">
                  <c:v>130.64236450195301</c:v>
                </c:pt>
                <c:pt idx="640">
                  <c:v>135.40220642089801</c:v>
                </c:pt>
                <c:pt idx="641">
                  <c:v>127.502891540527</c:v>
                </c:pt>
                <c:pt idx="642">
                  <c:v>129.629638671875</c:v>
                </c:pt>
                <c:pt idx="643">
                  <c:v>125.98379516601599</c:v>
                </c:pt>
                <c:pt idx="644">
                  <c:v>122.945602416992</c:v>
                </c:pt>
                <c:pt idx="645">
                  <c:v>121.122688293457</c:v>
                </c:pt>
                <c:pt idx="646">
                  <c:v>122.13542175293</c:v>
                </c:pt>
                <c:pt idx="647">
                  <c:v>128.11053466796901</c:v>
                </c:pt>
                <c:pt idx="648">
                  <c:v>125.477432250977</c:v>
                </c:pt>
                <c:pt idx="649">
                  <c:v>130.541091918945</c:v>
                </c:pt>
                <c:pt idx="650">
                  <c:v>123.55324554443401</c:v>
                </c:pt>
                <c:pt idx="651">
                  <c:v>131.04745483398401</c:v>
                </c:pt>
                <c:pt idx="652">
                  <c:v>137.427658081055</c:v>
                </c:pt>
                <c:pt idx="653">
                  <c:v>140.26330566406301</c:v>
                </c:pt>
                <c:pt idx="654">
                  <c:v>137.832763671875</c:v>
                </c:pt>
                <c:pt idx="655">
                  <c:v>134.79455566406301</c:v>
                </c:pt>
                <c:pt idx="656">
                  <c:v>137.73147583007801</c:v>
                </c:pt>
                <c:pt idx="657">
                  <c:v>138.23785400390599</c:v>
                </c:pt>
                <c:pt idx="658">
                  <c:v>138.744216918945</c:v>
                </c:pt>
                <c:pt idx="659">
                  <c:v>121.42650604248</c:v>
                </c:pt>
                <c:pt idx="660">
                  <c:v>109.88137054443401</c:v>
                </c:pt>
                <c:pt idx="661">
                  <c:v>100.260414123535</c:v>
                </c:pt>
                <c:pt idx="662">
                  <c:v>92.259841918945298</c:v>
                </c:pt>
                <c:pt idx="663">
                  <c:v>91.550926208496094</c:v>
                </c:pt>
                <c:pt idx="664">
                  <c:v>119.603591918945</c:v>
                </c:pt>
                <c:pt idx="665">
                  <c:v>133.07292175293</c:v>
                </c:pt>
                <c:pt idx="666">
                  <c:v>138.64294433593801</c:v>
                </c:pt>
                <c:pt idx="667">
                  <c:v>141.37731933593801</c:v>
                </c:pt>
                <c:pt idx="668">
                  <c:v>142.28877258300801</c:v>
                </c:pt>
                <c:pt idx="669">
                  <c:v>143.20022583007801</c:v>
                </c:pt>
                <c:pt idx="670">
                  <c:v>143.70660400390599</c:v>
                </c:pt>
                <c:pt idx="671">
                  <c:v>143.90914916992199</c:v>
                </c:pt>
                <c:pt idx="672">
                  <c:v>144.31423950195301</c:v>
                </c:pt>
                <c:pt idx="673">
                  <c:v>144.31423950195301</c:v>
                </c:pt>
                <c:pt idx="674">
                  <c:v>143.80787658691401</c:v>
                </c:pt>
                <c:pt idx="675">
                  <c:v>132.66783142089801</c:v>
                </c:pt>
                <c:pt idx="676">
                  <c:v>131.75636291503901</c:v>
                </c:pt>
                <c:pt idx="677">
                  <c:v>127.09780120849599</c:v>
                </c:pt>
                <c:pt idx="678">
                  <c:v>123.958335876465</c:v>
                </c:pt>
                <c:pt idx="679">
                  <c:v>130.84490966796901</c:v>
                </c:pt>
                <c:pt idx="680">
                  <c:v>125.78125</c:v>
                </c:pt>
                <c:pt idx="681">
                  <c:v>136.11111450195301</c:v>
                </c:pt>
                <c:pt idx="682">
                  <c:v>140.162033081055</c:v>
                </c:pt>
                <c:pt idx="683">
                  <c:v>142.1875</c:v>
                </c:pt>
                <c:pt idx="684">
                  <c:v>141.478591918945</c:v>
                </c:pt>
                <c:pt idx="685">
                  <c:v>141.68113708496099</c:v>
                </c:pt>
                <c:pt idx="686">
                  <c:v>141.88368225097699</c:v>
                </c:pt>
                <c:pt idx="687">
                  <c:v>141.68113708496099</c:v>
                </c:pt>
                <c:pt idx="688">
                  <c:v>141.478591918945</c:v>
                </c:pt>
                <c:pt idx="689">
                  <c:v>140.46585083007801</c:v>
                </c:pt>
                <c:pt idx="690">
                  <c:v>140.36457824707</c:v>
                </c:pt>
                <c:pt idx="691">
                  <c:v>138.84548950195301</c:v>
                </c:pt>
                <c:pt idx="692">
                  <c:v>137.12384033203099</c:v>
                </c:pt>
                <c:pt idx="693">
                  <c:v>142.79513549804699</c:v>
                </c:pt>
                <c:pt idx="694">
                  <c:v>144.01042175293</c:v>
                </c:pt>
                <c:pt idx="695">
                  <c:v>144.51678466796901</c:v>
                </c:pt>
                <c:pt idx="696">
                  <c:v>145.42823791503901</c:v>
                </c:pt>
                <c:pt idx="697">
                  <c:v>145.52951049804699</c:v>
                </c:pt>
                <c:pt idx="698">
                  <c:v>143.90914916992199</c:v>
                </c:pt>
                <c:pt idx="699">
                  <c:v>143.80787658691401</c:v>
                </c:pt>
                <c:pt idx="700">
                  <c:v>143.70660400390599</c:v>
                </c:pt>
                <c:pt idx="701">
                  <c:v>143.90914916992199</c:v>
                </c:pt>
                <c:pt idx="702">
                  <c:v>142.79513549804699</c:v>
                </c:pt>
                <c:pt idx="703">
                  <c:v>141.78240966796901</c:v>
                </c:pt>
                <c:pt idx="704">
                  <c:v>140.87095642089801</c:v>
                </c:pt>
                <c:pt idx="705">
                  <c:v>139.25057983398401</c:v>
                </c:pt>
                <c:pt idx="706">
                  <c:v>137.22511291503901</c:v>
                </c:pt>
                <c:pt idx="707">
                  <c:v>135.30093383789099</c:v>
                </c:pt>
                <c:pt idx="708">
                  <c:v>133.78182983398401</c:v>
                </c:pt>
                <c:pt idx="709">
                  <c:v>133.17419433593801</c:v>
                </c:pt>
                <c:pt idx="710">
                  <c:v>132.16145324707</c:v>
                </c:pt>
                <c:pt idx="711">
                  <c:v>131.14872741699199</c:v>
                </c:pt>
                <c:pt idx="712">
                  <c:v>131.04745483398401</c:v>
                </c:pt>
                <c:pt idx="713">
                  <c:v>130.64236450195301</c:v>
                </c:pt>
                <c:pt idx="714">
                  <c:v>130.13600158691401</c:v>
                </c:pt>
                <c:pt idx="715">
                  <c:v>130.23727416992199</c:v>
                </c:pt>
                <c:pt idx="716">
                  <c:v>130.23727416992199</c:v>
                </c:pt>
                <c:pt idx="717">
                  <c:v>130.23727416992199</c:v>
                </c:pt>
                <c:pt idx="718">
                  <c:v>130.23727416992199</c:v>
                </c:pt>
                <c:pt idx="719">
                  <c:v>129.73091125488301</c:v>
                </c:pt>
                <c:pt idx="720">
                  <c:v>129.224533081055</c:v>
                </c:pt>
                <c:pt idx="721">
                  <c:v>129.12326049804699</c:v>
                </c:pt>
                <c:pt idx="722">
                  <c:v>129.02198791503901</c:v>
                </c:pt>
                <c:pt idx="723">
                  <c:v>128.71817016601599</c:v>
                </c:pt>
                <c:pt idx="724">
                  <c:v>128.515625</c:v>
                </c:pt>
                <c:pt idx="725">
                  <c:v>128.515625</c:v>
                </c:pt>
                <c:pt idx="726">
                  <c:v>128.71817016601599</c:v>
                </c:pt>
                <c:pt idx="727">
                  <c:v>129.02198791503901</c:v>
                </c:pt>
                <c:pt idx="728">
                  <c:v>131.55381774902301</c:v>
                </c:pt>
                <c:pt idx="729">
                  <c:v>132.66783142089801</c:v>
                </c:pt>
                <c:pt idx="730">
                  <c:v>133.17419433593801</c:v>
                </c:pt>
                <c:pt idx="731">
                  <c:v>132.87037658691401</c:v>
                </c:pt>
                <c:pt idx="732">
                  <c:v>132.56655883789099</c:v>
                </c:pt>
                <c:pt idx="733">
                  <c:v>131.85763549804699</c:v>
                </c:pt>
                <c:pt idx="734">
                  <c:v>133.78182983398401</c:v>
                </c:pt>
                <c:pt idx="735">
                  <c:v>134.79455566406301</c:v>
                </c:pt>
                <c:pt idx="736">
                  <c:v>134.89582824707</c:v>
                </c:pt>
                <c:pt idx="737">
                  <c:v>135.30093383789099</c:v>
                </c:pt>
                <c:pt idx="738">
                  <c:v>136.31365966796901</c:v>
                </c:pt>
                <c:pt idx="739">
                  <c:v>137.427658081055</c:v>
                </c:pt>
                <c:pt idx="740">
                  <c:v>138.64294433593801</c:v>
                </c:pt>
                <c:pt idx="741">
                  <c:v>140.162033081055</c:v>
                </c:pt>
                <c:pt idx="742">
                  <c:v>139.75694274902301</c:v>
                </c:pt>
                <c:pt idx="743">
                  <c:v>140.76968383789099</c:v>
                </c:pt>
                <c:pt idx="744">
                  <c:v>141.88368225097699</c:v>
                </c:pt>
                <c:pt idx="745">
                  <c:v>142.49131774902301</c:v>
                </c:pt>
                <c:pt idx="746">
                  <c:v>142.99768066406301</c:v>
                </c:pt>
                <c:pt idx="747">
                  <c:v>143.40278625488301</c:v>
                </c:pt>
                <c:pt idx="748">
                  <c:v>143.40278625488301</c:v>
                </c:pt>
                <c:pt idx="749">
                  <c:v>143.50405883789099</c:v>
                </c:pt>
                <c:pt idx="750">
                  <c:v>143.90914916992199</c:v>
                </c:pt>
                <c:pt idx="751">
                  <c:v>144.01042175293</c:v>
                </c:pt>
                <c:pt idx="752">
                  <c:v>143.50405883789099</c:v>
                </c:pt>
                <c:pt idx="753">
                  <c:v>142.69386291503901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54-42AF-9917-902AE8087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6267584"/>
        <c:axId val="-2046263232"/>
      </c:line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Absorción!$E$2:$E$755</c:f>
              <c:numCache>
                <c:formatCode>0%</c:formatCode>
                <c:ptCount val="754"/>
                <c:pt idx="0">
                  <c:v>0.87452342313878706</c:v>
                </c:pt>
                <c:pt idx="1">
                  <c:v>0.92626637178308824</c:v>
                </c:pt>
                <c:pt idx="2">
                  <c:v>0.90618192784926466</c:v>
                </c:pt>
                <c:pt idx="3">
                  <c:v>0.91469223920036813</c:v>
                </c:pt>
                <c:pt idx="4">
                  <c:v>0.90277774586397064</c:v>
                </c:pt>
                <c:pt idx="5">
                  <c:v>0.92626637178308824</c:v>
                </c:pt>
                <c:pt idx="6">
                  <c:v>0.93818079331341886</c:v>
                </c:pt>
                <c:pt idx="7">
                  <c:v>0.91809642118566226</c:v>
                </c:pt>
                <c:pt idx="8">
                  <c:v>0.89086325252757403</c:v>
                </c:pt>
                <c:pt idx="9">
                  <c:v>0.93239379882812479</c:v>
                </c:pt>
                <c:pt idx="10">
                  <c:v>0.95349946863511059</c:v>
                </c:pt>
                <c:pt idx="11">
                  <c:v>0.96303107766544116</c:v>
                </c:pt>
                <c:pt idx="12">
                  <c:v>0.96200977998621295</c:v>
                </c:pt>
                <c:pt idx="13">
                  <c:v>0.95622278550091888</c:v>
                </c:pt>
                <c:pt idx="14">
                  <c:v>0.96881807215073534</c:v>
                </c:pt>
                <c:pt idx="15">
                  <c:v>0.96677562040441178</c:v>
                </c:pt>
                <c:pt idx="16">
                  <c:v>0.96303107766544116</c:v>
                </c:pt>
                <c:pt idx="17">
                  <c:v>0.95486112706801529</c:v>
                </c:pt>
                <c:pt idx="18">
                  <c:v>0.9453295180376835</c:v>
                </c:pt>
                <c:pt idx="19">
                  <c:v>0.9453295180376835</c:v>
                </c:pt>
                <c:pt idx="20">
                  <c:v>0.94294663373161769</c:v>
                </c:pt>
                <c:pt idx="21">
                  <c:v>0.9494144933363976</c:v>
                </c:pt>
                <c:pt idx="22">
                  <c:v>0.93818079331341886</c:v>
                </c:pt>
                <c:pt idx="23">
                  <c:v>0.9453295180376835</c:v>
                </c:pt>
                <c:pt idx="24">
                  <c:v>0.94090411017922826</c:v>
                </c:pt>
                <c:pt idx="25">
                  <c:v>0.94158497529871299</c:v>
                </c:pt>
                <c:pt idx="26">
                  <c:v>0.75639978745404468</c:v>
                </c:pt>
                <c:pt idx="27">
                  <c:v>0.88303373448988942</c:v>
                </c:pt>
                <c:pt idx="28">
                  <c:v>0.88371459960937526</c:v>
                </c:pt>
                <c:pt idx="29">
                  <c:v>0.88031048943014711</c:v>
                </c:pt>
                <c:pt idx="30">
                  <c:v>0.82958876665900705</c:v>
                </c:pt>
                <c:pt idx="31">
                  <c:v>0.80473855411305173</c:v>
                </c:pt>
                <c:pt idx="32">
                  <c:v>0.79895148782169167</c:v>
                </c:pt>
                <c:pt idx="33">
                  <c:v>0.76082519531250004</c:v>
                </c:pt>
                <c:pt idx="34">
                  <c:v>0.7019335219439341</c:v>
                </c:pt>
                <c:pt idx="35">
                  <c:v>0.68763614430147058</c:v>
                </c:pt>
                <c:pt idx="36">
                  <c:v>0.68423203412224243</c:v>
                </c:pt>
                <c:pt idx="37">
                  <c:v>0.70295481962316231</c:v>
                </c:pt>
                <c:pt idx="38">
                  <c:v>0.6804874913832718</c:v>
                </c:pt>
                <c:pt idx="39">
                  <c:v>0.68763614430147058</c:v>
                </c:pt>
                <c:pt idx="40">
                  <c:v>0.66516881606158118</c:v>
                </c:pt>
                <c:pt idx="41">
                  <c:v>0.65427562040441178</c:v>
                </c:pt>
                <c:pt idx="42">
                  <c:v>0.65563727883731648</c:v>
                </c:pt>
                <c:pt idx="43">
                  <c:v>0.65223309685202235</c:v>
                </c:pt>
                <c:pt idx="44">
                  <c:v>0.66516881606158118</c:v>
                </c:pt>
                <c:pt idx="45">
                  <c:v>0.65359475528492705</c:v>
                </c:pt>
                <c:pt idx="46">
                  <c:v>0.64508444393382358</c:v>
                </c:pt>
                <c:pt idx="47">
                  <c:v>0.6369144933363976</c:v>
                </c:pt>
                <c:pt idx="48">
                  <c:v>0.64746732823988939</c:v>
                </c:pt>
                <c:pt idx="49">
                  <c:v>0.63112742704503655</c:v>
                </c:pt>
                <c:pt idx="50">
                  <c:v>0.63521240234375054</c:v>
                </c:pt>
                <c:pt idx="51">
                  <c:v>0.6263616584329047</c:v>
                </c:pt>
                <c:pt idx="52">
                  <c:v>0.6236383415670953</c:v>
                </c:pt>
                <c:pt idx="53">
                  <c:v>0.62976576861213285</c:v>
                </c:pt>
                <c:pt idx="54">
                  <c:v>0.63214872472426475</c:v>
                </c:pt>
                <c:pt idx="55">
                  <c:v>0.66176470588235292</c:v>
                </c:pt>
                <c:pt idx="56">
                  <c:v>0.67946619370404471</c:v>
                </c:pt>
                <c:pt idx="57">
                  <c:v>0.6808278521369483</c:v>
                </c:pt>
                <c:pt idx="58">
                  <c:v>0.69955063763786818</c:v>
                </c:pt>
                <c:pt idx="59">
                  <c:v>0.69818897920496348</c:v>
                </c:pt>
                <c:pt idx="60">
                  <c:v>0.67470042509191175</c:v>
                </c:pt>
                <c:pt idx="61">
                  <c:v>0.71827342313878706</c:v>
                </c:pt>
                <c:pt idx="62">
                  <c:v>0.75878267176011061</c:v>
                </c:pt>
                <c:pt idx="63">
                  <c:v>0.75469769646139762</c:v>
                </c:pt>
                <c:pt idx="64">
                  <c:v>0.74891070197610343</c:v>
                </c:pt>
                <c:pt idx="65">
                  <c:v>0.76320807961856596</c:v>
                </c:pt>
                <c:pt idx="66">
                  <c:v>0.80201523724724233</c:v>
                </c:pt>
                <c:pt idx="67">
                  <c:v>0.80473855411305173</c:v>
                </c:pt>
                <c:pt idx="68">
                  <c:v>0.71827342313878706</c:v>
                </c:pt>
                <c:pt idx="69">
                  <c:v>0.85580063763786818</c:v>
                </c:pt>
                <c:pt idx="70">
                  <c:v>0.80371732823988939</c:v>
                </c:pt>
                <c:pt idx="71">
                  <c:v>0.81665304744944822</c:v>
                </c:pt>
                <c:pt idx="72">
                  <c:v>0.81427016314338241</c:v>
                </c:pt>
                <c:pt idx="73">
                  <c:v>0.81665304744944822</c:v>
                </c:pt>
                <c:pt idx="74">
                  <c:v>0.85784316119025761</c:v>
                </c:pt>
                <c:pt idx="75">
                  <c:v>0.89562909294577175</c:v>
                </c:pt>
                <c:pt idx="76">
                  <c:v>0.89903320312500001</c:v>
                </c:pt>
                <c:pt idx="77">
                  <c:v>0.88643791647518355</c:v>
                </c:pt>
                <c:pt idx="78">
                  <c:v>0.87316176470588236</c:v>
                </c:pt>
                <c:pt idx="79">
                  <c:v>0.89086325252757403</c:v>
                </c:pt>
                <c:pt idx="80">
                  <c:v>0.84252448586856588</c:v>
                </c:pt>
                <c:pt idx="81">
                  <c:v>0.85103486902573533</c:v>
                </c:pt>
                <c:pt idx="82">
                  <c:v>0.77001637178308824</c:v>
                </c:pt>
                <c:pt idx="83">
                  <c:v>0.85784316119025761</c:v>
                </c:pt>
                <c:pt idx="84">
                  <c:v>0.82584422392003654</c:v>
                </c:pt>
                <c:pt idx="85">
                  <c:v>0.8711193129595588</c:v>
                </c:pt>
                <c:pt idx="86">
                  <c:v>0.89903320312500001</c:v>
                </c:pt>
                <c:pt idx="87">
                  <c:v>0.87452342313878706</c:v>
                </c:pt>
                <c:pt idx="88">
                  <c:v>0.88848036822150711</c:v>
                </c:pt>
                <c:pt idx="89">
                  <c:v>0.92150053136488941</c:v>
                </c:pt>
                <c:pt idx="90">
                  <c:v>0.87894883099724241</c:v>
                </c:pt>
                <c:pt idx="91">
                  <c:v>0.91094769646139762</c:v>
                </c:pt>
                <c:pt idx="92">
                  <c:v>0.91367101332720591</c:v>
                </c:pt>
                <c:pt idx="93">
                  <c:v>0.85443897920496348</c:v>
                </c:pt>
                <c:pt idx="94">
                  <c:v>0.91469223920036813</c:v>
                </c:pt>
                <c:pt idx="95">
                  <c:v>0.89699075137867645</c:v>
                </c:pt>
                <c:pt idx="96">
                  <c:v>0.90890524471507406</c:v>
                </c:pt>
                <c:pt idx="97">
                  <c:v>0.94158497529871299</c:v>
                </c:pt>
                <c:pt idx="98">
                  <c:v>0.92047930549172818</c:v>
                </c:pt>
                <c:pt idx="99">
                  <c:v>0.89426743451286816</c:v>
                </c:pt>
                <c:pt idx="100">
                  <c:v>0.92558550666360351</c:v>
                </c:pt>
                <c:pt idx="101">
                  <c:v>0.76218678193933875</c:v>
                </c:pt>
                <c:pt idx="102">
                  <c:v>0.87894883099724241</c:v>
                </c:pt>
                <c:pt idx="103">
                  <c:v>0.90618192784926466</c:v>
                </c:pt>
                <c:pt idx="104">
                  <c:v>0.91469223920036813</c:v>
                </c:pt>
                <c:pt idx="105">
                  <c:v>0.90958603802849292</c:v>
                </c:pt>
                <c:pt idx="106">
                  <c:v>0.96166941923253646</c:v>
                </c:pt>
                <c:pt idx="107">
                  <c:v>0.85784316119025761</c:v>
                </c:pt>
                <c:pt idx="108">
                  <c:v>0.85920481962316231</c:v>
                </c:pt>
                <c:pt idx="109">
                  <c:v>0.83639705882352944</c:v>
                </c:pt>
                <c:pt idx="110">
                  <c:v>0.83435460707720588</c:v>
                </c:pt>
                <c:pt idx="111">
                  <c:v>0.96643518784466942</c:v>
                </c:pt>
                <c:pt idx="112">
                  <c:v>0.96166941923253646</c:v>
                </c:pt>
                <c:pt idx="113">
                  <c:v>0.96200977998621295</c:v>
                </c:pt>
                <c:pt idx="114">
                  <c:v>0.9453295180376835</c:v>
                </c:pt>
                <c:pt idx="115">
                  <c:v>0.95145694508272116</c:v>
                </c:pt>
                <c:pt idx="116">
                  <c:v>0.9453295180376835</c:v>
                </c:pt>
                <c:pt idx="117">
                  <c:v>0.94635074391084584</c:v>
                </c:pt>
                <c:pt idx="118">
                  <c:v>0.93477668313419171</c:v>
                </c:pt>
                <c:pt idx="119">
                  <c:v>0.92150053136488941</c:v>
                </c:pt>
                <c:pt idx="120">
                  <c:v>0.94430829216452228</c:v>
                </c:pt>
                <c:pt idx="121">
                  <c:v>0.93103214039522109</c:v>
                </c:pt>
                <c:pt idx="122">
                  <c:v>0.92047930549172818</c:v>
                </c:pt>
                <c:pt idx="123">
                  <c:v>0.92150053136488941</c:v>
                </c:pt>
                <c:pt idx="124">
                  <c:v>0.90890524471507406</c:v>
                </c:pt>
                <c:pt idx="125">
                  <c:v>0.88031048943014711</c:v>
                </c:pt>
                <c:pt idx="126">
                  <c:v>0.8462690286075365</c:v>
                </c:pt>
                <c:pt idx="127">
                  <c:v>0.83197165096507408</c:v>
                </c:pt>
                <c:pt idx="128">
                  <c:v>0.79997278550091888</c:v>
                </c:pt>
                <c:pt idx="129">
                  <c:v>0.73359202665441181</c:v>
                </c:pt>
                <c:pt idx="130">
                  <c:v>0.69614652745863992</c:v>
                </c:pt>
                <c:pt idx="131">
                  <c:v>0.68899780273437528</c:v>
                </c:pt>
                <c:pt idx="132">
                  <c:v>0.67470042509191175</c:v>
                </c:pt>
                <c:pt idx="133">
                  <c:v>0.68150871725643414</c:v>
                </c:pt>
                <c:pt idx="134">
                  <c:v>0.67027501723345639</c:v>
                </c:pt>
                <c:pt idx="135">
                  <c:v>0.67027501723345639</c:v>
                </c:pt>
                <c:pt idx="136">
                  <c:v>0.65223309685202235</c:v>
                </c:pt>
                <c:pt idx="137">
                  <c:v>0.67367919921875052</c:v>
                </c:pt>
                <c:pt idx="138">
                  <c:v>0.6712963149126836</c:v>
                </c:pt>
                <c:pt idx="139">
                  <c:v>0.66040304744944822</c:v>
                </c:pt>
                <c:pt idx="140">
                  <c:v>0.65563727883731648</c:v>
                </c:pt>
                <c:pt idx="141">
                  <c:v>0.64508444393382358</c:v>
                </c:pt>
                <c:pt idx="142">
                  <c:v>0.64304192038143404</c:v>
                </c:pt>
                <c:pt idx="143">
                  <c:v>0.63827615176930119</c:v>
                </c:pt>
                <c:pt idx="144">
                  <c:v>0.64985021254595643</c:v>
                </c:pt>
                <c:pt idx="145">
                  <c:v>0.6355528349034929</c:v>
                </c:pt>
                <c:pt idx="146">
                  <c:v>0.64304192038143404</c:v>
                </c:pt>
                <c:pt idx="147">
                  <c:v>0.6355528349034929</c:v>
                </c:pt>
                <c:pt idx="148">
                  <c:v>0.6369144933363976</c:v>
                </c:pt>
                <c:pt idx="149">
                  <c:v>0.6355528349034929</c:v>
                </c:pt>
                <c:pt idx="150">
                  <c:v>0.6369144933363976</c:v>
                </c:pt>
                <c:pt idx="151">
                  <c:v>0.66755177217371298</c:v>
                </c:pt>
                <c:pt idx="152">
                  <c:v>0.67095588235294112</c:v>
                </c:pt>
                <c:pt idx="153">
                  <c:v>0.68423203412224243</c:v>
                </c:pt>
                <c:pt idx="154">
                  <c:v>0.69614652745863992</c:v>
                </c:pt>
                <c:pt idx="155">
                  <c:v>0.67265797334558819</c:v>
                </c:pt>
                <c:pt idx="156">
                  <c:v>0.68287037568933873</c:v>
                </c:pt>
                <c:pt idx="157">
                  <c:v>0.7148693129595588</c:v>
                </c:pt>
                <c:pt idx="158">
                  <c:v>0.70772058823529416</c:v>
                </c:pt>
                <c:pt idx="159">
                  <c:v>0.7043164780560659</c:v>
                </c:pt>
                <c:pt idx="160">
                  <c:v>0.72542207605698583</c:v>
                </c:pt>
                <c:pt idx="161">
                  <c:v>0.72201796587775757</c:v>
                </c:pt>
                <c:pt idx="162">
                  <c:v>0.73529411764705888</c:v>
                </c:pt>
                <c:pt idx="163">
                  <c:v>0.77001637178308824</c:v>
                </c:pt>
                <c:pt idx="164">
                  <c:v>0.78805829216452228</c:v>
                </c:pt>
                <c:pt idx="165">
                  <c:v>0.80678107766544116</c:v>
                </c:pt>
                <c:pt idx="166">
                  <c:v>0.81392973058363993</c:v>
                </c:pt>
                <c:pt idx="167">
                  <c:v>0.80848309685202235</c:v>
                </c:pt>
                <c:pt idx="168">
                  <c:v>0.79861112706801529</c:v>
                </c:pt>
                <c:pt idx="169">
                  <c:v>0.82209968118106591</c:v>
                </c:pt>
                <c:pt idx="170">
                  <c:v>0.81427016314338241</c:v>
                </c:pt>
                <c:pt idx="171">
                  <c:v>0.80678107766544116</c:v>
                </c:pt>
                <c:pt idx="172">
                  <c:v>0.84388614430147058</c:v>
                </c:pt>
                <c:pt idx="173">
                  <c:v>0.85103486902573533</c:v>
                </c:pt>
                <c:pt idx="174">
                  <c:v>0.84320535098805172</c:v>
                </c:pt>
                <c:pt idx="175">
                  <c:v>0.74584695255055178</c:v>
                </c:pt>
                <c:pt idx="176">
                  <c:v>0.81665304744944822</c:v>
                </c:pt>
                <c:pt idx="177">
                  <c:v>0.83877994312959536</c:v>
                </c:pt>
                <c:pt idx="178">
                  <c:v>0.85648150275735291</c:v>
                </c:pt>
                <c:pt idx="179">
                  <c:v>0.88984202665441181</c:v>
                </c:pt>
                <c:pt idx="180">
                  <c:v>0.85784316119025761</c:v>
                </c:pt>
                <c:pt idx="181">
                  <c:v>0.85171566233915419</c:v>
                </c:pt>
                <c:pt idx="182">
                  <c:v>0.90618192784926466</c:v>
                </c:pt>
                <c:pt idx="183">
                  <c:v>0.91435187844669175</c:v>
                </c:pt>
                <c:pt idx="184">
                  <c:v>0.91469223920036813</c:v>
                </c:pt>
                <c:pt idx="185">
                  <c:v>0.93103214039522109</c:v>
                </c:pt>
                <c:pt idx="186">
                  <c:v>0.92898961684283066</c:v>
                </c:pt>
                <c:pt idx="187">
                  <c:v>0.91571353687959534</c:v>
                </c:pt>
                <c:pt idx="188">
                  <c:v>0.93001091452205886</c:v>
                </c:pt>
                <c:pt idx="189">
                  <c:v>0.92286218979779411</c:v>
                </c:pt>
                <c:pt idx="190">
                  <c:v>0.92422384823069881</c:v>
                </c:pt>
                <c:pt idx="191">
                  <c:v>0.94294663373161769</c:v>
                </c:pt>
                <c:pt idx="192">
                  <c:v>0.92898961684283066</c:v>
                </c:pt>
                <c:pt idx="193">
                  <c:v>0.91094769646139762</c:v>
                </c:pt>
                <c:pt idx="194">
                  <c:v>0.89222491096047762</c:v>
                </c:pt>
                <c:pt idx="195">
                  <c:v>0.87043844784007407</c:v>
                </c:pt>
                <c:pt idx="196">
                  <c:v>0.86499181410845638</c:v>
                </c:pt>
                <c:pt idx="197">
                  <c:v>0.86771513097426467</c:v>
                </c:pt>
                <c:pt idx="198">
                  <c:v>0.86635347254136008</c:v>
                </c:pt>
                <c:pt idx="199">
                  <c:v>0.86363015567555179</c:v>
                </c:pt>
                <c:pt idx="200">
                  <c:v>0.88507625804227996</c:v>
                </c:pt>
                <c:pt idx="201">
                  <c:v>0.88848036822150711</c:v>
                </c:pt>
                <c:pt idx="202">
                  <c:v>0.96677562040441178</c:v>
                </c:pt>
                <c:pt idx="203">
                  <c:v>0.86363015567555179</c:v>
                </c:pt>
                <c:pt idx="204">
                  <c:v>0.88371459960937526</c:v>
                </c:pt>
                <c:pt idx="205">
                  <c:v>0.86771513097426467</c:v>
                </c:pt>
                <c:pt idx="206">
                  <c:v>0.88507625804227996</c:v>
                </c:pt>
                <c:pt idx="207">
                  <c:v>0.84150325999540465</c:v>
                </c:pt>
                <c:pt idx="208">
                  <c:v>0.82958876665900705</c:v>
                </c:pt>
                <c:pt idx="209">
                  <c:v>0.81052562040441178</c:v>
                </c:pt>
                <c:pt idx="210">
                  <c:v>0.84388614430147058</c:v>
                </c:pt>
                <c:pt idx="211">
                  <c:v>0.9494144933363976</c:v>
                </c:pt>
                <c:pt idx="212">
                  <c:v>0.94090411017922826</c:v>
                </c:pt>
                <c:pt idx="213">
                  <c:v>0.94430829216452228</c:v>
                </c:pt>
                <c:pt idx="214">
                  <c:v>0.92558550666360351</c:v>
                </c:pt>
                <c:pt idx="215">
                  <c:v>0.92150053136488941</c:v>
                </c:pt>
                <c:pt idx="216">
                  <c:v>0.93579790900735293</c:v>
                </c:pt>
                <c:pt idx="217">
                  <c:v>0.91571353687959534</c:v>
                </c:pt>
                <c:pt idx="218">
                  <c:v>0.91230935489430121</c:v>
                </c:pt>
                <c:pt idx="219">
                  <c:v>0.89358656939338232</c:v>
                </c:pt>
                <c:pt idx="220">
                  <c:v>0.88984202665441181</c:v>
                </c:pt>
                <c:pt idx="221">
                  <c:v>0.90516070197610343</c:v>
                </c:pt>
                <c:pt idx="222">
                  <c:v>0.85580063763786818</c:v>
                </c:pt>
                <c:pt idx="223">
                  <c:v>0.81903593175551526</c:v>
                </c:pt>
                <c:pt idx="224">
                  <c:v>0.58380992216222471</c:v>
                </c:pt>
                <c:pt idx="225">
                  <c:v>0.73257080078125059</c:v>
                </c:pt>
                <c:pt idx="226">
                  <c:v>0.69818897920496348</c:v>
                </c:pt>
                <c:pt idx="227">
                  <c:v>0.6900190286075365</c:v>
                </c:pt>
                <c:pt idx="228">
                  <c:v>0.7043164780560659</c:v>
                </c:pt>
                <c:pt idx="229">
                  <c:v>0.69818897920496348</c:v>
                </c:pt>
                <c:pt idx="230">
                  <c:v>0.68899780273437528</c:v>
                </c:pt>
                <c:pt idx="231">
                  <c:v>0.67470042509191175</c:v>
                </c:pt>
                <c:pt idx="232">
                  <c:v>0.67095588235294112</c:v>
                </c:pt>
                <c:pt idx="235">
                  <c:v>0.59197983685661759</c:v>
                </c:pt>
                <c:pt idx="236">
                  <c:v>0.81052562040441178</c:v>
                </c:pt>
                <c:pt idx="237">
                  <c:v>0.80848309685202235</c:v>
                </c:pt>
                <c:pt idx="238">
                  <c:v>0.80575977998621295</c:v>
                </c:pt>
                <c:pt idx="239">
                  <c:v>0.79895148782169167</c:v>
                </c:pt>
                <c:pt idx="240">
                  <c:v>0.65223309685202235</c:v>
                </c:pt>
                <c:pt idx="241">
                  <c:v>0.65087143841911765</c:v>
                </c:pt>
                <c:pt idx="242">
                  <c:v>0.66380715762867648</c:v>
                </c:pt>
                <c:pt idx="243">
                  <c:v>0.64644610236672817</c:v>
                </c:pt>
                <c:pt idx="244">
                  <c:v>0.6355528349034929</c:v>
                </c:pt>
                <c:pt idx="245">
                  <c:v>0.64644610236672817</c:v>
                </c:pt>
                <c:pt idx="246">
                  <c:v>0.67265797334558819</c:v>
                </c:pt>
                <c:pt idx="247">
                  <c:v>0.659381821576287</c:v>
                </c:pt>
                <c:pt idx="248">
                  <c:v>0.71214599609375051</c:v>
                </c:pt>
                <c:pt idx="249">
                  <c:v>0.71623089958639763</c:v>
                </c:pt>
                <c:pt idx="250">
                  <c:v>0.70874181410845638</c:v>
                </c:pt>
                <c:pt idx="251">
                  <c:v>0.70669936236213293</c:v>
                </c:pt>
                <c:pt idx="252">
                  <c:v>0.69342321059283063</c:v>
                </c:pt>
                <c:pt idx="253">
                  <c:v>0.72882625804227996</c:v>
                </c:pt>
                <c:pt idx="254">
                  <c:v>0.75265524471507406</c:v>
                </c:pt>
                <c:pt idx="255">
                  <c:v>0.75469769646139762</c:v>
                </c:pt>
                <c:pt idx="256">
                  <c:v>0.75469769646139762</c:v>
                </c:pt>
                <c:pt idx="257">
                  <c:v>0.75946353687959534</c:v>
                </c:pt>
                <c:pt idx="258">
                  <c:v>0.78465411017922826</c:v>
                </c:pt>
                <c:pt idx="259">
                  <c:v>0.83060999253216938</c:v>
                </c:pt>
                <c:pt idx="260">
                  <c:v>0.83571619370404471</c:v>
                </c:pt>
                <c:pt idx="261">
                  <c:v>0.87792753331801521</c:v>
                </c:pt>
                <c:pt idx="262">
                  <c:v>0.85103486902573533</c:v>
                </c:pt>
                <c:pt idx="263">
                  <c:v>0.85069443646599296</c:v>
                </c:pt>
                <c:pt idx="264">
                  <c:v>0.84116282743566229</c:v>
                </c:pt>
                <c:pt idx="265">
                  <c:v>0.84967321059283063</c:v>
                </c:pt>
                <c:pt idx="266">
                  <c:v>0.83197165096507408</c:v>
                </c:pt>
                <c:pt idx="267">
                  <c:v>0.83639705882352944</c:v>
                </c:pt>
                <c:pt idx="268">
                  <c:v>0.82005715762867648</c:v>
                </c:pt>
                <c:pt idx="269">
                  <c:v>0.8476306870404412</c:v>
                </c:pt>
                <c:pt idx="270">
                  <c:v>0.84320535098805172</c:v>
                </c:pt>
                <c:pt idx="271">
                  <c:v>0.84048203412224243</c:v>
                </c:pt>
                <c:pt idx="272">
                  <c:v>0.81256807215073534</c:v>
                </c:pt>
                <c:pt idx="273">
                  <c:v>0.81086598115808828</c:v>
                </c:pt>
                <c:pt idx="274">
                  <c:v>0.82346133961397061</c:v>
                </c:pt>
                <c:pt idx="275">
                  <c:v>0.84388614430147058</c:v>
                </c:pt>
                <c:pt idx="276">
                  <c:v>0.86499181410845638</c:v>
                </c:pt>
                <c:pt idx="277">
                  <c:v>0.88745914234834589</c:v>
                </c:pt>
                <c:pt idx="278">
                  <c:v>0.89903320312500001</c:v>
                </c:pt>
                <c:pt idx="279">
                  <c:v>0.87792753331801521</c:v>
                </c:pt>
                <c:pt idx="280">
                  <c:v>0.90754358628216936</c:v>
                </c:pt>
                <c:pt idx="281">
                  <c:v>0.93001091452205886</c:v>
                </c:pt>
                <c:pt idx="282">
                  <c:v>0.92286218979779411</c:v>
                </c:pt>
                <c:pt idx="283">
                  <c:v>0.91367101332720591</c:v>
                </c:pt>
                <c:pt idx="284">
                  <c:v>0.93477668313419171</c:v>
                </c:pt>
                <c:pt idx="285">
                  <c:v>0.83639705882352944</c:v>
                </c:pt>
                <c:pt idx="286">
                  <c:v>0.87690630744485298</c:v>
                </c:pt>
                <c:pt idx="287">
                  <c:v>0.83571619370404471</c:v>
                </c:pt>
                <c:pt idx="288">
                  <c:v>0.90618192784926466</c:v>
                </c:pt>
                <c:pt idx="289">
                  <c:v>0.93341502470128701</c:v>
                </c:pt>
                <c:pt idx="290">
                  <c:v>0.89426743451286816</c:v>
                </c:pt>
                <c:pt idx="291">
                  <c:v>0.90890524471507406</c:v>
                </c:pt>
                <c:pt idx="292">
                  <c:v>0.88745914234834589</c:v>
                </c:pt>
                <c:pt idx="293">
                  <c:v>0.8697576545266541</c:v>
                </c:pt>
                <c:pt idx="294">
                  <c:v>0.89222491096047762</c:v>
                </c:pt>
                <c:pt idx="295">
                  <c:v>0.88984202665441181</c:v>
                </c:pt>
                <c:pt idx="296">
                  <c:v>0.91571353687959534</c:v>
                </c:pt>
                <c:pt idx="297">
                  <c:v>0.88167207605698583</c:v>
                </c:pt>
                <c:pt idx="298">
                  <c:v>0.93818079331341886</c:v>
                </c:pt>
                <c:pt idx="299">
                  <c:v>0.83775871725643414</c:v>
                </c:pt>
                <c:pt idx="300">
                  <c:v>0.84967321059283063</c:v>
                </c:pt>
                <c:pt idx="301">
                  <c:v>0.85307732077205878</c:v>
                </c:pt>
                <c:pt idx="302">
                  <c:v>0.81903593175551526</c:v>
                </c:pt>
                <c:pt idx="303">
                  <c:v>0.81733384076286819</c:v>
                </c:pt>
                <c:pt idx="304">
                  <c:v>0.96200977998621295</c:v>
                </c:pt>
                <c:pt idx="305">
                  <c:v>0.95996732823988939</c:v>
                </c:pt>
                <c:pt idx="306">
                  <c:v>0.96064812155330936</c:v>
                </c:pt>
                <c:pt idx="307">
                  <c:v>0.96541396197150708</c:v>
                </c:pt>
                <c:pt idx="308">
                  <c:v>0.95145694508272116</c:v>
                </c:pt>
                <c:pt idx="309">
                  <c:v>0.95996732823988939</c:v>
                </c:pt>
                <c:pt idx="310">
                  <c:v>0.92626637178308824</c:v>
                </c:pt>
                <c:pt idx="311">
                  <c:v>0.92626637178308824</c:v>
                </c:pt>
                <c:pt idx="312">
                  <c:v>0.90890524471507406</c:v>
                </c:pt>
                <c:pt idx="313">
                  <c:v>0.90277774586397064</c:v>
                </c:pt>
                <c:pt idx="314">
                  <c:v>0.82278047449448588</c:v>
                </c:pt>
                <c:pt idx="315">
                  <c:v>0.82720588235294112</c:v>
                </c:pt>
                <c:pt idx="316">
                  <c:v>0.82720588235294112</c:v>
                </c:pt>
                <c:pt idx="317">
                  <c:v>0.87452342313878706</c:v>
                </c:pt>
                <c:pt idx="318">
                  <c:v>0.65359475528492705</c:v>
                </c:pt>
                <c:pt idx="319">
                  <c:v>0.78839872472426475</c:v>
                </c:pt>
                <c:pt idx="320">
                  <c:v>0.77410127527573525</c:v>
                </c:pt>
                <c:pt idx="321">
                  <c:v>0.75027236040900713</c:v>
                </c:pt>
                <c:pt idx="322">
                  <c:v>0.71827342313878706</c:v>
                </c:pt>
                <c:pt idx="323">
                  <c:v>0.7148693129595588</c:v>
                </c:pt>
                <c:pt idx="324">
                  <c:v>0.71146513097426467</c:v>
                </c:pt>
                <c:pt idx="325">
                  <c:v>0.70295481962316231</c:v>
                </c:pt>
                <c:pt idx="326">
                  <c:v>0.69818897920496348</c:v>
                </c:pt>
                <c:pt idx="327">
                  <c:v>0.69682732077205878</c:v>
                </c:pt>
                <c:pt idx="328">
                  <c:v>0.69104032628676471</c:v>
                </c:pt>
                <c:pt idx="329">
                  <c:v>0.69682732077205878</c:v>
                </c:pt>
                <c:pt idx="330">
                  <c:v>0.68559369255514702</c:v>
                </c:pt>
                <c:pt idx="331">
                  <c:v>0.67946619370404471</c:v>
                </c:pt>
                <c:pt idx="332">
                  <c:v>0.6808278521369483</c:v>
                </c:pt>
                <c:pt idx="333">
                  <c:v>0.66619011374080939</c:v>
                </c:pt>
                <c:pt idx="334">
                  <c:v>0.67572165096507408</c:v>
                </c:pt>
                <c:pt idx="335">
                  <c:v>0.67265797334558819</c:v>
                </c:pt>
                <c:pt idx="336">
                  <c:v>0.67572165096507408</c:v>
                </c:pt>
                <c:pt idx="337">
                  <c:v>0.67265797334558819</c:v>
                </c:pt>
                <c:pt idx="338">
                  <c:v>0.67946619370404471</c:v>
                </c:pt>
                <c:pt idx="339">
                  <c:v>0.66619011374080939</c:v>
                </c:pt>
                <c:pt idx="340">
                  <c:v>0.67095588235294112</c:v>
                </c:pt>
                <c:pt idx="341">
                  <c:v>0.66380715762867648</c:v>
                </c:pt>
                <c:pt idx="342">
                  <c:v>0.64985021254595643</c:v>
                </c:pt>
                <c:pt idx="343">
                  <c:v>0.66891343060661768</c:v>
                </c:pt>
                <c:pt idx="344">
                  <c:v>0.69104032628676471</c:v>
                </c:pt>
                <c:pt idx="345">
                  <c:v>0.71827342313878706</c:v>
                </c:pt>
                <c:pt idx="346">
                  <c:v>0.72201796587775757</c:v>
                </c:pt>
                <c:pt idx="347">
                  <c:v>0.72678373448988942</c:v>
                </c:pt>
                <c:pt idx="348">
                  <c:v>0.71827342313878706</c:v>
                </c:pt>
                <c:pt idx="349">
                  <c:v>0.72201796587775757</c:v>
                </c:pt>
                <c:pt idx="350">
                  <c:v>0.77410127527573525</c:v>
                </c:pt>
                <c:pt idx="351">
                  <c:v>0.77852668313419171</c:v>
                </c:pt>
                <c:pt idx="352">
                  <c:v>0.77001637178308824</c:v>
                </c:pt>
                <c:pt idx="353">
                  <c:v>0.76218678193933875</c:v>
                </c:pt>
                <c:pt idx="354">
                  <c:v>0.79146240234375054</c:v>
                </c:pt>
                <c:pt idx="355">
                  <c:v>0.79146240234375054</c:v>
                </c:pt>
                <c:pt idx="356">
                  <c:v>0.65359475528492705</c:v>
                </c:pt>
                <c:pt idx="357">
                  <c:v>0.82209968118106591</c:v>
                </c:pt>
                <c:pt idx="358">
                  <c:v>0.78329245174632356</c:v>
                </c:pt>
                <c:pt idx="359">
                  <c:v>0.88507625804227996</c:v>
                </c:pt>
                <c:pt idx="360">
                  <c:v>0.88507625804227996</c:v>
                </c:pt>
                <c:pt idx="361">
                  <c:v>0.90277774586397064</c:v>
                </c:pt>
                <c:pt idx="362">
                  <c:v>0.83877994312959536</c:v>
                </c:pt>
                <c:pt idx="363">
                  <c:v>0.87316176470588236</c:v>
                </c:pt>
                <c:pt idx="364">
                  <c:v>0.84967321059283063</c:v>
                </c:pt>
                <c:pt idx="365">
                  <c:v>0.87452342313878706</c:v>
                </c:pt>
                <c:pt idx="366">
                  <c:v>0.8711193129595588</c:v>
                </c:pt>
                <c:pt idx="371">
                  <c:v>0.75878267176011061</c:v>
                </c:pt>
                <c:pt idx="372">
                  <c:v>0.88507625804227996</c:v>
                </c:pt>
                <c:pt idx="373">
                  <c:v>0.94430829216452228</c:v>
                </c:pt>
                <c:pt idx="374">
                  <c:v>0.88745914234834589</c:v>
                </c:pt>
                <c:pt idx="375">
                  <c:v>0.90175651999080941</c:v>
                </c:pt>
                <c:pt idx="376">
                  <c:v>0.89426743451286816</c:v>
                </c:pt>
                <c:pt idx="377">
                  <c:v>0.88984202665441181</c:v>
                </c:pt>
                <c:pt idx="378">
                  <c:v>0.91707519531250004</c:v>
                </c:pt>
                <c:pt idx="379">
                  <c:v>0.90039486155790471</c:v>
                </c:pt>
                <c:pt idx="380">
                  <c:v>0.91230935489430121</c:v>
                </c:pt>
                <c:pt idx="381">
                  <c:v>0.94158497529871299</c:v>
                </c:pt>
                <c:pt idx="382">
                  <c:v>0.95962689568014703</c:v>
                </c:pt>
                <c:pt idx="383">
                  <c:v>0.81903593175551526</c:v>
                </c:pt>
                <c:pt idx="384">
                  <c:v>0.84116282743566229</c:v>
                </c:pt>
                <c:pt idx="385">
                  <c:v>0.78090956744025763</c:v>
                </c:pt>
                <c:pt idx="386">
                  <c:v>0.87316176470588236</c:v>
                </c:pt>
                <c:pt idx="387">
                  <c:v>0.90516070197610343</c:v>
                </c:pt>
                <c:pt idx="388">
                  <c:v>0.85784316119025761</c:v>
                </c:pt>
                <c:pt idx="389">
                  <c:v>0.86363015567555179</c:v>
                </c:pt>
                <c:pt idx="390">
                  <c:v>0.84967321059283063</c:v>
                </c:pt>
                <c:pt idx="391">
                  <c:v>0.85307732077205878</c:v>
                </c:pt>
                <c:pt idx="392">
                  <c:v>0.88745914234834589</c:v>
                </c:pt>
                <c:pt idx="393">
                  <c:v>0.86771513097426467</c:v>
                </c:pt>
                <c:pt idx="394">
                  <c:v>0.88984202665441181</c:v>
                </c:pt>
                <c:pt idx="395">
                  <c:v>0.94873362821691176</c:v>
                </c:pt>
                <c:pt idx="396">
                  <c:v>0.86260892980238946</c:v>
                </c:pt>
                <c:pt idx="397">
                  <c:v>0.85580063763786818</c:v>
                </c:pt>
                <c:pt idx="398">
                  <c:v>0.96677562040441178</c:v>
                </c:pt>
                <c:pt idx="399">
                  <c:v>0.97596679687499999</c:v>
                </c:pt>
                <c:pt idx="400">
                  <c:v>0.96337143841911765</c:v>
                </c:pt>
                <c:pt idx="401">
                  <c:v>0.96541396197150708</c:v>
                </c:pt>
                <c:pt idx="402">
                  <c:v>0.96541396197150708</c:v>
                </c:pt>
                <c:pt idx="403">
                  <c:v>0.96303107766544116</c:v>
                </c:pt>
                <c:pt idx="404">
                  <c:v>0.97358384076286819</c:v>
                </c:pt>
                <c:pt idx="405">
                  <c:v>0.96303107766544116</c:v>
                </c:pt>
                <c:pt idx="406">
                  <c:v>0.95894610236672817</c:v>
                </c:pt>
                <c:pt idx="407">
                  <c:v>0.95486112706801529</c:v>
                </c:pt>
                <c:pt idx="408">
                  <c:v>0.93001091452205886</c:v>
                </c:pt>
                <c:pt idx="409">
                  <c:v>0.92558550666360351</c:v>
                </c:pt>
                <c:pt idx="410">
                  <c:v>0.90516070197610343</c:v>
                </c:pt>
                <c:pt idx="411">
                  <c:v>0.92898961684283066</c:v>
                </c:pt>
                <c:pt idx="412">
                  <c:v>0.91571353687959534</c:v>
                </c:pt>
                <c:pt idx="413">
                  <c:v>0.86771513097426467</c:v>
                </c:pt>
                <c:pt idx="414">
                  <c:v>0.83060999253216938</c:v>
                </c:pt>
                <c:pt idx="415">
                  <c:v>0.79861112706801529</c:v>
                </c:pt>
                <c:pt idx="416">
                  <c:v>0.76082519531250004</c:v>
                </c:pt>
                <c:pt idx="417">
                  <c:v>0.73733656939338232</c:v>
                </c:pt>
                <c:pt idx="418">
                  <c:v>0.70772058823529416</c:v>
                </c:pt>
                <c:pt idx="419">
                  <c:v>0.69818897920496348</c:v>
                </c:pt>
                <c:pt idx="420">
                  <c:v>0.6804874913832718</c:v>
                </c:pt>
                <c:pt idx="421">
                  <c:v>0.69818897920496348</c:v>
                </c:pt>
                <c:pt idx="422">
                  <c:v>0.70295481962316231</c:v>
                </c:pt>
                <c:pt idx="423">
                  <c:v>0.73154957490808825</c:v>
                </c:pt>
                <c:pt idx="424">
                  <c:v>0.72746459960937526</c:v>
                </c:pt>
                <c:pt idx="425">
                  <c:v>0.71997551413143412</c:v>
                </c:pt>
                <c:pt idx="426">
                  <c:v>0.7043164780560659</c:v>
                </c:pt>
                <c:pt idx="427">
                  <c:v>0.70159316119025761</c:v>
                </c:pt>
                <c:pt idx="428">
                  <c:v>0.68899780273437528</c:v>
                </c:pt>
                <c:pt idx="429">
                  <c:v>0.6913806870404412</c:v>
                </c:pt>
                <c:pt idx="430">
                  <c:v>0.67027501723345639</c:v>
                </c:pt>
                <c:pt idx="431">
                  <c:v>0.69614652745863992</c:v>
                </c:pt>
                <c:pt idx="432">
                  <c:v>0.69682732077205878</c:v>
                </c:pt>
                <c:pt idx="433">
                  <c:v>0.69818897920496348</c:v>
                </c:pt>
                <c:pt idx="434">
                  <c:v>0.69818897920496348</c:v>
                </c:pt>
                <c:pt idx="435">
                  <c:v>0.68150871725643414</c:v>
                </c:pt>
                <c:pt idx="436">
                  <c:v>0.67776417451746351</c:v>
                </c:pt>
                <c:pt idx="437">
                  <c:v>0.68627448586856588</c:v>
                </c:pt>
                <c:pt idx="438">
                  <c:v>0.68899780273437528</c:v>
                </c:pt>
                <c:pt idx="439">
                  <c:v>0.68627448586856588</c:v>
                </c:pt>
                <c:pt idx="440">
                  <c:v>0.74584695255055178</c:v>
                </c:pt>
                <c:pt idx="441">
                  <c:v>0.73257080078125059</c:v>
                </c:pt>
                <c:pt idx="442">
                  <c:v>0.7230391917509188</c:v>
                </c:pt>
                <c:pt idx="443">
                  <c:v>0.73597491096047762</c:v>
                </c:pt>
                <c:pt idx="444">
                  <c:v>0.74210240981158115</c:v>
                </c:pt>
                <c:pt idx="445">
                  <c:v>0.75027236040900713</c:v>
                </c:pt>
                <c:pt idx="446">
                  <c:v>0.77273961684283066</c:v>
                </c:pt>
                <c:pt idx="447">
                  <c:v>0.75639978745404468</c:v>
                </c:pt>
                <c:pt idx="448">
                  <c:v>0.75946353687959534</c:v>
                </c:pt>
                <c:pt idx="449">
                  <c:v>0.79861112706801529</c:v>
                </c:pt>
                <c:pt idx="450">
                  <c:v>0.82788667566635998</c:v>
                </c:pt>
                <c:pt idx="451">
                  <c:v>0.83435460707720588</c:v>
                </c:pt>
                <c:pt idx="452">
                  <c:v>0.82346133961397061</c:v>
                </c:pt>
                <c:pt idx="453">
                  <c:v>0.82005715762867648</c:v>
                </c:pt>
                <c:pt idx="454">
                  <c:v>0.84252448586856588</c:v>
                </c:pt>
                <c:pt idx="455">
                  <c:v>0.83775871725643414</c:v>
                </c:pt>
                <c:pt idx="456">
                  <c:v>0.85580063763786818</c:v>
                </c:pt>
                <c:pt idx="457">
                  <c:v>0.82788667566635998</c:v>
                </c:pt>
                <c:pt idx="458">
                  <c:v>0.83435460707720588</c:v>
                </c:pt>
                <c:pt idx="459">
                  <c:v>0.84967321059283063</c:v>
                </c:pt>
                <c:pt idx="460">
                  <c:v>0.85920481962316231</c:v>
                </c:pt>
                <c:pt idx="461">
                  <c:v>0.83775871725643414</c:v>
                </c:pt>
                <c:pt idx="462">
                  <c:v>0.86260892980238946</c:v>
                </c:pt>
                <c:pt idx="463">
                  <c:v>0.84967321059283063</c:v>
                </c:pt>
                <c:pt idx="464">
                  <c:v>0.81665304744944822</c:v>
                </c:pt>
                <c:pt idx="465">
                  <c:v>0.78465411017922826</c:v>
                </c:pt>
                <c:pt idx="466">
                  <c:v>0.79793026194852945</c:v>
                </c:pt>
                <c:pt idx="467">
                  <c:v>0.68150871725643414</c:v>
                </c:pt>
                <c:pt idx="468">
                  <c:v>0.75878267176011061</c:v>
                </c:pt>
                <c:pt idx="469">
                  <c:v>0.82584422392003654</c:v>
                </c:pt>
                <c:pt idx="470">
                  <c:v>0.83299294864430118</c:v>
                </c:pt>
                <c:pt idx="471">
                  <c:v>0.83775871725643414</c:v>
                </c:pt>
                <c:pt idx="472">
                  <c:v>0.84967321059283063</c:v>
                </c:pt>
                <c:pt idx="473">
                  <c:v>0.86363015567555179</c:v>
                </c:pt>
                <c:pt idx="474">
                  <c:v>0.89222491096047762</c:v>
                </c:pt>
                <c:pt idx="475">
                  <c:v>0.89426743451286816</c:v>
                </c:pt>
                <c:pt idx="476">
                  <c:v>0.88507625804227996</c:v>
                </c:pt>
                <c:pt idx="477">
                  <c:v>0.89903320312500001</c:v>
                </c:pt>
                <c:pt idx="478">
                  <c:v>0.87520421645220592</c:v>
                </c:pt>
                <c:pt idx="479">
                  <c:v>0.88916123334099295</c:v>
                </c:pt>
                <c:pt idx="480">
                  <c:v>0.93103214039522109</c:v>
                </c:pt>
                <c:pt idx="481">
                  <c:v>0.91707519531250004</c:v>
                </c:pt>
                <c:pt idx="482">
                  <c:v>0.88167207605698583</c:v>
                </c:pt>
                <c:pt idx="483">
                  <c:v>0.83435460707720588</c:v>
                </c:pt>
                <c:pt idx="484">
                  <c:v>0.86022604549632353</c:v>
                </c:pt>
                <c:pt idx="485">
                  <c:v>0.84831155215992704</c:v>
                </c:pt>
                <c:pt idx="486">
                  <c:v>0.83060999253216938</c:v>
                </c:pt>
                <c:pt idx="487">
                  <c:v>0.6369144933363976</c:v>
                </c:pt>
                <c:pt idx="488">
                  <c:v>0.81256807215073534</c:v>
                </c:pt>
                <c:pt idx="489">
                  <c:v>0.80575977998621295</c:v>
                </c:pt>
                <c:pt idx="490">
                  <c:v>0.62159588982077174</c:v>
                </c:pt>
                <c:pt idx="491">
                  <c:v>0.63827615176930119</c:v>
                </c:pt>
                <c:pt idx="492">
                  <c:v>0.65359475528492705</c:v>
                </c:pt>
                <c:pt idx="493">
                  <c:v>0.80575977998621295</c:v>
                </c:pt>
                <c:pt idx="494">
                  <c:v>0.95145694508272116</c:v>
                </c:pt>
                <c:pt idx="495">
                  <c:v>0.96303107766544116</c:v>
                </c:pt>
                <c:pt idx="496">
                  <c:v>0.96166941923253646</c:v>
                </c:pt>
                <c:pt idx="497">
                  <c:v>0.97086059570312477</c:v>
                </c:pt>
                <c:pt idx="498">
                  <c:v>0.97154138901654463</c:v>
                </c:pt>
                <c:pt idx="499">
                  <c:v>0.96200977998621295</c:v>
                </c:pt>
                <c:pt idx="500">
                  <c:v>0.96200977998621295</c:v>
                </c:pt>
                <c:pt idx="501">
                  <c:v>0.92286218979779411</c:v>
                </c:pt>
                <c:pt idx="502">
                  <c:v>0.89222491096047762</c:v>
                </c:pt>
                <c:pt idx="503">
                  <c:v>0.87214053883272113</c:v>
                </c:pt>
                <c:pt idx="504">
                  <c:v>0.85103486902573533</c:v>
                </c:pt>
                <c:pt idx="505">
                  <c:v>0.83197165096507408</c:v>
                </c:pt>
                <c:pt idx="506">
                  <c:v>0.85171566233915419</c:v>
                </c:pt>
                <c:pt idx="507">
                  <c:v>0.84116282743566229</c:v>
                </c:pt>
                <c:pt idx="508">
                  <c:v>0.81427016314338241</c:v>
                </c:pt>
                <c:pt idx="509">
                  <c:v>0.84048203412224243</c:v>
                </c:pt>
                <c:pt idx="510">
                  <c:v>0.81427016314338241</c:v>
                </c:pt>
                <c:pt idx="511">
                  <c:v>0.76456973805147055</c:v>
                </c:pt>
                <c:pt idx="512">
                  <c:v>0.76559096392463288</c:v>
                </c:pt>
                <c:pt idx="513">
                  <c:v>0.75639978745404468</c:v>
                </c:pt>
                <c:pt idx="514">
                  <c:v>0.71214599609375051</c:v>
                </c:pt>
                <c:pt idx="515">
                  <c:v>0.69240198471966941</c:v>
                </c:pt>
                <c:pt idx="516">
                  <c:v>0.69104032628676471</c:v>
                </c:pt>
                <c:pt idx="517">
                  <c:v>0.69240198471966941</c:v>
                </c:pt>
                <c:pt idx="518">
                  <c:v>0.68627448586856588</c:v>
                </c:pt>
                <c:pt idx="519">
                  <c:v>0.67265797334558819</c:v>
                </c:pt>
                <c:pt idx="520">
                  <c:v>0.66619011374080939</c:v>
                </c:pt>
                <c:pt idx="521">
                  <c:v>0.67027501723345639</c:v>
                </c:pt>
                <c:pt idx="522">
                  <c:v>0.65836059570312477</c:v>
                </c:pt>
                <c:pt idx="523">
                  <c:v>0.659381821576287</c:v>
                </c:pt>
                <c:pt idx="524">
                  <c:v>0.66278593175551526</c:v>
                </c:pt>
                <c:pt idx="525">
                  <c:v>0.65427562040441178</c:v>
                </c:pt>
                <c:pt idx="526">
                  <c:v>0.65359475528492705</c:v>
                </c:pt>
                <c:pt idx="527">
                  <c:v>0.63827615176930119</c:v>
                </c:pt>
                <c:pt idx="528">
                  <c:v>0.65563727883731648</c:v>
                </c:pt>
                <c:pt idx="529">
                  <c:v>0.65359475528492705</c:v>
                </c:pt>
                <c:pt idx="530">
                  <c:v>0.65223309685202235</c:v>
                </c:pt>
                <c:pt idx="531">
                  <c:v>0.63895694508272116</c:v>
                </c:pt>
                <c:pt idx="532">
                  <c:v>0.64168026194852945</c:v>
                </c:pt>
                <c:pt idx="533">
                  <c:v>0.64508444393382358</c:v>
                </c:pt>
                <c:pt idx="534">
                  <c:v>0.64746732823988939</c:v>
                </c:pt>
                <c:pt idx="535">
                  <c:v>0.66040304744944822</c:v>
                </c:pt>
                <c:pt idx="536">
                  <c:v>0.68627448586856588</c:v>
                </c:pt>
                <c:pt idx="537">
                  <c:v>0.70703972311580932</c:v>
                </c:pt>
                <c:pt idx="538">
                  <c:v>0.69682732077205878</c:v>
                </c:pt>
                <c:pt idx="539">
                  <c:v>0.7043164780560659</c:v>
                </c:pt>
                <c:pt idx="540">
                  <c:v>0.69614652745863992</c:v>
                </c:pt>
                <c:pt idx="541">
                  <c:v>0.69682732077205878</c:v>
                </c:pt>
                <c:pt idx="542">
                  <c:v>0.75878267176011061</c:v>
                </c:pt>
                <c:pt idx="543">
                  <c:v>0.72065630744485298</c:v>
                </c:pt>
                <c:pt idx="544">
                  <c:v>0.746868178423713</c:v>
                </c:pt>
                <c:pt idx="545">
                  <c:v>0.76218678193933875</c:v>
                </c:pt>
                <c:pt idx="546">
                  <c:v>0.76320807961856596</c:v>
                </c:pt>
                <c:pt idx="547">
                  <c:v>0.78941995059742698</c:v>
                </c:pt>
                <c:pt idx="548">
                  <c:v>0.79895148782169167</c:v>
                </c:pt>
                <c:pt idx="549">
                  <c:v>0.80473855411305173</c:v>
                </c:pt>
                <c:pt idx="550">
                  <c:v>0.84252448586856588</c:v>
                </c:pt>
                <c:pt idx="551">
                  <c:v>0.83639705882352944</c:v>
                </c:pt>
                <c:pt idx="552">
                  <c:v>0.86158770392922823</c:v>
                </c:pt>
                <c:pt idx="553">
                  <c:v>0.87520421645220592</c:v>
                </c:pt>
                <c:pt idx="554">
                  <c:v>0.87214053883272113</c:v>
                </c:pt>
                <c:pt idx="555">
                  <c:v>0.90107572667738944</c:v>
                </c:pt>
                <c:pt idx="556">
                  <c:v>0.90516070197610343</c:v>
                </c:pt>
                <c:pt idx="557">
                  <c:v>0.88031048943014711</c:v>
                </c:pt>
                <c:pt idx="558">
                  <c:v>0.89903320312500001</c:v>
                </c:pt>
                <c:pt idx="559">
                  <c:v>0.68559369255514702</c:v>
                </c:pt>
                <c:pt idx="560">
                  <c:v>0.6355528349034929</c:v>
                </c:pt>
                <c:pt idx="561">
                  <c:v>0.59572441549862121</c:v>
                </c:pt>
                <c:pt idx="562">
                  <c:v>0.58959695255055178</c:v>
                </c:pt>
                <c:pt idx="563">
                  <c:v>0.61308550666360351</c:v>
                </c:pt>
                <c:pt idx="564">
                  <c:v>0.60491555606617642</c:v>
                </c:pt>
                <c:pt idx="565">
                  <c:v>0.61308550666360351</c:v>
                </c:pt>
                <c:pt idx="566">
                  <c:v>0.65699893727022107</c:v>
                </c:pt>
                <c:pt idx="567">
                  <c:v>0.87452342313878706</c:v>
                </c:pt>
                <c:pt idx="568">
                  <c:v>0.89222491096047762</c:v>
                </c:pt>
                <c:pt idx="569">
                  <c:v>0.87520421645220592</c:v>
                </c:pt>
                <c:pt idx="570">
                  <c:v>0.77171839096966943</c:v>
                </c:pt>
                <c:pt idx="571">
                  <c:v>0.96881807215073534</c:v>
                </c:pt>
                <c:pt idx="572">
                  <c:v>0.96745641371783064</c:v>
                </c:pt>
                <c:pt idx="573">
                  <c:v>0.96200977998621295</c:v>
                </c:pt>
                <c:pt idx="574">
                  <c:v>0.81256807215073534</c:v>
                </c:pt>
                <c:pt idx="575">
                  <c:v>0.82584422392003654</c:v>
                </c:pt>
                <c:pt idx="576">
                  <c:v>0.87316176470588236</c:v>
                </c:pt>
                <c:pt idx="577">
                  <c:v>0.85307732077205878</c:v>
                </c:pt>
                <c:pt idx="578">
                  <c:v>0.87690630744485298</c:v>
                </c:pt>
                <c:pt idx="579">
                  <c:v>0.83197165096507408</c:v>
                </c:pt>
                <c:pt idx="580">
                  <c:v>0.71623089958639763</c:v>
                </c:pt>
                <c:pt idx="581">
                  <c:v>0.82005715762867648</c:v>
                </c:pt>
                <c:pt idx="582">
                  <c:v>0.80848309685202235</c:v>
                </c:pt>
                <c:pt idx="583">
                  <c:v>0.76320807961856596</c:v>
                </c:pt>
                <c:pt idx="584">
                  <c:v>0.76797384823069881</c:v>
                </c:pt>
                <c:pt idx="585">
                  <c:v>0.80575977998621295</c:v>
                </c:pt>
                <c:pt idx="586">
                  <c:v>0.85580063763786818</c:v>
                </c:pt>
                <c:pt idx="587">
                  <c:v>0.91094769646139762</c:v>
                </c:pt>
                <c:pt idx="588">
                  <c:v>0.90958603802849292</c:v>
                </c:pt>
                <c:pt idx="589">
                  <c:v>0.95349946863511059</c:v>
                </c:pt>
                <c:pt idx="590">
                  <c:v>0.7904411764705882</c:v>
                </c:pt>
                <c:pt idx="591">
                  <c:v>0.79520694508272116</c:v>
                </c:pt>
                <c:pt idx="592">
                  <c:v>0.79895148782169167</c:v>
                </c:pt>
                <c:pt idx="593">
                  <c:v>0.77852668313419171</c:v>
                </c:pt>
                <c:pt idx="594">
                  <c:v>0.84252448586856588</c:v>
                </c:pt>
                <c:pt idx="595">
                  <c:v>0.79997278550091888</c:v>
                </c:pt>
                <c:pt idx="596">
                  <c:v>0.81052562040441178</c:v>
                </c:pt>
                <c:pt idx="597">
                  <c:v>0.92626637178308824</c:v>
                </c:pt>
                <c:pt idx="598">
                  <c:v>0.91230935489430121</c:v>
                </c:pt>
                <c:pt idx="599">
                  <c:v>0.90413940429687523</c:v>
                </c:pt>
                <c:pt idx="600">
                  <c:v>0.89699075137867645</c:v>
                </c:pt>
                <c:pt idx="601">
                  <c:v>0.89562909294577175</c:v>
                </c:pt>
                <c:pt idx="602">
                  <c:v>0.88643791647518355</c:v>
                </c:pt>
                <c:pt idx="603">
                  <c:v>0.84252448586856588</c:v>
                </c:pt>
                <c:pt idx="604">
                  <c:v>0.81665304744944822</c:v>
                </c:pt>
                <c:pt idx="605">
                  <c:v>0.80916396197150708</c:v>
                </c:pt>
                <c:pt idx="606">
                  <c:v>0.76218678193933875</c:v>
                </c:pt>
                <c:pt idx="607">
                  <c:v>0.75027236040900713</c:v>
                </c:pt>
                <c:pt idx="608">
                  <c:v>0.74925106272977993</c:v>
                </c:pt>
                <c:pt idx="609">
                  <c:v>0.68899780273437528</c:v>
                </c:pt>
                <c:pt idx="610">
                  <c:v>0.67265797334558819</c:v>
                </c:pt>
                <c:pt idx="611">
                  <c:v>0.63827615176930119</c:v>
                </c:pt>
                <c:pt idx="612">
                  <c:v>0.67367919921875052</c:v>
                </c:pt>
                <c:pt idx="613">
                  <c:v>0.6369144933363976</c:v>
                </c:pt>
                <c:pt idx="614">
                  <c:v>0.66176470588235292</c:v>
                </c:pt>
                <c:pt idx="615">
                  <c:v>0.66040304744944822</c:v>
                </c:pt>
                <c:pt idx="616">
                  <c:v>0.65087143841911765</c:v>
                </c:pt>
                <c:pt idx="617">
                  <c:v>0.64644610236672817</c:v>
                </c:pt>
                <c:pt idx="618">
                  <c:v>0.64644610236672817</c:v>
                </c:pt>
                <c:pt idx="619">
                  <c:v>0.62159588982077174</c:v>
                </c:pt>
                <c:pt idx="620">
                  <c:v>0.6369144933363976</c:v>
                </c:pt>
                <c:pt idx="621">
                  <c:v>0.63351031135110347</c:v>
                </c:pt>
                <c:pt idx="622">
                  <c:v>0.63351031135110347</c:v>
                </c:pt>
                <c:pt idx="623">
                  <c:v>0.62840411017922826</c:v>
                </c:pt>
                <c:pt idx="624">
                  <c:v>0.62295754825367644</c:v>
                </c:pt>
                <c:pt idx="625">
                  <c:v>0.62023423138786815</c:v>
                </c:pt>
                <c:pt idx="626">
                  <c:v>0.6277233168658094</c:v>
                </c:pt>
                <c:pt idx="627">
                  <c:v>0.6236383415670953</c:v>
                </c:pt>
                <c:pt idx="628">
                  <c:v>0.6236383415670953</c:v>
                </c:pt>
                <c:pt idx="629">
                  <c:v>0.6277233168658094</c:v>
                </c:pt>
                <c:pt idx="630">
                  <c:v>0.66176470588235292</c:v>
                </c:pt>
                <c:pt idx="631">
                  <c:v>0.65427562040441178</c:v>
                </c:pt>
                <c:pt idx="632">
                  <c:v>0.69104032628676471</c:v>
                </c:pt>
                <c:pt idx="633">
                  <c:v>0.7043164780560659</c:v>
                </c:pt>
                <c:pt idx="634">
                  <c:v>0.67946619370404471</c:v>
                </c:pt>
                <c:pt idx="635">
                  <c:v>0.69682732077205878</c:v>
                </c:pt>
                <c:pt idx="636">
                  <c:v>0.67572165096507408</c:v>
                </c:pt>
                <c:pt idx="637">
                  <c:v>0.70533770392922823</c:v>
                </c:pt>
                <c:pt idx="638">
                  <c:v>0.70295481962316231</c:v>
                </c:pt>
                <c:pt idx="639">
                  <c:v>0.70772058823529416</c:v>
                </c:pt>
                <c:pt idx="640">
                  <c:v>0.72882625804227996</c:v>
                </c:pt>
                <c:pt idx="641">
                  <c:v>0.7230391917509188</c:v>
                </c:pt>
                <c:pt idx="642">
                  <c:v>0.76933550666360351</c:v>
                </c:pt>
                <c:pt idx="643">
                  <c:v>0.7798883415670953</c:v>
                </c:pt>
                <c:pt idx="644">
                  <c:v>0.82209968118106591</c:v>
                </c:pt>
                <c:pt idx="645">
                  <c:v>0.84967321059283063</c:v>
                </c:pt>
                <c:pt idx="646">
                  <c:v>0.86260892980238946</c:v>
                </c:pt>
                <c:pt idx="647">
                  <c:v>0.88167207605698583</c:v>
                </c:pt>
                <c:pt idx="648">
                  <c:v>0.84967321059283063</c:v>
                </c:pt>
                <c:pt idx="649">
                  <c:v>0.8697576545266541</c:v>
                </c:pt>
                <c:pt idx="650">
                  <c:v>0.75401690314797765</c:v>
                </c:pt>
                <c:pt idx="651">
                  <c:v>0.78941995059742698</c:v>
                </c:pt>
                <c:pt idx="652">
                  <c:v>0.82958876665900705</c:v>
                </c:pt>
                <c:pt idx="653">
                  <c:v>0.82788667566635998</c:v>
                </c:pt>
                <c:pt idx="654">
                  <c:v>0.76320807961856596</c:v>
                </c:pt>
                <c:pt idx="655">
                  <c:v>0.76933550666360351</c:v>
                </c:pt>
                <c:pt idx="656">
                  <c:v>0.76456973805147055</c:v>
                </c:pt>
                <c:pt idx="657">
                  <c:v>0.75742101332720591</c:v>
                </c:pt>
                <c:pt idx="658">
                  <c:v>0.5613425939223341</c:v>
                </c:pt>
                <c:pt idx="662">
                  <c:v>0.35607299804687526</c:v>
                </c:pt>
                <c:pt idx="663">
                  <c:v>0.84831155215992704</c:v>
                </c:pt>
                <c:pt idx="664">
                  <c:v>0.87690630744485298</c:v>
                </c:pt>
                <c:pt idx="665">
                  <c:v>0.88167207605698583</c:v>
                </c:pt>
                <c:pt idx="666">
                  <c:v>0.90413940429687523</c:v>
                </c:pt>
                <c:pt idx="667">
                  <c:v>0.92898961684283066</c:v>
                </c:pt>
                <c:pt idx="668">
                  <c:v>0.89562909294577175</c:v>
                </c:pt>
                <c:pt idx="669">
                  <c:v>0.88984202665441181</c:v>
                </c:pt>
                <c:pt idx="670">
                  <c:v>0.91230935489430121</c:v>
                </c:pt>
                <c:pt idx="671">
                  <c:v>0.91094769646139762</c:v>
                </c:pt>
                <c:pt idx="672">
                  <c:v>0.88643791647518355</c:v>
                </c:pt>
                <c:pt idx="673">
                  <c:v>0.85784316119025761</c:v>
                </c:pt>
                <c:pt idx="674">
                  <c:v>0.86363015567555179</c:v>
                </c:pt>
                <c:pt idx="675">
                  <c:v>0.86635347254136008</c:v>
                </c:pt>
                <c:pt idx="676">
                  <c:v>0.85103486902573533</c:v>
                </c:pt>
                <c:pt idx="677">
                  <c:v>0.72678373448988942</c:v>
                </c:pt>
                <c:pt idx="678">
                  <c:v>0.67946619370404471</c:v>
                </c:pt>
                <c:pt idx="679">
                  <c:v>0.68423203412224243</c:v>
                </c:pt>
                <c:pt idx="680">
                  <c:v>0.79895148782169167</c:v>
                </c:pt>
                <c:pt idx="681">
                  <c:v>0.84490737017463291</c:v>
                </c:pt>
                <c:pt idx="682">
                  <c:v>0.87894883099724241</c:v>
                </c:pt>
                <c:pt idx="683">
                  <c:v>0.82856754078584582</c:v>
                </c:pt>
                <c:pt idx="684">
                  <c:v>0.85307732077205878</c:v>
                </c:pt>
                <c:pt idx="685">
                  <c:v>0.82788667566635998</c:v>
                </c:pt>
                <c:pt idx="686">
                  <c:v>0.83775871725643414</c:v>
                </c:pt>
                <c:pt idx="687">
                  <c:v>0.81256807215073534</c:v>
                </c:pt>
                <c:pt idx="688">
                  <c:v>0.80133444393382358</c:v>
                </c:pt>
                <c:pt idx="689">
                  <c:v>0.80371732823988939</c:v>
                </c:pt>
                <c:pt idx="690">
                  <c:v>0.79146240234375054</c:v>
                </c:pt>
                <c:pt idx="691">
                  <c:v>0.76559096392463288</c:v>
                </c:pt>
                <c:pt idx="692">
                  <c:v>0.79793026194852945</c:v>
                </c:pt>
                <c:pt idx="693">
                  <c:v>0.93579790900735293</c:v>
                </c:pt>
                <c:pt idx="694">
                  <c:v>0.91367101332720591</c:v>
                </c:pt>
                <c:pt idx="695">
                  <c:v>0.90890524471507406</c:v>
                </c:pt>
                <c:pt idx="696">
                  <c:v>0.92796839096966943</c:v>
                </c:pt>
                <c:pt idx="697">
                  <c:v>0.89835240981158115</c:v>
                </c:pt>
                <c:pt idx="698">
                  <c:v>0.85001364315257411</c:v>
                </c:pt>
                <c:pt idx="699">
                  <c:v>0.84831155215992704</c:v>
                </c:pt>
                <c:pt idx="700">
                  <c:v>0.84048203412224243</c:v>
                </c:pt>
                <c:pt idx="701">
                  <c:v>0.81903593175551526</c:v>
                </c:pt>
                <c:pt idx="702">
                  <c:v>0.79384528664981646</c:v>
                </c:pt>
                <c:pt idx="703">
                  <c:v>0.78839872472426475</c:v>
                </c:pt>
                <c:pt idx="704">
                  <c:v>0.77171839096966943</c:v>
                </c:pt>
                <c:pt idx="705">
                  <c:v>0.72882625804227996</c:v>
                </c:pt>
                <c:pt idx="706">
                  <c:v>0.67810460707720588</c:v>
                </c:pt>
                <c:pt idx="707">
                  <c:v>0.65836059570312477</c:v>
                </c:pt>
                <c:pt idx="708">
                  <c:v>0.659381821576287</c:v>
                </c:pt>
                <c:pt idx="709">
                  <c:v>0.659381821576287</c:v>
                </c:pt>
                <c:pt idx="710">
                  <c:v>0.64644610236672817</c:v>
                </c:pt>
                <c:pt idx="711">
                  <c:v>0.63895694508272116</c:v>
                </c:pt>
                <c:pt idx="712">
                  <c:v>0.65427562040441178</c:v>
                </c:pt>
                <c:pt idx="713">
                  <c:v>0.6369144933363976</c:v>
                </c:pt>
                <c:pt idx="714">
                  <c:v>0.64644610236672817</c:v>
                </c:pt>
                <c:pt idx="715">
                  <c:v>0.659381821576287</c:v>
                </c:pt>
                <c:pt idx="716">
                  <c:v>0.65087143841911765</c:v>
                </c:pt>
                <c:pt idx="717">
                  <c:v>0.65359475528492705</c:v>
                </c:pt>
                <c:pt idx="718">
                  <c:v>0.63316995059742698</c:v>
                </c:pt>
                <c:pt idx="719">
                  <c:v>0.63351031135110347</c:v>
                </c:pt>
                <c:pt idx="720">
                  <c:v>0.625</c:v>
                </c:pt>
                <c:pt idx="721">
                  <c:v>0.61683004940257402</c:v>
                </c:pt>
                <c:pt idx="722">
                  <c:v>0.6369144933363976</c:v>
                </c:pt>
                <c:pt idx="723">
                  <c:v>0.625</c:v>
                </c:pt>
                <c:pt idx="724">
                  <c:v>0.62159588982077174</c:v>
                </c:pt>
                <c:pt idx="725">
                  <c:v>0.6236383415670953</c:v>
                </c:pt>
                <c:pt idx="726">
                  <c:v>0.6263616584329047</c:v>
                </c:pt>
                <c:pt idx="727">
                  <c:v>0.64304192038143404</c:v>
                </c:pt>
                <c:pt idx="728">
                  <c:v>0.66755177217371298</c:v>
                </c:pt>
                <c:pt idx="729">
                  <c:v>0.66891343060661768</c:v>
                </c:pt>
                <c:pt idx="730">
                  <c:v>0.66516881606158118</c:v>
                </c:pt>
                <c:pt idx="731">
                  <c:v>0.65699893727022107</c:v>
                </c:pt>
                <c:pt idx="732">
                  <c:v>0.66414759018841885</c:v>
                </c:pt>
                <c:pt idx="733">
                  <c:v>0.64882898667279409</c:v>
                </c:pt>
                <c:pt idx="734">
                  <c:v>0.72406048943014711</c:v>
                </c:pt>
                <c:pt idx="735">
                  <c:v>0.7148693129595588</c:v>
                </c:pt>
                <c:pt idx="736">
                  <c:v>0.69682732077205878</c:v>
                </c:pt>
                <c:pt idx="737">
                  <c:v>0.70669936236213293</c:v>
                </c:pt>
                <c:pt idx="738">
                  <c:v>0.72746459960937526</c:v>
                </c:pt>
                <c:pt idx="739">
                  <c:v>0.76082519531250004</c:v>
                </c:pt>
                <c:pt idx="740">
                  <c:v>0.76559096392463288</c:v>
                </c:pt>
                <c:pt idx="741">
                  <c:v>0.76933550666360351</c:v>
                </c:pt>
                <c:pt idx="742">
                  <c:v>0.77410127527573525</c:v>
                </c:pt>
                <c:pt idx="743">
                  <c:v>0.77410127527573525</c:v>
                </c:pt>
                <c:pt idx="744">
                  <c:v>0.83060999253216938</c:v>
                </c:pt>
                <c:pt idx="745">
                  <c:v>0.80133444393382358</c:v>
                </c:pt>
                <c:pt idx="746">
                  <c:v>0.82346133961397061</c:v>
                </c:pt>
                <c:pt idx="747">
                  <c:v>0.82209968118106591</c:v>
                </c:pt>
                <c:pt idx="748">
                  <c:v>0.84252448586856588</c:v>
                </c:pt>
                <c:pt idx="749">
                  <c:v>0.82244011374080939</c:v>
                </c:pt>
                <c:pt idx="750">
                  <c:v>0.83775871725643414</c:v>
                </c:pt>
                <c:pt idx="751">
                  <c:v>0.82107845530790469</c:v>
                </c:pt>
                <c:pt idx="752">
                  <c:v>0.80473855411305173</c:v>
                </c:pt>
                <c:pt idx="753">
                  <c:v>0.79520694508272116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54-42AF-9917-902AE8087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6268128"/>
        <c:axId val="-2046264320"/>
      </c:lineChart>
      <c:catAx>
        <c:axId val="-204626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-2046263232"/>
        <c:crosses val="autoZero"/>
        <c:auto val="1"/>
        <c:lblAlgn val="ctr"/>
        <c:lblOffset val="100"/>
        <c:noMultiLvlLbl val="0"/>
      </c:catAx>
      <c:valAx>
        <c:axId val="-204626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-2046267584"/>
        <c:crosses val="autoZero"/>
        <c:crossBetween val="between"/>
      </c:valAx>
      <c:valAx>
        <c:axId val="-204626432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-2046268128"/>
        <c:crosses val="max"/>
        <c:crossBetween val="between"/>
      </c:valAx>
      <c:catAx>
        <c:axId val="-204626812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46264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Trane!$V$22:$V$24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Trane!$W$22:$W$24</c:f>
              <c:numCache>
                <c:formatCode>General</c:formatCode>
                <c:ptCount val="3"/>
                <c:pt idx="0">
                  <c:v>5.7</c:v>
                </c:pt>
                <c:pt idx="1">
                  <c:v>4.9000000000000004</c:v>
                </c:pt>
                <c:pt idx="2">
                  <c:v>4.0999999999999996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2F-4186-9134-690A47D7DC0D}"/>
            </c:ext>
          </c:extLst>
        </c:ser>
        <c:ser>
          <c:idx val="1"/>
          <c:order val="1"/>
          <c:tx>
            <c:v>7</c:v>
          </c:tx>
          <c:trendline>
            <c:trendlineType val="linear"/>
            <c:dispRSqr val="0"/>
            <c:dispEq val="1"/>
            <c:trendlineLbl>
              <c:layout>
                <c:manualLayout>
                  <c:x val="-0.17046387462202137"/>
                  <c:y val="-0.20946021584184993"/>
                </c:manualLayout>
              </c:layout>
              <c:numFmt formatCode="General" sourceLinked="0"/>
            </c:trendlineLbl>
          </c:trendline>
          <c:xVal>
            <c:numRef>
              <c:f>Trane!$V$25:$V$27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Trane!$W$25:$W$27</c:f>
              <c:numCache>
                <c:formatCode>General</c:formatCode>
                <c:ptCount val="3"/>
                <c:pt idx="0">
                  <c:v>6.1</c:v>
                </c:pt>
                <c:pt idx="1">
                  <c:v>5.2</c:v>
                </c:pt>
                <c:pt idx="2">
                  <c:v>4.4000000000000004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2F-4186-9134-690A47D7DC0D}"/>
            </c:ext>
          </c:extLst>
        </c:ser>
        <c:ser>
          <c:idx val="2"/>
          <c:order val="2"/>
          <c:tx>
            <c:v>9</c:v>
          </c:tx>
          <c:trendline>
            <c:trendlineType val="linear"/>
            <c:dispRSqr val="0"/>
            <c:dispEq val="1"/>
            <c:trendlineLbl>
              <c:layout>
                <c:manualLayout>
                  <c:x val="0.10652984194892753"/>
                  <c:y val="-0.13491488514590314"/>
                </c:manualLayout>
              </c:layout>
              <c:numFmt formatCode="General" sourceLinked="0"/>
            </c:trendlineLbl>
          </c:trendline>
          <c:xVal>
            <c:numRef>
              <c:f>Trane!$V$28:$V$30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Trane!$W$28:$W$30</c:f>
              <c:numCache>
                <c:formatCode>General</c:formatCode>
                <c:ptCount val="3"/>
                <c:pt idx="0">
                  <c:v>6.4</c:v>
                </c:pt>
                <c:pt idx="1">
                  <c:v>5.5</c:v>
                </c:pt>
                <c:pt idx="2">
                  <c:v>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82F-4186-9134-690A47D7D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262144"/>
        <c:axId val="-2046266496"/>
      </c:scatterChart>
      <c:valAx>
        <c:axId val="-2046262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6266496"/>
        <c:crosses val="autoZero"/>
        <c:crossBetween val="midCat"/>
      </c:valAx>
      <c:valAx>
        <c:axId val="-2046266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6262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rendline>
            <c:trendlineType val="poly"/>
            <c:order val="2"/>
            <c:dispRSqr val="0"/>
            <c:dispEq val="1"/>
            <c:trendlineLbl>
              <c:numFmt formatCode="General" sourceLinked="0"/>
            </c:trendlineLbl>
          </c:trendline>
          <c:xVal>
            <c:numRef>
              <c:f>Trane!$AA$21:$AE$21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Trane!$AA$22:$AE$22</c:f>
              <c:numCache>
                <c:formatCode>General</c:formatCode>
                <c:ptCount val="5"/>
                <c:pt idx="0">
                  <c:v>5.6999999999999993</c:v>
                </c:pt>
                <c:pt idx="1">
                  <c:v>5.9009999999999998</c:v>
                </c:pt>
                <c:pt idx="2">
                  <c:v>6.0830000000000002</c:v>
                </c:pt>
                <c:pt idx="3">
                  <c:v>6.2418000000000005</c:v>
                </c:pt>
                <c:pt idx="4">
                  <c:v>6.3829999999999991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91-4870-A35C-81AA41709CFF}"/>
            </c:ext>
          </c:extLst>
        </c:ser>
        <c:ser>
          <c:idx val="1"/>
          <c:order val="1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1671834074489136"/>
                  <c:y val="3.2070685918166378E-2"/>
                </c:manualLayout>
              </c:layout>
              <c:numFmt formatCode="General" sourceLinked="0"/>
            </c:trendlineLbl>
          </c:trendline>
          <c:xVal>
            <c:numRef>
              <c:f>Trane!$AA$21:$AE$21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Trane!$AA$23:$AE$23</c:f>
              <c:numCache>
                <c:formatCode>General</c:formatCode>
                <c:ptCount val="5"/>
                <c:pt idx="0">
                  <c:v>5.5399999999999991</c:v>
                </c:pt>
                <c:pt idx="1">
                  <c:v>5.7364999999999995</c:v>
                </c:pt>
                <c:pt idx="2">
                  <c:v>5.9130000000000003</c:v>
                </c:pt>
                <c:pt idx="3">
                  <c:v>6.0736999999999997</c:v>
                </c:pt>
                <c:pt idx="4">
                  <c:v>6.2129999999999992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91-4870-A35C-81AA41709CFF}"/>
            </c:ext>
          </c:extLst>
        </c:ser>
        <c:ser>
          <c:idx val="2"/>
          <c:order val="2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1671834074489136"/>
                  <c:y val="8.3843445516953066E-2"/>
                </c:manualLayout>
              </c:layout>
              <c:numFmt formatCode="General" sourceLinked="0"/>
            </c:trendlineLbl>
          </c:trendline>
          <c:xVal>
            <c:numRef>
              <c:f>Trane!$AA$21:$AE$21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Trane!$AA$24:$AE$24</c:f>
              <c:numCache>
                <c:formatCode>General</c:formatCode>
                <c:ptCount val="5"/>
                <c:pt idx="0">
                  <c:v>5.379999999999999</c:v>
                </c:pt>
                <c:pt idx="1">
                  <c:v>5.5685000000000002</c:v>
                </c:pt>
                <c:pt idx="2">
                  <c:v>5.7429999999999994</c:v>
                </c:pt>
                <c:pt idx="3">
                  <c:v>5.8993000000000002</c:v>
                </c:pt>
                <c:pt idx="4">
                  <c:v>6.0429999999999984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91-4870-A35C-81AA41709CFF}"/>
            </c:ext>
          </c:extLst>
        </c:ser>
        <c:ser>
          <c:idx val="3"/>
          <c:order val="3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2491605013060704"/>
                  <c:y val="0.15299861652429542"/>
                </c:manualLayout>
              </c:layout>
              <c:numFmt formatCode="General" sourceLinked="0"/>
            </c:trendlineLbl>
          </c:trendline>
          <c:xVal>
            <c:numRef>
              <c:f>Trane!$AA$21:$AE$21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Trane!$AA$25:$AE$25</c:f>
              <c:numCache>
                <c:formatCode>General</c:formatCode>
                <c:ptCount val="5"/>
                <c:pt idx="0">
                  <c:v>5.2199999999999989</c:v>
                </c:pt>
                <c:pt idx="1">
                  <c:v>5.4039999999999999</c:v>
                </c:pt>
                <c:pt idx="2">
                  <c:v>5.5729999999999995</c:v>
                </c:pt>
                <c:pt idx="3">
                  <c:v>5.7311999999999994</c:v>
                </c:pt>
                <c:pt idx="4">
                  <c:v>5.8729999999999984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91-4870-A35C-81AA41709CFF}"/>
            </c:ext>
          </c:extLst>
        </c:ser>
        <c:ser>
          <c:idx val="4"/>
          <c:order val="4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2696547747703597"/>
                  <c:y val="0.24996591952408886"/>
                </c:manualLayout>
              </c:layout>
              <c:numFmt formatCode="General" sourceLinked="0"/>
            </c:trendlineLbl>
          </c:trendline>
          <c:xVal>
            <c:numRef>
              <c:f>Trane!$AA$21:$AE$21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Trane!$AA$26:$AE$26</c:f>
              <c:numCache>
                <c:formatCode>General</c:formatCode>
                <c:ptCount val="5"/>
                <c:pt idx="0">
                  <c:v>5.0599999999999996</c:v>
                </c:pt>
                <c:pt idx="1">
                  <c:v>5.2360000000000007</c:v>
                </c:pt>
                <c:pt idx="2">
                  <c:v>5.4029999999999996</c:v>
                </c:pt>
                <c:pt idx="3">
                  <c:v>5.5568</c:v>
                </c:pt>
                <c:pt idx="4">
                  <c:v>5.7029999999999985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91-4870-A35C-81AA41709CFF}"/>
            </c:ext>
          </c:extLst>
        </c:ser>
        <c:ser>
          <c:idx val="5"/>
          <c:order val="5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187677680913199"/>
                  <c:y val="0.35040943106683131"/>
                </c:manualLayout>
              </c:layout>
              <c:numFmt formatCode="General" sourceLinked="0"/>
            </c:trendlineLbl>
          </c:trendline>
          <c:xVal>
            <c:numRef>
              <c:f>Trane!$AA$21:$AE$21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Trane!$AA$27:$AE$27</c:f>
              <c:numCache>
                <c:formatCode>General</c:formatCode>
                <c:ptCount val="5"/>
                <c:pt idx="0">
                  <c:v>4.8999999999999995</c:v>
                </c:pt>
                <c:pt idx="1">
                  <c:v>5.0715000000000003</c:v>
                </c:pt>
                <c:pt idx="2">
                  <c:v>5.2329999999999997</c:v>
                </c:pt>
                <c:pt idx="3">
                  <c:v>5.3887</c:v>
                </c:pt>
                <c:pt idx="4">
                  <c:v>5.5329999999999986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C91-4870-A35C-81AA41709CFF}"/>
            </c:ext>
          </c:extLst>
        </c:ser>
        <c:ser>
          <c:idx val="6"/>
          <c:order val="6"/>
          <c:tx>
            <c:strRef>
              <c:f>Trane!$AA$21:$AC$21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tx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2081719543774939"/>
                  <c:y val="0.38827653527753597"/>
                </c:manualLayout>
              </c:layout>
              <c:numFmt formatCode="General" sourceLinked="0"/>
            </c:trendlineLbl>
          </c:trendline>
          <c:xVal>
            <c:numRef>
              <c:f>Trane!$AA$21:$AE$21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Trane!$AA$28:$AE$28</c:f>
              <c:numCache>
                <c:formatCode>General</c:formatCode>
                <c:ptCount val="5"/>
                <c:pt idx="0">
                  <c:v>4.7399999999999993</c:v>
                </c:pt>
                <c:pt idx="1">
                  <c:v>4.9035000000000002</c:v>
                </c:pt>
                <c:pt idx="2">
                  <c:v>5.0629999999999997</c:v>
                </c:pt>
                <c:pt idx="3">
                  <c:v>5.2142999999999997</c:v>
                </c:pt>
                <c:pt idx="4">
                  <c:v>5.3629999999999987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C91-4870-A35C-81AA41709CFF}"/>
            </c:ext>
          </c:extLst>
        </c:ser>
        <c:ser>
          <c:idx val="7"/>
          <c:order val="7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2081719543774939"/>
                  <c:y val="0.42266688346776693"/>
                </c:manualLayout>
              </c:layout>
              <c:numFmt formatCode="General" sourceLinked="0"/>
            </c:trendlineLbl>
          </c:trendline>
          <c:xVal>
            <c:numRef>
              <c:f>Trane!$AA$21:$AE$21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Trane!$AA$29:$AE$29</c:f>
              <c:numCache>
                <c:formatCode>General</c:formatCode>
                <c:ptCount val="5"/>
                <c:pt idx="0">
                  <c:v>4.5799999999999992</c:v>
                </c:pt>
                <c:pt idx="1">
                  <c:v>4.7389999999999999</c:v>
                </c:pt>
                <c:pt idx="2">
                  <c:v>4.8929999999999998</c:v>
                </c:pt>
                <c:pt idx="3">
                  <c:v>5.0461999999999998</c:v>
                </c:pt>
                <c:pt idx="4">
                  <c:v>5.1929999999999987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C91-4870-A35C-81AA41709CFF}"/>
            </c:ext>
          </c:extLst>
        </c:ser>
        <c:ser>
          <c:idx val="8"/>
          <c:order val="8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187677680913199"/>
                  <c:y val="0.47096316078484257"/>
                </c:manualLayout>
              </c:layout>
              <c:numFmt formatCode="General" sourceLinked="0"/>
            </c:trendlineLbl>
          </c:trendline>
          <c:xVal>
            <c:numRef>
              <c:f>Trane!$AA$21:$AE$21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Trane!$AA$30:$AE$30</c:f>
              <c:numCache>
                <c:formatCode>General</c:formatCode>
                <c:ptCount val="5"/>
                <c:pt idx="0">
                  <c:v>4.419999999999999</c:v>
                </c:pt>
                <c:pt idx="1">
                  <c:v>4.5709999999999997</c:v>
                </c:pt>
                <c:pt idx="2">
                  <c:v>4.7229999999999999</c:v>
                </c:pt>
                <c:pt idx="3">
                  <c:v>4.8718000000000004</c:v>
                </c:pt>
                <c:pt idx="4">
                  <c:v>5.0229999999999988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C91-4870-A35C-81AA41709CFF}"/>
            </c:ext>
          </c:extLst>
        </c:ser>
        <c:ser>
          <c:idx val="9"/>
          <c:order val="9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1978634961971858"/>
                  <c:y val="0.52273619412239059"/>
                </c:manualLayout>
              </c:layout>
              <c:numFmt formatCode="General" sourceLinked="0"/>
            </c:trendlineLbl>
          </c:trendline>
          <c:xVal>
            <c:numRef>
              <c:f>Trane!$AA$21:$AE$21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Trane!$AA$31:$AE$31</c:f>
              <c:numCache>
                <c:formatCode>General</c:formatCode>
                <c:ptCount val="5"/>
                <c:pt idx="0">
                  <c:v>4.2599999999999989</c:v>
                </c:pt>
                <c:pt idx="1">
                  <c:v>4.4065000000000003</c:v>
                </c:pt>
                <c:pt idx="2">
                  <c:v>4.5529999999999999</c:v>
                </c:pt>
                <c:pt idx="3">
                  <c:v>4.7037000000000004</c:v>
                </c:pt>
                <c:pt idx="4">
                  <c:v>4.8529999999999989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C91-4870-A35C-81AA41709CFF}"/>
            </c:ext>
          </c:extLst>
        </c:ser>
        <c:ser>
          <c:idx val="10"/>
          <c:order val="10"/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-2.6718239080384835E-2"/>
                  <c:y val="0.41111428648075432"/>
                </c:manualLayout>
              </c:layout>
              <c:numFmt formatCode="General" sourceLinked="0"/>
            </c:trendlineLbl>
          </c:trendline>
          <c:xVal>
            <c:numRef>
              <c:f>Trane!$AA$21:$AE$21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Trane!$AA$32:$AE$32</c:f>
              <c:numCache>
                <c:formatCode>General</c:formatCode>
                <c:ptCount val="5"/>
                <c:pt idx="0">
                  <c:v>4.0999999999999988</c:v>
                </c:pt>
                <c:pt idx="1">
                  <c:v>4.2385000000000002</c:v>
                </c:pt>
                <c:pt idx="2">
                  <c:v>4.383</c:v>
                </c:pt>
                <c:pt idx="3">
                  <c:v>4.5293000000000001</c:v>
                </c:pt>
                <c:pt idx="4">
                  <c:v>4.6829999999999989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C91-4870-A35C-81AA41709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264864"/>
        <c:axId val="-2046273568"/>
      </c:scatterChart>
      <c:valAx>
        <c:axId val="-204626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6273568"/>
        <c:crosses val="autoZero"/>
        <c:crossBetween val="midCat"/>
      </c:valAx>
      <c:valAx>
        <c:axId val="-2046273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6264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0.43378521560539196"/>
                  <c:y val="-2.6999889253940708E-2"/>
                </c:manualLayout>
              </c:layout>
              <c:numFmt formatCode="General" sourceLinked="0"/>
            </c:trendlineLbl>
          </c:trendline>
          <c:xVal>
            <c:numRef>
              <c:f>Trane!$U$7:$U$11</c:f>
              <c:numCache>
                <c:formatCode>0.00</c:formatCode>
                <c:ptCount val="5"/>
                <c:pt idx="0">
                  <c:v>100</c:v>
                </c:pt>
                <c:pt idx="1">
                  <c:v>90</c:v>
                </c:pt>
                <c:pt idx="2">
                  <c:v>80</c:v>
                </c:pt>
                <c:pt idx="3">
                  <c:v>70</c:v>
                </c:pt>
                <c:pt idx="4">
                  <c:v>60</c:v>
                </c:pt>
              </c:numCache>
            </c:numRef>
          </c:xVal>
          <c:yVal>
            <c:numRef>
              <c:f>Trane!$AD$7:$AD$11</c:f>
              <c:numCache>
                <c:formatCode>0.00</c:formatCode>
                <c:ptCount val="5"/>
                <c:pt idx="0">
                  <c:v>5.177816901408451</c:v>
                </c:pt>
                <c:pt idx="1">
                  <c:v>5.2106299212598426</c:v>
                </c:pt>
                <c:pt idx="2">
                  <c:v>5.1041214750542299</c:v>
                </c:pt>
                <c:pt idx="3">
                  <c:v>4.8492343934040045</c:v>
                </c:pt>
                <c:pt idx="4">
                  <c:v>4.6373193166885676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D8-486B-B931-E6CFCD4D3842}"/>
            </c:ext>
          </c:extLst>
        </c:ser>
        <c:ser>
          <c:idx val="1"/>
          <c:order val="1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0.10504064502704592"/>
                  <c:y val="0.34408351215879385"/>
                </c:manualLayout>
              </c:layout>
              <c:numFmt formatCode="General" sourceLinked="0"/>
            </c:trendlineLbl>
          </c:trendline>
          <c:xVal>
            <c:numRef>
              <c:f>Trane!$U$12:$U$15</c:f>
              <c:numCache>
                <c:formatCode>0.00</c:formatCode>
                <c:ptCount val="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</c:numCache>
            </c:numRef>
          </c:xVal>
          <c:yVal>
            <c:numRef>
              <c:f>Trane!$AD$12:$AD$15</c:f>
              <c:numCache>
                <c:formatCode>0.00</c:formatCode>
                <c:ptCount val="4"/>
                <c:pt idx="0">
                  <c:v>5.2238010657193614</c:v>
                </c:pt>
                <c:pt idx="1">
                  <c:v>5.2405345211581293</c:v>
                </c:pt>
                <c:pt idx="2">
                  <c:v>4.6569920844327175</c:v>
                </c:pt>
                <c:pt idx="3">
                  <c:v>3.448680351906158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D8-486B-B931-E6CFCD4D3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260512"/>
        <c:axId val="-2046276832"/>
      </c:scatterChart>
      <c:valAx>
        <c:axId val="-204626051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-2046276832"/>
        <c:crosses val="autoZero"/>
        <c:crossBetween val="midCat"/>
      </c:valAx>
      <c:valAx>
        <c:axId val="-204627683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2046260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rendline>
            <c:trendlineType val="linear"/>
            <c:dispRSqr val="0"/>
            <c:dispEq val="1"/>
            <c:trendlineLbl>
              <c:layout>
                <c:manualLayout>
                  <c:x val="-1.9692257217847776E-2"/>
                  <c:y val="5.6503126455822582E-2"/>
                </c:manualLayout>
              </c:layout>
              <c:numFmt formatCode="General" sourceLinked="0"/>
            </c:trendlineLbl>
          </c:trendline>
          <c:xVal>
            <c:numRef>
              <c:f>Trane!$V$22:$V$24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Trane!$X$22:$X$24</c:f>
              <c:numCache>
                <c:formatCode>General</c:formatCode>
                <c:ptCount val="3"/>
                <c:pt idx="0">
                  <c:v>582.6</c:v>
                </c:pt>
                <c:pt idx="1">
                  <c:v>551.6</c:v>
                </c:pt>
                <c:pt idx="2">
                  <c:v>518.4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DB-47B1-97EA-AE15DC0AACA0}"/>
            </c:ext>
          </c:extLst>
        </c:ser>
        <c:ser>
          <c:idx val="1"/>
          <c:order val="1"/>
          <c:trendline>
            <c:trendlineType val="linear"/>
            <c:dispRSqr val="0"/>
            <c:dispEq val="1"/>
            <c:trendlineLbl>
              <c:layout>
                <c:manualLayout>
                  <c:x val="0.26641885389326347"/>
                  <c:y val="6.3377796135484293E-4"/>
                </c:manualLayout>
              </c:layout>
              <c:numFmt formatCode="General" sourceLinked="0"/>
            </c:trendlineLbl>
          </c:trendline>
          <c:xVal>
            <c:numRef>
              <c:f>Trane!$V$25:$V$27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Trane!$X$25:$X$27</c:f>
              <c:numCache>
                <c:formatCode>General</c:formatCode>
                <c:ptCount val="3"/>
                <c:pt idx="0">
                  <c:v>625.1</c:v>
                </c:pt>
                <c:pt idx="1">
                  <c:v>592.79999999999995</c:v>
                </c:pt>
                <c:pt idx="2">
                  <c:v>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DB-47B1-97EA-AE15DC0AACA0}"/>
            </c:ext>
          </c:extLst>
        </c:ser>
        <c:ser>
          <c:idx val="2"/>
          <c:order val="2"/>
          <c:trendline>
            <c:trendlineType val="linear"/>
            <c:dispRSqr val="0"/>
            <c:dispEq val="1"/>
            <c:trendlineLbl>
              <c:layout>
                <c:manualLayout>
                  <c:x val="1.9196631671041121E-2"/>
                  <c:y val="-0.1320880689113334"/>
                </c:manualLayout>
              </c:layout>
              <c:numFmt formatCode="General" sourceLinked="0"/>
            </c:trendlineLbl>
          </c:trendline>
          <c:xVal>
            <c:numRef>
              <c:f>Trane!$V$28:$V$30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Trane!$X$28:$X$30</c:f>
              <c:numCache>
                <c:formatCode>General</c:formatCode>
                <c:ptCount val="3"/>
                <c:pt idx="0">
                  <c:v>669.2</c:v>
                </c:pt>
                <c:pt idx="1">
                  <c:v>635.70000000000005</c:v>
                </c:pt>
                <c:pt idx="2">
                  <c:v>599.29999999999995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9DB-47B1-97EA-AE15DC0AA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258880"/>
        <c:axId val="-2046245824"/>
      </c:scatterChart>
      <c:valAx>
        <c:axId val="-204625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6245824"/>
        <c:crosses val="autoZero"/>
        <c:crossBetween val="midCat"/>
      </c:valAx>
      <c:valAx>
        <c:axId val="-2046245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6258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rendline>
            <c:trendlineType val="linear"/>
            <c:dispRSqr val="0"/>
            <c:dispEq val="1"/>
            <c:trendlineLbl>
              <c:layout>
                <c:manualLayout>
                  <c:x val="0.17803647647862156"/>
                  <c:y val="-3.846731043708821E-2"/>
                </c:manualLayout>
              </c:layout>
              <c:numFmt formatCode="General" sourceLinked="0"/>
            </c:trendlineLbl>
          </c:trendline>
          <c:xVal>
            <c:numRef>
              <c:f>(Trane!$AS$20,Trane!$AU$20,Trane!$AW$20)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(Trane!$AS$21,Trane!$AU$21,Trane!$AW$21)</c:f>
              <c:numCache>
                <c:formatCode>0.0</c:formatCode>
                <c:ptCount val="3"/>
                <c:pt idx="0">
                  <c:v>582.97</c:v>
                </c:pt>
                <c:pt idx="1">
                  <c:v>625.52</c:v>
                </c:pt>
                <c:pt idx="2">
                  <c:v>669.68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69-487F-837F-5C41BDF87042}"/>
            </c:ext>
          </c:extLst>
        </c:ser>
        <c:ser>
          <c:idx val="1"/>
          <c:order val="1"/>
          <c:trendline>
            <c:trendlineType val="linear"/>
            <c:dispRSqr val="0"/>
            <c:dispEq val="1"/>
            <c:trendlineLbl>
              <c:layout>
                <c:manualLayout>
                  <c:x val="0.19440886509696098"/>
                  <c:y val="-2.4669856397783435E-2"/>
                </c:manualLayout>
              </c:layout>
              <c:numFmt formatCode="General" sourceLinked="0"/>
            </c:trendlineLbl>
          </c:trendline>
          <c:xVal>
            <c:numRef>
              <c:f>(Trane!$AS$20,Trane!$AU$20,Trane!$AW$20)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(Trane!$AS$22,Trane!$AU$22,Trane!$AW$22)</c:f>
              <c:numCache>
                <c:formatCode>0.0</c:formatCode>
                <c:ptCount val="3"/>
                <c:pt idx="0">
                  <c:v>576.55000000000007</c:v>
                </c:pt>
                <c:pt idx="1">
                  <c:v>618.80999999999995</c:v>
                </c:pt>
                <c:pt idx="2">
                  <c:v>662.68999999999994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69-487F-837F-5C41BDF87042}"/>
            </c:ext>
          </c:extLst>
        </c:ser>
        <c:ser>
          <c:idx val="2"/>
          <c:order val="2"/>
          <c:trendline>
            <c:trendlineType val="linear"/>
            <c:dispRSqr val="0"/>
            <c:dispEq val="1"/>
            <c:trendlineLbl>
              <c:layout>
                <c:manualLayout>
                  <c:x val="0.18700505037338505"/>
                  <c:y val="-8.8944081801756798E-4"/>
                </c:manualLayout>
              </c:layout>
              <c:numFmt formatCode="General" sourceLinked="0"/>
            </c:trendlineLbl>
          </c:trendline>
          <c:xVal>
            <c:numRef>
              <c:f>(Trane!$AS$20,Trane!$AU$20,Trane!$AW$20)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(Trane!$AS$23,Trane!$AU$23,Trane!$AW$23)</c:f>
              <c:numCache>
                <c:formatCode>0.0</c:formatCode>
                <c:ptCount val="3"/>
                <c:pt idx="0">
                  <c:v>570.13</c:v>
                </c:pt>
                <c:pt idx="1">
                  <c:v>612.1</c:v>
                </c:pt>
                <c:pt idx="2">
                  <c:v>655.69999999999993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369-487F-837F-5C41BDF87042}"/>
            </c:ext>
          </c:extLst>
        </c:ser>
        <c:ser>
          <c:idx val="3"/>
          <c:order val="3"/>
          <c:trendline>
            <c:trendlineType val="linear"/>
            <c:dispRSqr val="0"/>
            <c:dispEq val="1"/>
            <c:trendlineLbl>
              <c:layout>
                <c:manualLayout>
                  <c:x val="0.17609012462782545"/>
                  <c:y val="1.8405180892270744E-2"/>
                </c:manualLayout>
              </c:layout>
              <c:numFmt formatCode="General" sourceLinked="0"/>
            </c:trendlineLbl>
          </c:trendline>
          <c:xVal>
            <c:numRef>
              <c:f>(Trane!$AS$20,Trane!$AU$20,Trane!$AW$20)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(Trane!$AS$24,Trane!$AU$24,Trane!$AW$24)</c:f>
              <c:numCache>
                <c:formatCode>0.0</c:formatCode>
                <c:ptCount val="3"/>
                <c:pt idx="0">
                  <c:v>563.71</c:v>
                </c:pt>
                <c:pt idx="1">
                  <c:v>605.39</c:v>
                </c:pt>
                <c:pt idx="2">
                  <c:v>648.70999999999992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69-487F-837F-5C41BDF87042}"/>
            </c:ext>
          </c:extLst>
        </c:ser>
        <c:ser>
          <c:idx val="4"/>
          <c:order val="4"/>
          <c:trendline>
            <c:trendlineType val="linear"/>
            <c:dispRSqr val="0"/>
            <c:dispEq val="1"/>
            <c:trendlineLbl>
              <c:layout>
                <c:manualLayout>
                  <c:x val="0.14165339066008945"/>
                  <c:y val="5.585419631101067E-2"/>
                </c:manualLayout>
              </c:layout>
              <c:numFmt formatCode="General" sourceLinked="0"/>
            </c:trendlineLbl>
          </c:trendline>
          <c:xVal>
            <c:numRef>
              <c:f>(Trane!$AS$20,Trane!$AU$20,Trane!$AW$20)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(Trane!$AS$25,Trane!$AU$25,Trane!$AW$25)</c:f>
              <c:numCache>
                <c:formatCode>0.0</c:formatCode>
                <c:ptCount val="3"/>
                <c:pt idx="0">
                  <c:v>557.29</c:v>
                </c:pt>
                <c:pt idx="1">
                  <c:v>598.67999999999995</c:v>
                </c:pt>
                <c:pt idx="2">
                  <c:v>641.71999999999991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69-487F-837F-5C41BDF87042}"/>
            </c:ext>
          </c:extLst>
        </c:ser>
        <c:ser>
          <c:idx val="5"/>
          <c:order val="5"/>
          <c:trendline>
            <c:trendlineType val="linear"/>
            <c:dispRSqr val="0"/>
            <c:dispEq val="1"/>
            <c:trendlineLbl>
              <c:layout>
                <c:manualLayout>
                  <c:x val="0.15256831640564911"/>
                  <c:y val="9.9426751102612357E-2"/>
                </c:manualLayout>
              </c:layout>
              <c:numFmt formatCode="General" sourceLinked="0"/>
            </c:trendlineLbl>
          </c:trendline>
          <c:xVal>
            <c:numRef>
              <c:f>(Trane!$AS$20,Trane!$AU$20,Trane!$AW$20)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(Trane!$AS$26,Trane!$AU$26,Trane!$AW$26)</c:f>
              <c:numCache>
                <c:formatCode>0.0</c:formatCode>
                <c:ptCount val="3"/>
                <c:pt idx="0">
                  <c:v>550.87</c:v>
                </c:pt>
                <c:pt idx="1">
                  <c:v>591.97</c:v>
                </c:pt>
                <c:pt idx="2">
                  <c:v>634.7299999999999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369-487F-837F-5C41BDF87042}"/>
            </c:ext>
          </c:extLst>
        </c:ser>
        <c:ser>
          <c:idx val="6"/>
          <c:order val="6"/>
          <c:trendline>
            <c:trendlineType val="linear"/>
            <c:dispRSqr val="0"/>
            <c:dispEq val="1"/>
            <c:trendlineLbl>
              <c:layout>
                <c:manualLayout>
                  <c:x val="0.11982353916897022"/>
                  <c:y val="0.13708134924472021"/>
                </c:manualLayout>
              </c:layout>
              <c:numFmt formatCode="General" sourceLinked="0"/>
            </c:trendlineLbl>
          </c:trendline>
          <c:xVal>
            <c:numRef>
              <c:f>(Trane!$AS$20,Trane!$AU$20,Trane!$AW$20)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(Trane!$AS$27,Trane!$AU$27,Trane!$AW$27)</c:f>
              <c:numCache>
                <c:formatCode>0.0</c:formatCode>
                <c:ptCount val="3"/>
                <c:pt idx="0">
                  <c:v>544.45000000000005</c:v>
                </c:pt>
                <c:pt idx="1">
                  <c:v>585.26</c:v>
                </c:pt>
                <c:pt idx="2">
                  <c:v>627.74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369-487F-837F-5C41BDF87042}"/>
            </c:ext>
          </c:extLst>
        </c:ser>
        <c:ser>
          <c:idx val="7"/>
          <c:order val="7"/>
          <c:trendline>
            <c:trendlineType val="linear"/>
            <c:dispRSqr val="0"/>
            <c:dispEq val="1"/>
            <c:trendlineLbl>
              <c:layout>
                <c:manualLayout>
                  <c:x val="0.10878141586354109"/>
                  <c:y val="0.19544961115863013"/>
                </c:manualLayout>
              </c:layout>
              <c:numFmt formatCode="General" sourceLinked="0"/>
            </c:trendlineLbl>
          </c:trendline>
          <c:xVal>
            <c:numRef>
              <c:f>(Trane!$AS$20,Trane!$AU$20,Trane!$AW$20)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(Trane!$AS$28,Trane!$AU$28,Trane!$AW$28)</c:f>
              <c:numCache>
                <c:formatCode>0.0</c:formatCode>
                <c:ptCount val="3"/>
                <c:pt idx="0">
                  <c:v>538.03</c:v>
                </c:pt>
                <c:pt idx="1">
                  <c:v>578.54999999999995</c:v>
                </c:pt>
                <c:pt idx="2">
                  <c:v>620.75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369-487F-837F-5C41BDF87042}"/>
            </c:ext>
          </c:extLst>
        </c:ser>
        <c:ser>
          <c:idx val="8"/>
          <c:order val="8"/>
          <c:trendline>
            <c:trendlineType val="linear"/>
            <c:dispRSqr val="0"/>
            <c:dispEq val="1"/>
            <c:trendlineLbl>
              <c:layout>
                <c:manualLayout>
                  <c:x val="0.13619592778730968"/>
                  <c:y val="0.23902216595023176"/>
                </c:manualLayout>
              </c:layout>
              <c:numFmt formatCode="General" sourceLinked="0"/>
            </c:trendlineLbl>
          </c:trendline>
          <c:xVal>
            <c:numRef>
              <c:f>(Trane!$AS$20,Trane!$AU$20,Trane!$AW$20)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(Trane!$AS$29,Trane!$AU$29,Trane!$AW$29)</c:f>
              <c:numCache>
                <c:formatCode>0.0</c:formatCode>
                <c:ptCount val="3"/>
                <c:pt idx="0">
                  <c:v>531.61</c:v>
                </c:pt>
                <c:pt idx="1">
                  <c:v>571.83999999999992</c:v>
                </c:pt>
                <c:pt idx="2">
                  <c:v>613.76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369-487F-837F-5C41BDF87042}"/>
            </c:ext>
          </c:extLst>
        </c:ser>
        <c:ser>
          <c:idx val="9"/>
          <c:order val="9"/>
          <c:trendline>
            <c:trendlineType val="linear"/>
            <c:dispRSqr val="0"/>
            <c:dispEq val="1"/>
            <c:trendlineLbl>
              <c:layout>
                <c:manualLayout>
                  <c:x val="0.12448601729256555"/>
                  <c:y val="0.2707585744432533"/>
                </c:manualLayout>
              </c:layout>
              <c:numFmt formatCode="General" sourceLinked="0"/>
            </c:trendlineLbl>
          </c:trendline>
          <c:xVal>
            <c:numRef>
              <c:f>(Trane!$AS$20,Trane!$AU$20,Trane!$AW$20)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(Trane!$AS$30,Trane!$AU$30,Trane!$AW$30)</c:f>
              <c:numCache>
                <c:formatCode>0.0</c:formatCode>
                <c:ptCount val="3"/>
                <c:pt idx="0">
                  <c:v>525.19000000000005</c:v>
                </c:pt>
                <c:pt idx="1">
                  <c:v>565.13</c:v>
                </c:pt>
                <c:pt idx="2">
                  <c:v>606.77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369-487F-837F-5C41BDF87042}"/>
            </c:ext>
          </c:extLst>
        </c:ser>
        <c:ser>
          <c:idx val="10"/>
          <c:order val="10"/>
          <c:trendline>
            <c:trendlineType val="linear"/>
            <c:dispRSqr val="0"/>
            <c:dispEq val="1"/>
            <c:trendlineLbl>
              <c:layout>
                <c:manualLayout>
                  <c:x val="9.7198702928666544E-2"/>
                  <c:y val="0.31137226740990454"/>
                </c:manualLayout>
              </c:layout>
              <c:numFmt formatCode="General" sourceLinked="0"/>
            </c:trendlineLbl>
          </c:trendline>
          <c:xVal>
            <c:numRef>
              <c:f>(Trane!$AS$20,Trane!$AU$20,Trane!$AW$20)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(Trane!$AS$31,Trane!$AU$31,Trane!$AW$31)</c:f>
              <c:numCache>
                <c:formatCode>0.0</c:formatCode>
                <c:ptCount val="3"/>
                <c:pt idx="0">
                  <c:v>518.77</c:v>
                </c:pt>
                <c:pt idx="1">
                  <c:v>558.41999999999996</c:v>
                </c:pt>
                <c:pt idx="2">
                  <c:v>599.78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369-487F-837F-5C41BDF87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258336"/>
        <c:axId val="-2046257792"/>
      </c:scatterChart>
      <c:valAx>
        <c:axId val="-204625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6257792"/>
        <c:crosses val="autoZero"/>
        <c:crossBetween val="midCat"/>
      </c:valAx>
      <c:valAx>
        <c:axId val="-2046257792"/>
        <c:scaling>
          <c:orientation val="minMax"/>
          <c:max val="800"/>
          <c:min val="400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046258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'Trane II'!$V$22:$V$24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'Trane II'!$W$22:$W$24</c:f>
              <c:numCache>
                <c:formatCode>General</c:formatCode>
                <c:ptCount val="3"/>
                <c:pt idx="0">
                  <c:v>5.7</c:v>
                </c:pt>
                <c:pt idx="1">
                  <c:v>4.9000000000000004</c:v>
                </c:pt>
                <c:pt idx="2">
                  <c:v>4.0999999999999996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E2-43FC-A378-728D47D7CF9B}"/>
            </c:ext>
          </c:extLst>
        </c:ser>
        <c:ser>
          <c:idx val="1"/>
          <c:order val="1"/>
          <c:tx>
            <c:v>7</c:v>
          </c:tx>
          <c:trendline>
            <c:trendlineType val="linear"/>
            <c:dispRSqr val="0"/>
            <c:dispEq val="1"/>
            <c:trendlineLbl>
              <c:layout>
                <c:manualLayout>
                  <c:x val="-0.17046387462202137"/>
                  <c:y val="-0.20946021584184993"/>
                </c:manualLayout>
              </c:layout>
              <c:numFmt formatCode="General" sourceLinked="0"/>
            </c:trendlineLbl>
          </c:trendline>
          <c:xVal>
            <c:numRef>
              <c:f>'Trane II'!$V$25:$V$27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'Trane II'!$W$25:$W$27</c:f>
              <c:numCache>
                <c:formatCode>General</c:formatCode>
                <c:ptCount val="3"/>
                <c:pt idx="0">
                  <c:v>6.1</c:v>
                </c:pt>
                <c:pt idx="1">
                  <c:v>5.2</c:v>
                </c:pt>
                <c:pt idx="2">
                  <c:v>4.4000000000000004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E2-43FC-A378-728D47D7CF9B}"/>
            </c:ext>
          </c:extLst>
        </c:ser>
        <c:ser>
          <c:idx val="2"/>
          <c:order val="2"/>
          <c:tx>
            <c:v>9</c:v>
          </c:tx>
          <c:trendline>
            <c:trendlineType val="linear"/>
            <c:dispRSqr val="0"/>
            <c:dispEq val="1"/>
            <c:trendlineLbl>
              <c:layout>
                <c:manualLayout>
                  <c:x val="0.10652984194892753"/>
                  <c:y val="-0.13491488514590314"/>
                </c:manualLayout>
              </c:layout>
              <c:numFmt formatCode="General" sourceLinked="0"/>
            </c:trendlineLbl>
          </c:trendline>
          <c:xVal>
            <c:numRef>
              <c:f>'Trane II'!$V$28:$V$30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'Trane II'!$W$28:$W$30</c:f>
              <c:numCache>
                <c:formatCode>General</c:formatCode>
                <c:ptCount val="3"/>
                <c:pt idx="0">
                  <c:v>6.4</c:v>
                </c:pt>
                <c:pt idx="1">
                  <c:v>5.5</c:v>
                </c:pt>
                <c:pt idx="2">
                  <c:v>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4E2-43FC-A378-728D47D7C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251264"/>
        <c:axId val="-2046256704"/>
      </c:scatterChart>
      <c:valAx>
        <c:axId val="-2046251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6256704"/>
        <c:crosses val="autoZero"/>
        <c:crossBetween val="midCat"/>
      </c:valAx>
      <c:valAx>
        <c:axId val="-2046256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6251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rendline>
            <c:trendlineType val="poly"/>
            <c:order val="2"/>
            <c:dispRSqr val="0"/>
            <c:dispEq val="1"/>
            <c:trendlineLbl>
              <c:numFmt formatCode="General" sourceLinked="0"/>
            </c:trendlineLbl>
          </c:trendline>
          <c:xVal>
            <c:numRef>
              <c:f>'Trane II'!$AA$21:$AE$21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'Trane II'!$AA$22:$AE$22</c:f>
              <c:numCache>
                <c:formatCode>General</c:formatCode>
                <c:ptCount val="5"/>
                <c:pt idx="0">
                  <c:v>5.6999999999999993</c:v>
                </c:pt>
                <c:pt idx="1">
                  <c:v>5.9009999999999998</c:v>
                </c:pt>
                <c:pt idx="2">
                  <c:v>6.0830000000000002</c:v>
                </c:pt>
                <c:pt idx="3">
                  <c:v>6.2418000000000005</c:v>
                </c:pt>
                <c:pt idx="4">
                  <c:v>6.3829999999999991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84-4495-BB58-5D0A7FF7F417}"/>
            </c:ext>
          </c:extLst>
        </c:ser>
        <c:ser>
          <c:idx val="1"/>
          <c:order val="1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1671834074489136"/>
                  <c:y val="3.2070685918166378E-2"/>
                </c:manualLayout>
              </c:layout>
              <c:numFmt formatCode="General" sourceLinked="0"/>
            </c:trendlineLbl>
          </c:trendline>
          <c:xVal>
            <c:numRef>
              <c:f>'Trane II'!$AA$21:$AE$21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'Trane II'!$AA$23:$AE$23</c:f>
              <c:numCache>
                <c:formatCode>General</c:formatCode>
                <c:ptCount val="5"/>
                <c:pt idx="0">
                  <c:v>5.5399999999999991</c:v>
                </c:pt>
                <c:pt idx="1">
                  <c:v>5.7364999999999995</c:v>
                </c:pt>
                <c:pt idx="2">
                  <c:v>5.9130000000000003</c:v>
                </c:pt>
                <c:pt idx="3">
                  <c:v>6.0736999999999997</c:v>
                </c:pt>
                <c:pt idx="4">
                  <c:v>6.2129999999999992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84-4495-BB58-5D0A7FF7F417}"/>
            </c:ext>
          </c:extLst>
        </c:ser>
        <c:ser>
          <c:idx val="2"/>
          <c:order val="2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1671834074489136"/>
                  <c:y val="8.3843445516953066E-2"/>
                </c:manualLayout>
              </c:layout>
              <c:numFmt formatCode="General" sourceLinked="0"/>
            </c:trendlineLbl>
          </c:trendline>
          <c:xVal>
            <c:numRef>
              <c:f>'Trane II'!$AA$21:$AE$21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'Trane II'!$AA$24:$AE$24</c:f>
              <c:numCache>
                <c:formatCode>General</c:formatCode>
                <c:ptCount val="5"/>
                <c:pt idx="0">
                  <c:v>5.379999999999999</c:v>
                </c:pt>
                <c:pt idx="1">
                  <c:v>5.5685000000000002</c:v>
                </c:pt>
                <c:pt idx="2">
                  <c:v>5.7429999999999994</c:v>
                </c:pt>
                <c:pt idx="3">
                  <c:v>5.8993000000000002</c:v>
                </c:pt>
                <c:pt idx="4">
                  <c:v>6.0429999999999984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84-4495-BB58-5D0A7FF7F417}"/>
            </c:ext>
          </c:extLst>
        </c:ser>
        <c:ser>
          <c:idx val="3"/>
          <c:order val="3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2491605013060704"/>
                  <c:y val="0.15299861652429542"/>
                </c:manualLayout>
              </c:layout>
              <c:numFmt formatCode="General" sourceLinked="0"/>
            </c:trendlineLbl>
          </c:trendline>
          <c:xVal>
            <c:numRef>
              <c:f>'Trane II'!$AA$21:$AE$21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'Trane II'!$AA$25:$AE$25</c:f>
              <c:numCache>
                <c:formatCode>General</c:formatCode>
                <c:ptCount val="5"/>
                <c:pt idx="0">
                  <c:v>5.2199999999999989</c:v>
                </c:pt>
                <c:pt idx="1">
                  <c:v>5.4039999999999999</c:v>
                </c:pt>
                <c:pt idx="2">
                  <c:v>5.5729999999999995</c:v>
                </c:pt>
                <c:pt idx="3">
                  <c:v>5.7311999999999994</c:v>
                </c:pt>
                <c:pt idx="4">
                  <c:v>5.8729999999999984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4-4495-BB58-5D0A7FF7F417}"/>
            </c:ext>
          </c:extLst>
        </c:ser>
        <c:ser>
          <c:idx val="4"/>
          <c:order val="4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2696547747703597"/>
                  <c:y val="0.24996591952408886"/>
                </c:manualLayout>
              </c:layout>
              <c:numFmt formatCode="General" sourceLinked="0"/>
            </c:trendlineLbl>
          </c:trendline>
          <c:xVal>
            <c:numRef>
              <c:f>'Trane II'!$AA$21:$AE$21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'Trane II'!$AA$26:$AE$26</c:f>
              <c:numCache>
                <c:formatCode>General</c:formatCode>
                <c:ptCount val="5"/>
                <c:pt idx="0">
                  <c:v>5.0599999999999996</c:v>
                </c:pt>
                <c:pt idx="1">
                  <c:v>5.2360000000000007</c:v>
                </c:pt>
                <c:pt idx="2">
                  <c:v>5.4029999999999996</c:v>
                </c:pt>
                <c:pt idx="3">
                  <c:v>5.5568</c:v>
                </c:pt>
                <c:pt idx="4">
                  <c:v>5.7029999999999985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84-4495-BB58-5D0A7FF7F417}"/>
            </c:ext>
          </c:extLst>
        </c:ser>
        <c:ser>
          <c:idx val="5"/>
          <c:order val="5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187677680913199"/>
                  <c:y val="0.35040943106683131"/>
                </c:manualLayout>
              </c:layout>
              <c:numFmt formatCode="General" sourceLinked="0"/>
            </c:trendlineLbl>
          </c:trendline>
          <c:xVal>
            <c:numRef>
              <c:f>'Trane II'!$AA$21:$AE$21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'Trane II'!$AA$27:$AE$27</c:f>
              <c:numCache>
                <c:formatCode>General</c:formatCode>
                <c:ptCount val="5"/>
                <c:pt idx="0">
                  <c:v>4.8999999999999995</c:v>
                </c:pt>
                <c:pt idx="1">
                  <c:v>5.0715000000000003</c:v>
                </c:pt>
                <c:pt idx="2">
                  <c:v>5.2329999999999997</c:v>
                </c:pt>
                <c:pt idx="3">
                  <c:v>5.3887</c:v>
                </c:pt>
                <c:pt idx="4">
                  <c:v>5.5329999999999986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E84-4495-BB58-5D0A7FF7F417}"/>
            </c:ext>
          </c:extLst>
        </c:ser>
        <c:ser>
          <c:idx val="6"/>
          <c:order val="6"/>
          <c:tx>
            <c:strRef>
              <c:f>'Trane II'!$AA$21:$AC$21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tx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2081719543774939"/>
                  <c:y val="0.38827653527753597"/>
                </c:manualLayout>
              </c:layout>
              <c:numFmt formatCode="General" sourceLinked="0"/>
            </c:trendlineLbl>
          </c:trendline>
          <c:xVal>
            <c:numRef>
              <c:f>'Trane II'!$AA$21:$AE$21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'Trane II'!$AA$28:$AE$28</c:f>
              <c:numCache>
                <c:formatCode>General</c:formatCode>
                <c:ptCount val="5"/>
                <c:pt idx="0">
                  <c:v>4.7399999999999993</c:v>
                </c:pt>
                <c:pt idx="1">
                  <c:v>4.9035000000000002</c:v>
                </c:pt>
                <c:pt idx="2">
                  <c:v>5.0629999999999997</c:v>
                </c:pt>
                <c:pt idx="3">
                  <c:v>5.2142999999999997</c:v>
                </c:pt>
                <c:pt idx="4">
                  <c:v>5.3629999999999987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E84-4495-BB58-5D0A7FF7F417}"/>
            </c:ext>
          </c:extLst>
        </c:ser>
        <c:ser>
          <c:idx val="7"/>
          <c:order val="7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2081719543774939"/>
                  <c:y val="0.42266688346776693"/>
                </c:manualLayout>
              </c:layout>
              <c:numFmt formatCode="General" sourceLinked="0"/>
            </c:trendlineLbl>
          </c:trendline>
          <c:xVal>
            <c:numRef>
              <c:f>'Trane II'!$AA$21:$AE$21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'Trane II'!$AA$29:$AE$29</c:f>
              <c:numCache>
                <c:formatCode>General</c:formatCode>
                <c:ptCount val="5"/>
                <c:pt idx="0">
                  <c:v>4.5799999999999992</c:v>
                </c:pt>
                <c:pt idx="1">
                  <c:v>4.7389999999999999</c:v>
                </c:pt>
                <c:pt idx="2">
                  <c:v>4.8929999999999998</c:v>
                </c:pt>
                <c:pt idx="3">
                  <c:v>5.0461999999999998</c:v>
                </c:pt>
                <c:pt idx="4">
                  <c:v>5.1929999999999987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E84-4495-BB58-5D0A7FF7F417}"/>
            </c:ext>
          </c:extLst>
        </c:ser>
        <c:ser>
          <c:idx val="8"/>
          <c:order val="8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187677680913199"/>
                  <c:y val="0.47096316078484257"/>
                </c:manualLayout>
              </c:layout>
              <c:numFmt formatCode="General" sourceLinked="0"/>
            </c:trendlineLbl>
          </c:trendline>
          <c:xVal>
            <c:numRef>
              <c:f>'Trane II'!$AA$21:$AE$21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'Trane II'!$AA$30:$AE$30</c:f>
              <c:numCache>
                <c:formatCode>General</c:formatCode>
                <c:ptCount val="5"/>
                <c:pt idx="0">
                  <c:v>4.419999999999999</c:v>
                </c:pt>
                <c:pt idx="1">
                  <c:v>4.5709999999999997</c:v>
                </c:pt>
                <c:pt idx="2">
                  <c:v>4.7229999999999999</c:v>
                </c:pt>
                <c:pt idx="3">
                  <c:v>4.8718000000000004</c:v>
                </c:pt>
                <c:pt idx="4">
                  <c:v>5.0229999999999988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E84-4495-BB58-5D0A7FF7F417}"/>
            </c:ext>
          </c:extLst>
        </c:ser>
        <c:ser>
          <c:idx val="9"/>
          <c:order val="9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31978634961971858"/>
                  <c:y val="0.52273619412239059"/>
                </c:manualLayout>
              </c:layout>
              <c:numFmt formatCode="General" sourceLinked="0"/>
            </c:trendlineLbl>
          </c:trendline>
          <c:xVal>
            <c:numRef>
              <c:f>'Trane II'!$AA$21:$AE$21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'Trane II'!$AA$31:$AE$31</c:f>
              <c:numCache>
                <c:formatCode>General</c:formatCode>
                <c:ptCount val="5"/>
                <c:pt idx="0">
                  <c:v>4.2599999999999989</c:v>
                </c:pt>
                <c:pt idx="1">
                  <c:v>4.4065000000000003</c:v>
                </c:pt>
                <c:pt idx="2">
                  <c:v>4.5529999999999999</c:v>
                </c:pt>
                <c:pt idx="3">
                  <c:v>4.7037000000000004</c:v>
                </c:pt>
                <c:pt idx="4">
                  <c:v>4.8529999999999989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E84-4495-BB58-5D0A7FF7F417}"/>
            </c:ext>
          </c:extLst>
        </c:ser>
        <c:ser>
          <c:idx val="10"/>
          <c:order val="10"/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-2.6718239080384835E-2"/>
                  <c:y val="0.41111428648075432"/>
                </c:manualLayout>
              </c:layout>
              <c:numFmt formatCode="General" sourceLinked="0"/>
            </c:trendlineLbl>
          </c:trendline>
          <c:xVal>
            <c:numRef>
              <c:f>'Trane II'!$AA$21:$AE$21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'Trane II'!$AA$32:$AE$32</c:f>
              <c:numCache>
                <c:formatCode>General</c:formatCode>
                <c:ptCount val="5"/>
                <c:pt idx="0">
                  <c:v>4.0999999999999988</c:v>
                </c:pt>
                <c:pt idx="1">
                  <c:v>4.2385000000000002</c:v>
                </c:pt>
                <c:pt idx="2">
                  <c:v>4.383</c:v>
                </c:pt>
                <c:pt idx="3">
                  <c:v>4.5293000000000001</c:v>
                </c:pt>
                <c:pt idx="4">
                  <c:v>4.6829999999999989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E84-4495-BB58-5D0A7FF7F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255616"/>
        <c:axId val="-2046250720"/>
      </c:scatterChart>
      <c:valAx>
        <c:axId val="-204625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6250720"/>
        <c:crosses val="autoZero"/>
        <c:crossBetween val="midCat"/>
      </c:valAx>
      <c:valAx>
        <c:axId val="-2046250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6255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0.43378521560539196"/>
                  <c:y val="-2.6999889253940708E-2"/>
                </c:manualLayout>
              </c:layout>
              <c:numFmt formatCode="General" sourceLinked="0"/>
            </c:trendlineLbl>
          </c:trendline>
          <c:xVal>
            <c:numRef>
              <c:f>'Trane II'!$U$7:$U$11</c:f>
              <c:numCache>
                <c:formatCode>0.00</c:formatCode>
                <c:ptCount val="5"/>
                <c:pt idx="0">
                  <c:v>100</c:v>
                </c:pt>
                <c:pt idx="1">
                  <c:v>90</c:v>
                </c:pt>
                <c:pt idx="2">
                  <c:v>80</c:v>
                </c:pt>
                <c:pt idx="3">
                  <c:v>70</c:v>
                </c:pt>
                <c:pt idx="4">
                  <c:v>60</c:v>
                </c:pt>
              </c:numCache>
            </c:numRef>
          </c:xVal>
          <c:yVal>
            <c:numRef>
              <c:f>'Trane II'!$AD$7:$AD$11</c:f>
              <c:numCache>
                <c:formatCode>0.00</c:formatCode>
                <c:ptCount val="5"/>
                <c:pt idx="0">
                  <c:v>5.7665607120152576</c:v>
                </c:pt>
                <c:pt idx="1">
                  <c:v>5.7132867132867133</c:v>
                </c:pt>
                <c:pt idx="2">
                  <c:v>5.6128284389489949</c:v>
                </c:pt>
                <c:pt idx="3">
                  <c:v>5.4690189328743548</c:v>
                </c:pt>
                <c:pt idx="4">
                  <c:v>5.355948869223206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86-4595-8447-889F84727BD0}"/>
            </c:ext>
          </c:extLst>
        </c:ser>
        <c:ser>
          <c:idx val="1"/>
          <c:order val="1"/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0.10504064502704592"/>
                  <c:y val="0.34408351215879385"/>
                </c:manualLayout>
              </c:layout>
              <c:numFmt formatCode="General" sourceLinked="0"/>
            </c:trendlineLbl>
          </c:trendline>
          <c:xVal>
            <c:numRef>
              <c:f>'Trane II'!$U$12:$U$15</c:f>
              <c:numCache>
                <c:formatCode>0.00</c:formatCode>
                <c:ptCount val="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</c:numCache>
            </c:numRef>
          </c:xVal>
          <c:yVal>
            <c:numRef>
              <c:f>'Trane II'!$AD$12:$AD$15</c:f>
              <c:numCache>
                <c:formatCode>0.00</c:formatCode>
                <c:ptCount val="4"/>
                <c:pt idx="0">
                  <c:v>5.2717770034843205</c:v>
                </c:pt>
                <c:pt idx="1">
                  <c:v>4.9876373626373631</c:v>
                </c:pt>
                <c:pt idx="2">
                  <c:v>4.2814465408805029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86-4595-8447-889F84727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249088"/>
        <c:axId val="-2046254528"/>
      </c:scatterChart>
      <c:valAx>
        <c:axId val="-204624908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-2046254528"/>
        <c:crosses val="autoZero"/>
        <c:crossBetween val="midCat"/>
      </c:valAx>
      <c:valAx>
        <c:axId val="-204625452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2046249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rendline>
            <c:trendlineType val="linear"/>
            <c:dispRSqr val="0"/>
            <c:dispEq val="1"/>
            <c:trendlineLbl>
              <c:layout>
                <c:manualLayout>
                  <c:x val="-1.9692257217847776E-2"/>
                  <c:y val="5.6503126455822582E-2"/>
                </c:manualLayout>
              </c:layout>
              <c:numFmt formatCode="General" sourceLinked="0"/>
            </c:trendlineLbl>
          </c:trendline>
          <c:xVal>
            <c:numRef>
              <c:f>'Trane II'!$V$22:$V$24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'Trane II'!$X$22:$X$24</c:f>
              <c:numCache>
                <c:formatCode>General</c:formatCode>
                <c:ptCount val="3"/>
                <c:pt idx="0">
                  <c:v>582.6</c:v>
                </c:pt>
                <c:pt idx="1">
                  <c:v>551.6</c:v>
                </c:pt>
                <c:pt idx="2">
                  <c:v>518.4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09-4C67-B27F-AB4DB4E5B706}"/>
            </c:ext>
          </c:extLst>
        </c:ser>
        <c:ser>
          <c:idx val="1"/>
          <c:order val="1"/>
          <c:trendline>
            <c:trendlineType val="linear"/>
            <c:dispRSqr val="0"/>
            <c:dispEq val="1"/>
            <c:trendlineLbl>
              <c:layout>
                <c:manualLayout>
                  <c:x val="0.26641885389326347"/>
                  <c:y val="6.3377796135484293E-4"/>
                </c:manualLayout>
              </c:layout>
              <c:numFmt formatCode="General" sourceLinked="0"/>
            </c:trendlineLbl>
          </c:trendline>
          <c:xVal>
            <c:numRef>
              <c:f>'Trane II'!$V$25:$V$27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'Trane II'!$X$25:$X$27</c:f>
              <c:numCache>
                <c:formatCode>General</c:formatCode>
                <c:ptCount val="3"/>
                <c:pt idx="0">
                  <c:v>625.1</c:v>
                </c:pt>
                <c:pt idx="1">
                  <c:v>592.79999999999995</c:v>
                </c:pt>
                <c:pt idx="2">
                  <c:v>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09-4C67-B27F-AB4DB4E5B706}"/>
            </c:ext>
          </c:extLst>
        </c:ser>
        <c:ser>
          <c:idx val="2"/>
          <c:order val="2"/>
          <c:trendline>
            <c:trendlineType val="linear"/>
            <c:dispRSqr val="0"/>
            <c:dispEq val="1"/>
            <c:trendlineLbl>
              <c:layout>
                <c:manualLayout>
                  <c:x val="1.9196631671041121E-2"/>
                  <c:y val="-0.1320880689113334"/>
                </c:manualLayout>
              </c:layout>
              <c:numFmt formatCode="General" sourceLinked="0"/>
            </c:trendlineLbl>
          </c:trendline>
          <c:xVal>
            <c:numRef>
              <c:f>'Trane II'!$V$28:$V$30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'Trane II'!$X$28:$X$30</c:f>
              <c:numCache>
                <c:formatCode>General</c:formatCode>
                <c:ptCount val="3"/>
                <c:pt idx="0">
                  <c:v>669.2</c:v>
                </c:pt>
                <c:pt idx="1">
                  <c:v>635.70000000000005</c:v>
                </c:pt>
                <c:pt idx="2">
                  <c:v>599.29999999999995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409-4C67-B27F-AB4DB4E5B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253984"/>
        <c:axId val="-2046246912"/>
      </c:scatterChart>
      <c:valAx>
        <c:axId val="-204625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6246912"/>
        <c:crosses val="autoZero"/>
        <c:crossBetween val="midCat"/>
      </c:valAx>
      <c:valAx>
        <c:axId val="-2046246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6253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rendline>
            <c:trendlineType val="linear"/>
            <c:dispRSqr val="0"/>
            <c:dispEq val="1"/>
            <c:trendlineLbl>
              <c:layout>
                <c:manualLayout>
                  <c:x val="0.17803647647862156"/>
                  <c:y val="-3.846731043708821E-2"/>
                </c:manualLayout>
              </c:layout>
              <c:numFmt formatCode="General" sourceLinked="0"/>
            </c:trendlineLbl>
          </c:trendline>
          <c:xVal>
            <c:numRef>
              <c:f>('Trane II'!$AS$20,'Trane II'!$AU$20,'Trane II'!$AW$20)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('Trane II'!$AS$21,'Trane II'!$AU$21,'Trane II'!$AW$21)</c:f>
              <c:numCache>
                <c:formatCode>0.0</c:formatCode>
                <c:ptCount val="3"/>
                <c:pt idx="0">
                  <c:v>582.97</c:v>
                </c:pt>
                <c:pt idx="1">
                  <c:v>625.52</c:v>
                </c:pt>
                <c:pt idx="2">
                  <c:v>669.68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C-4B95-B09F-C7A1F3F98C37}"/>
            </c:ext>
          </c:extLst>
        </c:ser>
        <c:ser>
          <c:idx val="1"/>
          <c:order val="1"/>
          <c:trendline>
            <c:trendlineType val="linear"/>
            <c:dispRSqr val="0"/>
            <c:dispEq val="1"/>
            <c:trendlineLbl>
              <c:layout>
                <c:manualLayout>
                  <c:x val="0.19440886509696098"/>
                  <c:y val="-2.4669856397783435E-2"/>
                </c:manualLayout>
              </c:layout>
              <c:numFmt formatCode="General" sourceLinked="0"/>
            </c:trendlineLbl>
          </c:trendline>
          <c:xVal>
            <c:numRef>
              <c:f>('Trane II'!$AS$20,'Trane II'!$AU$20,'Trane II'!$AW$20)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('Trane II'!$AS$22,'Trane II'!$AU$22,'Trane II'!$AW$22)</c:f>
              <c:numCache>
                <c:formatCode>0.0</c:formatCode>
                <c:ptCount val="3"/>
                <c:pt idx="0">
                  <c:v>576.55000000000007</c:v>
                </c:pt>
                <c:pt idx="1">
                  <c:v>618.80999999999995</c:v>
                </c:pt>
                <c:pt idx="2">
                  <c:v>662.68999999999994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C-4B95-B09F-C7A1F3F98C37}"/>
            </c:ext>
          </c:extLst>
        </c:ser>
        <c:ser>
          <c:idx val="2"/>
          <c:order val="2"/>
          <c:trendline>
            <c:trendlineType val="linear"/>
            <c:dispRSqr val="0"/>
            <c:dispEq val="1"/>
            <c:trendlineLbl>
              <c:layout>
                <c:manualLayout>
                  <c:x val="0.18700505037338505"/>
                  <c:y val="-8.8944081801756798E-4"/>
                </c:manualLayout>
              </c:layout>
              <c:numFmt formatCode="General" sourceLinked="0"/>
            </c:trendlineLbl>
          </c:trendline>
          <c:xVal>
            <c:numRef>
              <c:f>('Trane II'!$AS$20,'Trane II'!$AU$20,'Trane II'!$AW$20)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('Trane II'!$AS$23,'Trane II'!$AU$23,'Trane II'!$AW$23)</c:f>
              <c:numCache>
                <c:formatCode>0.0</c:formatCode>
                <c:ptCount val="3"/>
                <c:pt idx="0">
                  <c:v>570.13</c:v>
                </c:pt>
                <c:pt idx="1">
                  <c:v>612.1</c:v>
                </c:pt>
                <c:pt idx="2">
                  <c:v>655.69999999999993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C-4B95-B09F-C7A1F3F98C37}"/>
            </c:ext>
          </c:extLst>
        </c:ser>
        <c:ser>
          <c:idx val="3"/>
          <c:order val="3"/>
          <c:trendline>
            <c:trendlineType val="linear"/>
            <c:dispRSqr val="0"/>
            <c:dispEq val="1"/>
            <c:trendlineLbl>
              <c:layout>
                <c:manualLayout>
                  <c:x val="0.17609012462782545"/>
                  <c:y val="1.8405180892270744E-2"/>
                </c:manualLayout>
              </c:layout>
              <c:numFmt formatCode="General" sourceLinked="0"/>
            </c:trendlineLbl>
          </c:trendline>
          <c:xVal>
            <c:numRef>
              <c:f>('Trane II'!$AS$20,'Trane II'!$AU$20,'Trane II'!$AW$20)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('Trane II'!$AS$24,'Trane II'!$AU$24,'Trane II'!$AW$24)</c:f>
              <c:numCache>
                <c:formatCode>0.0</c:formatCode>
                <c:ptCount val="3"/>
                <c:pt idx="0">
                  <c:v>563.71</c:v>
                </c:pt>
                <c:pt idx="1">
                  <c:v>605.39</c:v>
                </c:pt>
                <c:pt idx="2">
                  <c:v>648.70999999999992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1C-4B95-B09F-C7A1F3F98C37}"/>
            </c:ext>
          </c:extLst>
        </c:ser>
        <c:ser>
          <c:idx val="4"/>
          <c:order val="4"/>
          <c:trendline>
            <c:trendlineType val="linear"/>
            <c:dispRSqr val="0"/>
            <c:dispEq val="1"/>
            <c:trendlineLbl>
              <c:layout>
                <c:manualLayout>
                  <c:x val="0.14165339066008945"/>
                  <c:y val="5.585419631101067E-2"/>
                </c:manualLayout>
              </c:layout>
              <c:numFmt formatCode="General" sourceLinked="0"/>
            </c:trendlineLbl>
          </c:trendline>
          <c:xVal>
            <c:numRef>
              <c:f>('Trane II'!$AS$20,'Trane II'!$AU$20,'Trane II'!$AW$20)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('Trane II'!$AS$25,'Trane II'!$AU$25,'Trane II'!$AW$25)</c:f>
              <c:numCache>
                <c:formatCode>0.0</c:formatCode>
                <c:ptCount val="3"/>
                <c:pt idx="0">
                  <c:v>557.29</c:v>
                </c:pt>
                <c:pt idx="1">
                  <c:v>598.67999999999995</c:v>
                </c:pt>
                <c:pt idx="2">
                  <c:v>641.71999999999991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1C-4B95-B09F-C7A1F3F98C37}"/>
            </c:ext>
          </c:extLst>
        </c:ser>
        <c:ser>
          <c:idx val="5"/>
          <c:order val="5"/>
          <c:trendline>
            <c:trendlineType val="linear"/>
            <c:dispRSqr val="0"/>
            <c:dispEq val="1"/>
            <c:trendlineLbl>
              <c:layout>
                <c:manualLayout>
                  <c:x val="0.15256831640564911"/>
                  <c:y val="9.9426751102612357E-2"/>
                </c:manualLayout>
              </c:layout>
              <c:numFmt formatCode="General" sourceLinked="0"/>
            </c:trendlineLbl>
          </c:trendline>
          <c:xVal>
            <c:numRef>
              <c:f>('Trane II'!$AS$20,'Trane II'!$AU$20,'Trane II'!$AW$20)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('Trane II'!$AS$26,'Trane II'!$AU$26,'Trane II'!$AW$26)</c:f>
              <c:numCache>
                <c:formatCode>0.0</c:formatCode>
                <c:ptCount val="3"/>
                <c:pt idx="0">
                  <c:v>550.87</c:v>
                </c:pt>
                <c:pt idx="1">
                  <c:v>591.97</c:v>
                </c:pt>
                <c:pt idx="2">
                  <c:v>634.7299999999999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01C-4B95-B09F-C7A1F3F98C37}"/>
            </c:ext>
          </c:extLst>
        </c:ser>
        <c:ser>
          <c:idx val="6"/>
          <c:order val="6"/>
          <c:trendline>
            <c:trendlineType val="linear"/>
            <c:dispRSqr val="0"/>
            <c:dispEq val="1"/>
            <c:trendlineLbl>
              <c:layout>
                <c:manualLayout>
                  <c:x val="0.11982353916897022"/>
                  <c:y val="0.13708134924472021"/>
                </c:manualLayout>
              </c:layout>
              <c:numFmt formatCode="General" sourceLinked="0"/>
            </c:trendlineLbl>
          </c:trendline>
          <c:xVal>
            <c:numRef>
              <c:f>('Trane II'!$AS$20,'Trane II'!$AU$20,'Trane II'!$AW$20)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('Trane II'!$AS$27,'Trane II'!$AU$27,'Trane II'!$AW$27)</c:f>
              <c:numCache>
                <c:formatCode>0.0</c:formatCode>
                <c:ptCount val="3"/>
                <c:pt idx="0">
                  <c:v>544.45000000000005</c:v>
                </c:pt>
                <c:pt idx="1">
                  <c:v>585.26</c:v>
                </c:pt>
                <c:pt idx="2">
                  <c:v>627.74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01C-4B95-B09F-C7A1F3F98C37}"/>
            </c:ext>
          </c:extLst>
        </c:ser>
        <c:ser>
          <c:idx val="7"/>
          <c:order val="7"/>
          <c:trendline>
            <c:trendlineType val="linear"/>
            <c:dispRSqr val="0"/>
            <c:dispEq val="1"/>
            <c:trendlineLbl>
              <c:layout>
                <c:manualLayout>
                  <c:x val="0.10878141586354109"/>
                  <c:y val="0.19544961115863013"/>
                </c:manualLayout>
              </c:layout>
              <c:numFmt formatCode="General" sourceLinked="0"/>
            </c:trendlineLbl>
          </c:trendline>
          <c:xVal>
            <c:numRef>
              <c:f>('Trane II'!$AS$20,'Trane II'!$AU$20,'Trane II'!$AW$20)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('Trane II'!$AS$28,'Trane II'!$AU$28,'Trane II'!$AW$28)</c:f>
              <c:numCache>
                <c:formatCode>0.0</c:formatCode>
                <c:ptCount val="3"/>
                <c:pt idx="0">
                  <c:v>538.03</c:v>
                </c:pt>
                <c:pt idx="1">
                  <c:v>578.54999999999995</c:v>
                </c:pt>
                <c:pt idx="2">
                  <c:v>620.75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01C-4B95-B09F-C7A1F3F98C37}"/>
            </c:ext>
          </c:extLst>
        </c:ser>
        <c:ser>
          <c:idx val="8"/>
          <c:order val="8"/>
          <c:trendline>
            <c:trendlineType val="linear"/>
            <c:dispRSqr val="0"/>
            <c:dispEq val="1"/>
            <c:trendlineLbl>
              <c:layout>
                <c:manualLayout>
                  <c:x val="0.13619592778730968"/>
                  <c:y val="0.23902216595023176"/>
                </c:manualLayout>
              </c:layout>
              <c:numFmt formatCode="General" sourceLinked="0"/>
            </c:trendlineLbl>
          </c:trendline>
          <c:xVal>
            <c:numRef>
              <c:f>('Trane II'!$AS$20,'Trane II'!$AU$20,'Trane II'!$AW$20)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('Trane II'!$AS$29,'Trane II'!$AU$29,'Trane II'!$AW$29)</c:f>
              <c:numCache>
                <c:formatCode>0.0</c:formatCode>
                <c:ptCount val="3"/>
                <c:pt idx="0">
                  <c:v>531.61</c:v>
                </c:pt>
                <c:pt idx="1">
                  <c:v>571.83999999999992</c:v>
                </c:pt>
                <c:pt idx="2">
                  <c:v>613.76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01C-4B95-B09F-C7A1F3F98C37}"/>
            </c:ext>
          </c:extLst>
        </c:ser>
        <c:ser>
          <c:idx val="9"/>
          <c:order val="9"/>
          <c:trendline>
            <c:trendlineType val="linear"/>
            <c:dispRSqr val="0"/>
            <c:dispEq val="1"/>
            <c:trendlineLbl>
              <c:layout>
                <c:manualLayout>
                  <c:x val="0.12448601729256555"/>
                  <c:y val="0.2707585744432533"/>
                </c:manualLayout>
              </c:layout>
              <c:numFmt formatCode="General" sourceLinked="0"/>
            </c:trendlineLbl>
          </c:trendline>
          <c:xVal>
            <c:numRef>
              <c:f>('Trane II'!$AS$20,'Trane II'!$AU$20,'Trane II'!$AW$20)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('Trane II'!$AS$30,'Trane II'!$AU$30,'Trane II'!$AW$30)</c:f>
              <c:numCache>
                <c:formatCode>0.0</c:formatCode>
                <c:ptCount val="3"/>
                <c:pt idx="0">
                  <c:v>525.19000000000005</c:v>
                </c:pt>
                <c:pt idx="1">
                  <c:v>565.13</c:v>
                </c:pt>
                <c:pt idx="2">
                  <c:v>606.77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01C-4B95-B09F-C7A1F3F98C37}"/>
            </c:ext>
          </c:extLst>
        </c:ser>
        <c:ser>
          <c:idx val="10"/>
          <c:order val="10"/>
          <c:trendline>
            <c:trendlineType val="linear"/>
            <c:dispRSqr val="0"/>
            <c:dispEq val="1"/>
            <c:trendlineLbl>
              <c:layout>
                <c:manualLayout>
                  <c:x val="9.7198702928666544E-2"/>
                  <c:y val="0.31137226740990454"/>
                </c:manualLayout>
              </c:layout>
              <c:numFmt formatCode="General" sourceLinked="0"/>
            </c:trendlineLbl>
          </c:trendline>
          <c:xVal>
            <c:numRef>
              <c:f>('Trane II'!$AS$20,'Trane II'!$AU$20,'Trane II'!$AW$20)</c:f>
              <c:numCache>
                <c:formatCode>General</c:formatCode>
                <c:ptCount val="3"/>
                <c:pt idx="0">
                  <c:v>5</c:v>
                </c:pt>
                <c:pt idx="1">
                  <c:v>7</c:v>
                </c:pt>
                <c:pt idx="2">
                  <c:v>9</c:v>
                </c:pt>
              </c:numCache>
            </c:numRef>
          </c:xVal>
          <c:yVal>
            <c:numRef>
              <c:f>('Trane II'!$AS$31,'Trane II'!$AU$31,'Trane II'!$AW$31)</c:f>
              <c:numCache>
                <c:formatCode>0.0</c:formatCode>
                <c:ptCount val="3"/>
                <c:pt idx="0">
                  <c:v>518.77</c:v>
                </c:pt>
                <c:pt idx="1">
                  <c:v>558.41999999999996</c:v>
                </c:pt>
                <c:pt idx="2">
                  <c:v>599.78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01C-4B95-B09F-C7A1F3F98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245280"/>
        <c:axId val="-2046252896"/>
      </c:scatterChart>
      <c:valAx>
        <c:axId val="-20462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6252896"/>
        <c:crosses val="autoZero"/>
        <c:crossBetween val="midCat"/>
      </c:valAx>
      <c:valAx>
        <c:axId val="-2046252896"/>
        <c:scaling>
          <c:orientation val="minMax"/>
          <c:max val="800"/>
          <c:min val="400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046245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Auxiliares!$X$2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Auxiliares!$X$3:$X$506</c:f>
              <c:numCache>
                <c:formatCode>0.0</c:formatCode>
                <c:ptCount val="504"/>
                <c:pt idx="0">
                  <c:v>14.221191406988964</c:v>
                </c:pt>
                <c:pt idx="1">
                  <c:v>14.221191405994205</c:v>
                </c:pt>
                <c:pt idx="2">
                  <c:v>14.022827148011174</c:v>
                </c:pt>
                <c:pt idx="3">
                  <c:v>14.266967774005934</c:v>
                </c:pt>
                <c:pt idx="4">
                  <c:v>14.190673827982891</c:v>
                </c:pt>
                <c:pt idx="5">
                  <c:v>14.236450194999861</c:v>
                </c:pt>
                <c:pt idx="6">
                  <c:v>14.20593261701697</c:v>
                </c:pt>
                <c:pt idx="7">
                  <c:v>14.007568360000278</c:v>
                </c:pt>
                <c:pt idx="8">
                  <c:v>14.221191405994205</c:v>
                </c:pt>
                <c:pt idx="9">
                  <c:v>14.251708984005518</c:v>
                </c:pt>
                <c:pt idx="10">
                  <c:v>14.312744140994482</c:v>
                </c:pt>
                <c:pt idx="11">
                  <c:v>14.328002930000139</c:v>
                </c:pt>
                <c:pt idx="12">
                  <c:v>14.221191405994205</c:v>
                </c:pt>
                <c:pt idx="13">
                  <c:v>14.221191405994205</c:v>
                </c:pt>
                <c:pt idx="14">
                  <c:v>14.083862305000139</c:v>
                </c:pt>
                <c:pt idx="15">
                  <c:v>14.144897460994343</c:v>
                </c:pt>
                <c:pt idx="16">
                  <c:v>14.221191406022626</c:v>
                </c:pt>
                <c:pt idx="17">
                  <c:v>14.266967773977512</c:v>
                </c:pt>
                <c:pt idx="18">
                  <c:v>14.312744139999722</c:v>
                </c:pt>
                <c:pt idx="19">
                  <c:v>14.251708985000278</c:v>
                </c:pt>
                <c:pt idx="20">
                  <c:v>14.16015625</c:v>
                </c:pt>
                <c:pt idx="21">
                  <c:v>14.312744139999722</c:v>
                </c:pt>
                <c:pt idx="22">
                  <c:v>14.266967774005934</c:v>
                </c:pt>
                <c:pt idx="23">
                  <c:v>14.053344725994066</c:v>
                </c:pt>
                <c:pt idx="24">
                  <c:v>14.236450196023043</c:v>
                </c:pt>
                <c:pt idx="25">
                  <c:v>14.251708983977096</c:v>
                </c:pt>
                <c:pt idx="26">
                  <c:v>14.190673828011313</c:v>
                </c:pt>
                <c:pt idx="27">
                  <c:v>14.221191405994205</c:v>
                </c:pt>
                <c:pt idx="28">
                  <c:v>14.175415039005657</c:v>
                </c:pt>
                <c:pt idx="29">
                  <c:v>14.053344726988826</c:v>
                </c:pt>
                <c:pt idx="30">
                  <c:v>14.190673828011313</c:v>
                </c:pt>
                <c:pt idx="31">
                  <c:v>14.266967773011174</c:v>
                </c:pt>
                <c:pt idx="32">
                  <c:v>14.16015625</c:v>
                </c:pt>
                <c:pt idx="33">
                  <c:v>14.266967773977512</c:v>
                </c:pt>
                <c:pt idx="34">
                  <c:v>14.236450194999861</c:v>
                </c:pt>
                <c:pt idx="35">
                  <c:v>14.114379883011452</c:v>
                </c:pt>
                <c:pt idx="36">
                  <c:v>14.282226563011591</c:v>
                </c:pt>
                <c:pt idx="37">
                  <c:v>14.312744139999722</c:v>
                </c:pt>
                <c:pt idx="38">
                  <c:v>14.221191405994205</c:v>
                </c:pt>
                <c:pt idx="39">
                  <c:v>14.251708985000278</c:v>
                </c:pt>
                <c:pt idx="40">
                  <c:v>14.328002929005379</c:v>
                </c:pt>
                <c:pt idx="41">
                  <c:v>14.266967773977512</c:v>
                </c:pt>
                <c:pt idx="42">
                  <c:v>14.175415039005657</c:v>
                </c:pt>
                <c:pt idx="43">
                  <c:v>14.221191405994205</c:v>
                </c:pt>
                <c:pt idx="44">
                  <c:v>14.175415039005657</c:v>
                </c:pt>
                <c:pt idx="45">
                  <c:v>13.992309570994621</c:v>
                </c:pt>
                <c:pt idx="46">
                  <c:v>14.221191406022626</c:v>
                </c:pt>
                <c:pt idx="47">
                  <c:v>14.221191405994205</c:v>
                </c:pt>
                <c:pt idx="48">
                  <c:v>14.205932616988548</c:v>
                </c:pt>
                <c:pt idx="49">
                  <c:v>14.221191407017386</c:v>
                </c:pt>
                <c:pt idx="50">
                  <c:v>14.099121092982614</c:v>
                </c:pt>
                <c:pt idx="51">
                  <c:v>14.16015625</c:v>
                </c:pt>
                <c:pt idx="52">
                  <c:v>14.236450195994621</c:v>
                </c:pt>
                <c:pt idx="53">
                  <c:v>14.175415039005657</c:v>
                </c:pt>
                <c:pt idx="54">
                  <c:v>13.946533203011313</c:v>
                </c:pt>
                <c:pt idx="55">
                  <c:v>14.236450194999861</c:v>
                </c:pt>
                <c:pt idx="56">
                  <c:v>14.129638671988687</c:v>
                </c:pt>
                <c:pt idx="57">
                  <c:v>14.282226562016831</c:v>
                </c:pt>
                <c:pt idx="58">
                  <c:v>14.297485351988826</c:v>
                </c:pt>
                <c:pt idx="59">
                  <c:v>14.343261719005795</c:v>
                </c:pt>
                <c:pt idx="60">
                  <c:v>14.282226561988409</c:v>
                </c:pt>
                <c:pt idx="61">
                  <c:v>14.312744140994482</c:v>
                </c:pt>
                <c:pt idx="62">
                  <c:v>14.328002930000139</c:v>
                </c:pt>
                <c:pt idx="63">
                  <c:v>14.282226562016831</c:v>
                </c:pt>
                <c:pt idx="64">
                  <c:v>14.053344726988826</c:v>
                </c:pt>
                <c:pt idx="65">
                  <c:v>14.312744139999722</c:v>
                </c:pt>
                <c:pt idx="66">
                  <c:v>14.297485352017247</c:v>
                </c:pt>
                <c:pt idx="67">
                  <c:v>14.297485350994066</c:v>
                </c:pt>
                <c:pt idx="68">
                  <c:v>14.266967774005934</c:v>
                </c:pt>
                <c:pt idx="69">
                  <c:v>14.282226561988409</c:v>
                </c:pt>
                <c:pt idx="70">
                  <c:v>13.22937011801173</c:v>
                </c:pt>
                <c:pt idx="71">
                  <c:v>17.257690428976957</c:v>
                </c:pt>
                <c:pt idx="72">
                  <c:v>19.638061524005934</c:v>
                </c:pt>
                <c:pt idx="73">
                  <c:v>19.424438475994066</c:v>
                </c:pt>
                <c:pt idx="74">
                  <c:v>19.210815430000139</c:v>
                </c:pt>
                <c:pt idx="75">
                  <c:v>19.515991211022765</c:v>
                </c:pt>
                <c:pt idx="76">
                  <c:v>19.638061522982753</c:v>
                </c:pt>
                <c:pt idx="77">
                  <c:v>19.561767578011313</c:v>
                </c:pt>
                <c:pt idx="78">
                  <c:v>19.317626954006073</c:v>
                </c:pt>
                <c:pt idx="79">
                  <c:v>19.439697264999722</c:v>
                </c:pt>
                <c:pt idx="80">
                  <c:v>19.439697265994482</c:v>
                </c:pt>
                <c:pt idx="81">
                  <c:v>19.256591796988687</c:v>
                </c:pt>
                <c:pt idx="82">
                  <c:v>19.638061523011174</c:v>
                </c:pt>
                <c:pt idx="83">
                  <c:v>8.9416503909944822</c:v>
                </c:pt>
                <c:pt idx="84">
                  <c:v>6.759643554005379</c:v>
                </c:pt>
                <c:pt idx="85">
                  <c:v>4.4555664069889644</c:v>
                </c:pt>
                <c:pt idx="86">
                  <c:v>19.424438475994066</c:v>
                </c:pt>
                <c:pt idx="87">
                  <c:v>19.515991211022765</c:v>
                </c:pt>
                <c:pt idx="88">
                  <c:v>19.48547363298303</c:v>
                </c:pt>
                <c:pt idx="89">
                  <c:v>19.546508789005657</c:v>
                </c:pt>
                <c:pt idx="90">
                  <c:v>19.348144530994205</c:v>
                </c:pt>
                <c:pt idx="91">
                  <c:v>19.393920899005934</c:v>
                </c:pt>
                <c:pt idx="92">
                  <c:v>19.439697264999722</c:v>
                </c:pt>
                <c:pt idx="93">
                  <c:v>19.195556640994482</c:v>
                </c:pt>
                <c:pt idx="94">
                  <c:v>19.485473633011452</c:v>
                </c:pt>
                <c:pt idx="95">
                  <c:v>19.48547363298303</c:v>
                </c:pt>
                <c:pt idx="96">
                  <c:v>19.439697264999722</c:v>
                </c:pt>
                <c:pt idx="97">
                  <c:v>19.470214844005795</c:v>
                </c:pt>
                <c:pt idx="98">
                  <c:v>19.08874511701697</c:v>
                </c:pt>
                <c:pt idx="99">
                  <c:v>19.515991210994343</c:v>
                </c:pt>
                <c:pt idx="100">
                  <c:v>19.500732421988687</c:v>
                </c:pt>
                <c:pt idx="101">
                  <c:v>19.500732422017109</c:v>
                </c:pt>
                <c:pt idx="102">
                  <c:v>19.287109375</c:v>
                </c:pt>
                <c:pt idx="103">
                  <c:v>19.378662108977096</c:v>
                </c:pt>
                <c:pt idx="104">
                  <c:v>19.485473633011452</c:v>
                </c:pt>
                <c:pt idx="105">
                  <c:v>19.332885741988548</c:v>
                </c:pt>
                <c:pt idx="106">
                  <c:v>19.378662110000278</c:v>
                </c:pt>
                <c:pt idx="107">
                  <c:v>19.424438476022488</c:v>
                </c:pt>
                <c:pt idx="108">
                  <c:v>19.48547363298303</c:v>
                </c:pt>
                <c:pt idx="109">
                  <c:v>19.454956055000139</c:v>
                </c:pt>
                <c:pt idx="110">
                  <c:v>19.485473632016692</c:v>
                </c:pt>
                <c:pt idx="111">
                  <c:v>19.500732421988687</c:v>
                </c:pt>
                <c:pt idx="112">
                  <c:v>19.515991210994343</c:v>
                </c:pt>
                <c:pt idx="113">
                  <c:v>19.149780274005934</c:v>
                </c:pt>
                <c:pt idx="114">
                  <c:v>19.638061523011174</c:v>
                </c:pt>
                <c:pt idx="115">
                  <c:v>19.088745116988548</c:v>
                </c:pt>
                <c:pt idx="116">
                  <c:v>19.454956055000139</c:v>
                </c:pt>
                <c:pt idx="117">
                  <c:v>19.454956055000139</c:v>
                </c:pt>
                <c:pt idx="118">
                  <c:v>19.470214843011036</c:v>
                </c:pt>
                <c:pt idx="119">
                  <c:v>19.500732421988687</c:v>
                </c:pt>
                <c:pt idx="120">
                  <c:v>19.348144531988964</c:v>
                </c:pt>
                <c:pt idx="121">
                  <c:v>19.393920898011174</c:v>
                </c:pt>
                <c:pt idx="122">
                  <c:v>19.470214844005795</c:v>
                </c:pt>
                <c:pt idx="123">
                  <c:v>19.226074219005795</c:v>
                </c:pt>
                <c:pt idx="124">
                  <c:v>19.470214842982614</c:v>
                </c:pt>
                <c:pt idx="125">
                  <c:v>19.317626953011313</c:v>
                </c:pt>
                <c:pt idx="126">
                  <c:v>19.424438476988826</c:v>
                </c:pt>
                <c:pt idx="127">
                  <c:v>19.424438477017247</c:v>
                </c:pt>
                <c:pt idx="128">
                  <c:v>19.088745116988548</c:v>
                </c:pt>
                <c:pt idx="129">
                  <c:v>19.653320311988409</c:v>
                </c:pt>
                <c:pt idx="130">
                  <c:v>19.210815430000139</c:v>
                </c:pt>
                <c:pt idx="131">
                  <c:v>19.683837891022904</c:v>
                </c:pt>
                <c:pt idx="132">
                  <c:v>18.310546875</c:v>
                </c:pt>
                <c:pt idx="133">
                  <c:v>17.990112303976957</c:v>
                </c:pt>
                <c:pt idx="134">
                  <c:v>19.424438477017247</c:v>
                </c:pt>
                <c:pt idx="135">
                  <c:v>19.271850585994343</c:v>
                </c:pt>
                <c:pt idx="136">
                  <c:v>19.409179686988409</c:v>
                </c:pt>
                <c:pt idx="137">
                  <c:v>19.317626953011313</c:v>
                </c:pt>
                <c:pt idx="138">
                  <c:v>19.363403320994621</c:v>
                </c:pt>
                <c:pt idx="139">
                  <c:v>19.271850585994343</c:v>
                </c:pt>
                <c:pt idx="140">
                  <c:v>19.393920898011174</c:v>
                </c:pt>
                <c:pt idx="141">
                  <c:v>19.409179688011591</c:v>
                </c:pt>
                <c:pt idx="142">
                  <c:v>19.134521483977096</c:v>
                </c:pt>
                <c:pt idx="143">
                  <c:v>19.653320312016831</c:v>
                </c:pt>
                <c:pt idx="144">
                  <c:v>19.210815430000139</c:v>
                </c:pt>
                <c:pt idx="145">
                  <c:v>19.515991210994343</c:v>
                </c:pt>
                <c:pt idx="146">
                  <c:v>19.470214844005795</c:v>
                </c:pt>
                <c:pt idx="147">
                  <c:v>19.317626952982891</c:v>
                </c:pt>
                <c:pt idx="148">
                  <c:v>19.33288574201697</c:v>
                </c:pt>
                <c:pt idx="149">
                  <c:v>9.6588134769888256</c:v>
                </c:pt>
                <c:pt idx="150">
                  <c:v>14.068603514999722</c:v>
                </c:pt>
                <c:pt idx="151">
                  <c:v>14.190673828011313</c:v>
                </c:pt>
                <c:pt idx="152">
                  <c:v>14.190673829006073</c:v>
                </c:pt>
                <c:pt idx="153">
                  <c:v>18.920898436988409</c:v>
                </c:pt>
                <c:pt idx="154">
                  <c:v>19.500732421988687</c:v>
                </c:pt>
                <c:pt idx="155">
                  <c:v>19.348144531022626</c:v>
                </c:pt>
                <c:pt idx="156">
                  <c:v>19.48547363298303</c:v>
                </c:pt>
                <c:pt idx="157">
                  <c:v>19.515991210994343</c:v>
                </c:pt>
                <c:pt idx="158">
                  <c:v>19.180297851022488</c:v>
                </c:pt>
                <c:pt idx="159">
                  <c:v>19.546508790000416</c:v>
                </c:pt>
                <c:pt idx="160">
                  <c:v>19.500732420993927</c:v>
                </c:pt>
                <c:pt idx="161">
                  <c:v>19.470214844005795</c:v>
                </c:pt>
                <c:pt idx="162">
                  <c:v>19.378662110000278</c:v>
                </c:pt>
                <c:pt idx="163">
                  <c:v>19.363403319999861</c:v>
                </c:pt>
                <c:pt idx="164">
                  <c:v>19.48547363298303</c:v>
                </c:pt>
                <c:pt idx="165">
                  <c:v>19.226074218011036</c:v>
                </c:pt>
                <c:pt idx="166">
                  <c:v>19.561767579006073</c:v>
                </c:pt>
                <c:pt idx="167">
                  <c:v>18.356323241988548</c:v>
                </c:pt>
                <c:pt idx="168">
                  <c:v>17.364501953011313</c:v>
                </c:pt>
                <c:pt idx="169">
                  <c:v>14.053344725994066</c:v>
                </c:pt>
                <c:pt idx="170">
                  <c:v>13.015747070994621</c:v>
                </c:pt>
                <c:pt idx="171">
                  <c:v>12.344360350994066</c:v>
                </c:pt>
                <c:pt idx="172">
                  <c:v>12.832641602017247</c:v>
                </c:pt>
                <c:pt idx="173">
                  <c:v>11.596679686988409</c:v>
                </c:pt>
                <c:pt idx="174">
                  <c:v>10.955810546988687</c:v>
                </c:pt>
                <c:pt idx="175">
                  <c:v>13.092041016022904</c:v>
                </c:pt>
                <c:pt idx="176">
                  <c:v>14.877319335994343</c:v>
                </c:pt>
                <c:pt idx="177">
                  <c:v>12.771606444999861</c:v>
                </c:pt>
                <c:pt idx="178">
                  <c:v>12.298583984005518</c:v>
                </c:pt>
                <c:pt idx="179">
                  <c:v>12.573242187983169</c:v>
                </c:pt>
                <c:pt idx="180">
                  <c:v>16.998291015994482</c:v>
                </c:pt>
                <c:pt idx="181">
                  <c:v>16.456604003508346</c:v>
                </c:pt>
                <c:pt idx="182">
                  <c:v>16.456604003508346</c:v>
                </c:pt>
                <c:pt idx="183">
                  <c:v>17.53234863298303</c:v>
                </c:pt>
                <c:pt idx="184">
                  <c:v>17.86804199201697</c:v>
                </c:pt>
                <c:pt idx="185">
                  <c:v>17.135620117983308</c:v>
                </c:pt>
                <c:pt idx="186">
                  <c:v>14.709472656022626</c:v>
                </c:pt>
                <c:pt idx="187">
                  <c:v>12.603759764999722</c:v>
                </c:pt>
                <c:pt idx="188">
                  <c:v>15.258789062983169</c:v>
                </c:pt>
                <c:pt idx="189">
                  <c:v>17.059326172017109</c:v>
                </c:pt>
                <c:pt idx="190">
                  <c:v>17.440795897982753</c:v>
                </c:pt>
                <c:pt idx="191">
                  <c:v>14.633178710994343</c:v>
                </c:pt>
                <c:pt idx="192">
                  <c:v>15.838623047017109</c:v>
                </c:pt>
                <c:pt idx="193">
                  <c:v>16.952514649005934</c:v>
                </c:pt>
                <c:pt idx="194">
                  <c:v>17.257690428976957</c:v>
                </c:pt>
                <c:pt idx="195">
                  <c:v>16.15905761701697</c:v>
                </c:pt>
                <c:pt idx="196">
                  <c:v>15.792846680000139</c:v>
                </c:pt>
                <c:pt idx="197">
                  <c:v>14.16015625</c:v>
                </c:pt>
                <c:pt idx="198">
                  <c:v>12.908935546988687</c:v>
                </c:pt>
                <c:pt idx="199">
                  <c:v>12.344360352017247</c:v>
                </c:pt>
                <c:pt idx="200">
                  <c:v>11.703491209999584</c:v>
                </c:pt>
                <c:pt idx="201">
                  <c:v>17.715454101988826</c:v>
                </c:pt>
                <c:pt idx="202">
                  <c:v>19.790649414005657</c:v>
                </c:pt>
                <c:pt idx="203">
                  <c:v>19.500732421988687</c:v>
                </c:pt>
                <c:pt idx="204">
                  <c:v>19.790649414005657</c:v>
                </c:pt>
                <c:pt idx="205">
                  <c:v>18.356323241988548</c:v>
                </c:pt>
                <c:pt idx="206">
                  <c:v>19.592285156022626</c:v>
                </c:pt>
                <c:pt idx="207">
                  <c:v>19.821166992983308</c:v>
                </c:pt>
                <c:pt idx="208">
                  <c:v>19.500732422017109</c:v>
                </c:pt>
                <c:pt idx="209">
                  <c:v>19.607543944999861</c:v>
                </c:pt>
                <c:pt idx="210">
                  <c:v>16.693115233977096</c:v>
                </c:pt>
                <c:pt idx="211">
                  <c:v>16.021728516022904</c:v>
                </c:pt>
                <c:pt idx="212">
                  <c:v>17.364501952982891</c:v>
                </c:pt>
                <c:pt idx="213">
                  <c:v>18.890380859005518</c:v>
                </c:pt>
                <c:pt idx="214">
                  <c:v>18.722534180000139</c:v>
                </c:pt>
                <c:pt idx="215">
                  <c:v>16.479492188011591</c:v>
                </c:pt>
                <c:pt idx="216">
                  <c:v>17.166137694999861</c:v>
                </c:pt>
                <c:pt idx="217">
                  <c:v>16.860961913977235</c:v>
                </c:pt>
                <c:pt idx="218">
                  <c:v>14.572143555000139</c:v>
                </c:pt>
                <c:pt idx="219">
                  <c:v>11.917114257016692</c:v>
                </c:pt>
                <c:pt idx="220">
                  <c:v>11.032104492983308</c:v>
                </c:pt>
                <c:pt idx="221">
                  <c:v>12.405395507016692</c:v>
                </c:pt>
                <c:pt idx="222">
                  <c:v>12.496948242983308</c:v>
                </c:pt>
                <c:pt idx="223">
                  <c:v>13.504028319999861</c:v>
                </c:pt>
                <c:pt idx="224">
                  <c:v>13.046264648011174</c:v>
                </c:pt>
                <c:pt idx="225">
                  <c:v>13.18359375</c:v>
                </c:pt>
                <c:pt idx="226">
                  <c:v>16.128540039005657</c:v>
                </c:pt>
                <c:pt idx="227">
                  <c:v>16.143798829006073</c:v>
                </c:pt>
                <c:pt idx="228">
                  <c:v>16.708374022982753</c:v>
                </c:pt>
                <c:pt idx="229">
                  <c:v>19.561767578011313</c:v>
                </c:pt>
                <c:pt idx="230">
                  <c:v>19.546508789005657</c:v>
                </c:pt>
                <c:pt idx="231">
                  <c:v>19.882202148977512</c:v>
                </c:pt>
                <c:pt idx="232">
                  <c:v>19.82116699201697</c:v>
                </c:pt>
                <c:pt idx="233">
                  <c:v>19.775390625</c:v>
                </c:pt>
                <c:pt idx="234">
                  <c:v>19.653320311988409</c:v>
                </c:pt>
                <c:pt idx="235">
                  <c:v>19.348144532017386</c:v>
                </c:pt>
                <c:pt idx="236">
                  <c:v>19.714355467982614</c:v>
                </c:pt>
                <c:pt idx="237">
                  <c:v>19.775390625</c:v>
                </c:pt>
                <c:pt idx="238">
                  <c:v>19.836425782017386</c:v>
                </c:pt>
                <c:pt idx="239">
                  <c:v>19.72961425698827</c:v>
                </c:pt>
                <c:pt idx="240">
                  <c:v>19.744873046988687</c:v>
                </c:pt>
                <c:pt idx="241">
                  <c:v>19.72961425698827</c:v>
                </c:pt>
                <c:pt idx="242">
                  <c:v>19.744873046988687</c:v>
                </c:pt>
                <c:pt idx="243">
                  <c:v>18.417358397982753</c:v>
                </c:pt>
                <c:pt idx="244">
                  <c:v>14.984130860000278</c:v>
                </c:pt>
                <c:pt idx="245">
                  <c:v>13.946533203011313</c:v>
                </c:pt>
                <c:pt idx="246">
                  <c:v>12.634277343011036</c:v>
                </c:pt>
                <c:pt idx="247">
                  <c:v>13.961791992983308</c:v>
                </c:pt>
                <c:pt idx="248">
                  <c:v>16.998291014999722</c:v>
                </c:pt>
                <c:pt idx="249">
                  <c:v>19.882202149005934</c:v>
                </c:pt>
                <c:pt idx="250">
                  <c:v>19.958496093011036</c:v>
                </c:pt>
                <c:pt idx="251">
                  <c:v>19.683837890994482</c:v>
                </c:pt>
                <c:pt idx="252">
                  <c:v>19.836425780994205</c:v>
                </c:pt>
                <c:pt idx="253">
                  <c:v>19.805908203011313</c:v>
                </c:pt>
                <c:pt idx="254">
                  <c:v>19.805908203977651</c:v>
                </c:pt>
                <c:pt idx="255">
                  <c:v>19.424438476022488</c:v>
                </c:pt>
                <c:pt idx="256">
                  <c:v>11.566162110000278</c:v>
                </c:pt>
                <c:pt idx="257">
                  <c:v>19.592285155994205</c:v>
                </c:pt>
                <c:pt idx="258">
                  <c:v>19.882202147982753</c:v>
                </c:pt>
                <c:pt idx="259">
                  <c:v>19.500732422017109</c:v>
                </c:pt>
                <c:pt idx="260">
                  <c:v>19.134521484005518</c:v>
                </c:pt>
                <c:pt idx="261">
                  <c:v>19.332885742983308</c:v>
                </c:pt>
                <c:pt idx="262">
                  <c:v>16.395568847514141</c:v>
                </c:pt>
                <c:pt idx="263">
                  <c:v>16.39556884748572</c:v>
                </c:pt>
                <c:pt idx="264">
                  <c:v>14.541625977017247</c:v>
                </c:pt>
                <c:pt idx="265">
                  <c:v>14.480590819999861</c:v>
                </c:pt>
                <c:pt idx="266">
                  <c:v>12.268066405994205</c:v>
                </c:pt>
                <c:pt idx="267">
                  <c:v>14.434814452982891</c:v>
                </c:pt>
                <c:pt idx="268">
                  <c:v>14.465332031022626</c:v>
                </c:pt>
                <c:pt idx="269">
                  <c:v>14.495849610000278</c:v>
                </c:pt>
                <c:pt idx="270">
                  <c:v>14.587402343977374</c:v>
                </c:pt>
                <c:pt idx="271">
                  <c:v>14.45007324201697</c:v>
                </c:pt>
                <c:pt idx="272">
                  <c:v>8.1481933590055178</c:v>
                </c:pt>
                <c:pt idx="273">
                  <c:v>4.4097900389772349</c:v>
                </c:pt>
                <c:pt idx="274">
                  <c:v>4.3182373050001388</c:v>
                </c:pt>
                <c:pt idx="275">
                  <c:v>4.8828125</c:v>
                </c:pt>
                <c:pt idx="276">
                  <c:v>5.5999755860227651</c:v>
                </c:pt>
                <c:pt idx="277">
                  <c:v>14.282226561988409</c:v>
                </c:pt>
                <c:pt idx="278">
                  <c:v>19.561767578011313</c:v>
                </c:pt>
                <c:pt idx="279">
                  <c:v>19.775390625</c:v>
                </c:pt>
                <c:pt idx="280">
                  <c:v>19.653320312983169</c:v>
                </c:pt>
                <c:pt idx="281">
                  <c:v>19.866943359005518</c:v>
                </c:pt>
                <c:pt idx="282">
                  <c:v>19.439697265994482</c:v>
                </c:pt>
                <c:pt idx="283">
                  <c:v>19.668579102017247</c:v>
                </c:pt>
                <c:pt idx="284">
                  <c:v>19.332885741988548</c:v>
                </c:pt>
                <c:pt idx="285">
                  <c:v>19.821166991988548</c:v>
                </c:pt>
                <c:pt idx="286">
                  <c:v>19.775390625</c:v>
                </c:pt>
                <c:pt idx="287">
                  <c:v>19.714355469005795</c:v>
                </c:pt>
                <c:pt idx="288">
                  <c:v>8.30078125</c:v>
                </c:pt>
                <c:pt idx="289">
                  <c:v>3.4637451170169697</c:v>
                </c:pt>
                <c:pt idx="290">
                  <c:v>2.1057128899997224</c:v>
                </c:pt>
                <c:pt idx="291">
                  <c:v>2.029418945994621</c:v>
                </c:pt>
                <c:pt idx="292">
                  <c:v>2.2583007809942046</c:v>
                </c:pt>
                <c:pt idx="293">
                  <c:v>2.4261474609943434</c:v>
                </c:pt>
                <c:pt idx="294">
                  <c:v>2.5939941409944822</c:v>
                </c:pt>
                <c:pt idx="295">
                  <c:v>2.685546875</c:v>
                </c:pt>
                <c:pt idx="296">
                  <c:v>3.0059814449998612</c:v>
                </c:pt>
                <c:pt idx="297">
                  <c:v>3.6010742190057954</c:v>
                </c:pt>
                <c:pt idx="298">
                  <c:v>4.3792724609943434</c:v>
                </c:pt>
                <c:pt idx="299">
                  <c:v>10.650634764999722</c:v>
                </c:pt>
                <c:pt idx="300">
                  <c:v>19.393920899005934</c:v>
                </c:pt>
                <c:pt idx="301">
                  <c:v>19.653320312016831</c:v>
                </c:pt>
                <c:pt idx="302">
                  <c:v>19.378662110000278</c:v>
                </c:pt>
                <c:pt idx="303">
                  <c:v>19.668579100994066</c:v>
                </c:pt>
                <c:pt idx="304">
                  <c:v>19.332885741988548</c:v>
                </c:pt>
                <c:pt idx="305">
                  <c:v>19.500732422017109</c:v>
                </c:pt>
                <c:pt idx="306">
                  <c:v>19.439697265994482</c:v>
                </c:pt>
                <c:pt idx="307">
                  <c:v>17.562866210994343</c:v>
                </c:pt>
                <c:pt idx="308">
                  <c:v>14.312744139999722</c:v>
                </c:pt>
                <c:pt idx="309">
                  <c:v>14.282226563011591</c:v>
                </c:pt>
                <c:pt idx="310">
                  <c:v>14.236450194999861</c:v>
                </c:pt>
                <c:pt idx="311">
                  <c:v>14.282226562983169</c:v>
                </c:pt>
                <c:pt idx="312">
                  <c:v>14.038085937016831</c:v>
                </c:pt>
                <c:pt idx="313">
                  <c:v>14.419555663977235</c:v>
                </c:pt>
                <c:pt idx="314">
                  <c:v>14.221191406022626</c:v>
                </c:pt>
                <c:pt idx="315">
                  <c:v>14.175415040000416</c:v>
                </c:pt>
                <c:pt idx="316">
                  <c:v>14.11437988198827</c:v>
                </c:pt>
                <c:pt idx="317">
                  <c:v>14.251708985000278</c:v>
                </c:pt>
                <c:pt idx="318">
                  <c:v>14.266967773011174</c:v>
                </c:pt>
                <c:pt idx="319">
                  <c:v>14.236450194999861</c:v>
                </c:pt>
                <c:pt idx="320">
                  <c:v>14.129638671988687</c:v>
                </c:pt>
                <c:pt idx="321">
                  <c:v>14.266967774005934</c:v>
                </c:pt>
                <c:pt idx="322">
                  <c:v>14.297485350994066</c:v>
                </c:pt>
                <c:pt idx="323">
                  <c:v>16.082763671988687</c:v>
                </c:pt>
                <c:pt idx="324">
                  <c:v>16.494750977017247</c:v>
                </c:pt>
                <c:pt idx="325">
                  <c:v>13.610839844005795</c:v>
                </c:pt>
                <c:pt idx="326">
                  <c:v>14.801025389999722</c:v>
                </c:pt>
                <c:pt idx="327">
                  <c:v>13.488769530994205</c:v>
                </c:pt>
                <c:pt idx="328">
                  <c:v>17.868041992983308</c:v>
                </c:pt>
                <c:pt idx="329">
                  <c:v>19.699096679005379</c:v>
                </c:pt>
                <c:pt idx="330">
                  <c:v>19.363403320994621</c:v>
                </c:pt>
                <c:pt idx="331">
                  <c:v>19.378662109005518</c:v>
                </c:pt>
                <c:pt idx="332">
                  <c:v>19.073486328011313</c:v>
                </c:pt>
                <c:pt idx="333">
                  <c:v>19.393920899005934</c:v>
                </c:pt>
                <c:pt idx="334">
                  <c:v>19.409179686988409</c:v>
                </c:pt>
                <c:pt idx="335">
                  <c:v>19.638061523011174</c:v>
                </c:pt>
                <c:pt idx="336">
                  <c:v>19.24133300798303</c:v>
                </c:pt>
                <c:pt idx="337">
                  <c:v>19.53125</c:v>
                </c:pt>
                <c:pt idx="338">
                  <c:v>19.454956055000139</c:v>
                </c:pt>
                <c:pt idx="339">
                  <c:v>19.53125</c:v>
                </c:pt>
                <c:pt idx="340">
                  <c:v>19.561767578011313</c:v>
                </c:pt>
                <c:pt idx="341">
                  <c:v>19.668579101988826</c:v>
                </c:pt>
                <c:pt idx="342">
                  <c:v>19.180297850994066</c:v>
                </c:pt>
                <c:pt idx="343">
                  <c:v>19.729614258011452</c:v>
                </c:pt>
                <c:pt idx="344">
                  <c:v>19.210815430000139</c:v>
                </c:pt>
                <c:pt idx="345">
                  <c:v>19.592285155994205</c:v>
                </c:pt>
                <c:pt idx="346">
                  <c:v>19.744873047017109</c:v>
                </c:pt>
                <c:pt idx="347">
                  <c:v>19.393920897982753</c:v>
                </c:pt>
                <c:pt idx="348">
                  <c:v>19.607543945994621</c:v>
                </c:pt>
                <c:pt idx="349">
                  <c:v>19.546508789005657</c:v>
                </c:pt>
                <c:pt idx="350">
                  <c:v>19.485473632016692</c:v>
                </c:pt>
                <c:pt idx="351">
                  <c:v>19.48547363298303</c:v>
                </c:pt>
                <c:pt idx="352">
                  <c:v>19.287109375</c:v>
                </c:pt>
                <c:pt idx="353">
                  <c:v>19.561767578011313</c:v>
                </c:pt>
                <c:pt idx="354">
                  <c:v>19.302368164005657</c:v>
                </c:pt>
                <c:pt idx="355">
                  <c:v>19.378662110000278</c:v>
                </c:pt>
                <c:pt idx="356">
                  <c:v>19.195556639999722</c:v>
                </c:pt>
                <c:pt idx="357">
                  <c:v>19.058227540000416</c:v>
                </c:pt>
                <c:pt idx="358">
                  <c:v>16.647338866988548</c:v>
                </c:pt>
                <c:pt idx="359">
                  <c:v>17.486572264999722</c:v>
                </c:pt>
                <c:pt idx="360">
                  <c:v>16.036987305000139</c:v>
                </c:pt>
                <c:pt idx="361">
                  <c:v>14.999389648011174</c:v>
                </c:pt>
                <c:pt idx="362">
                  <c:v>14.190673828977651</c:v>
                </c:pt>
                <c:pt idx="363">
                  <c:v>13.565063476022488</c:v>
                </c:pt>
                <c:pt idx="364">
                  <c:v>11.856079101988826</c:v>
                </c:pt>
                <c:pt idx="365">
                  <c:v>9.078979491988548</c:v>
                </c:pt>
                <c:pt idx="366">
                  <c:v>7.1</c:v>
                </c:pt>
                <c:pt idx="367">
                  <c:v>4.0999999999999996</c:v>
                </c:pt>
                <c:pt idx="368">
                  <c:v>3.1</c:v>
                </c:pt>
                <c:pt idx="369">
                  <c:v>2.9296875</c:v>
                </c:pt>
                <c:pt idx="370">
                  <c:v>3.2653808600002776</c:v>
                </c:pt>
                <c:pt idx="371">
                  <c:v>3.6468505849995836</c:v>
                </c:pt>
                <c:pt idx="372">
                  <c:v>3.4027099609943434</c:v>
                </c:pt>
                <c:pt idx="373">
                  <c:v>14.968872070994621</c:v>
                </c:pt>
                <c:pt idx="374">
                  <c:v>19.699096679005379</c:v>
                </c:pt>
                <c:pt idx="375">
                  <c:v>13.153076171988687</c:v>
                </c:pt>
                <c:pt idx="376">
                  <c:v>17.898559570994621</c:v>
                </c:pt>
                <c:pt idx="377">
                  <c:v>19.699096679005379</c:v>
                </c:pt>
                <c:pt idx="378">
                  <c:v>19.454956055000139</c:v>
                </c:pt>
                <c:pt idx="379">
                  <c:v>19.241333008011452</c:v>
                </c:pt>
                <c:pt idx="380">
                  <c:v>19.348144530994205</c:v>
                </c:pt>
                <c:pt idx="381">
                  <c:v>18.493652344005795</c:v>
                </c:pt>
                <c:pt idx="382">
                  <c:v>16.265869139999722</c:v>
                </c:pt>
                <c:pt idx="383">
                  <c:v>14.251708985000278</c:v>
                </c:pt>
                <c:pt idx="384">
                  <c:v>13.046264647982753</c:v>
                </c:pt>
                <c:pt idx="385">
                  <c:v>12.023925781022626</c:v>
                </c:pt>
                <c:pt idx="386">
                  <c:v>11.001586915000416</c:v>
                </c:pt>
                <c:pt idx="387">
                  <c:v>10.772705077982891</c:v>
                </c:pt>
                <c:pt idx="388">
                  <c:v>10.269165039005657</c:v>
                </c:pt>
                <c:pt idx="389">
                  <c:v>9.8571777340055178</c:v>
                </c:pt>
                <c:pt idx="390">
                  <c:v>9.2010498050001388</c:v>
                </c:pt>
                <c:pt idx="391">
                  <c:v>11.871337889999722</c:v>
                </c:pt>
                <c:pt idx="392">
                  <c:v>18.005371094005795</c:v>
                </c:pt>
                <c:pt idx="393">
                  <c:v>18.50891113298303</c:v>
                </c:pt>
                <c:pt idx="394">
                  <c:v>19.149780273011174</c:v>
                </c:pt>
                <c:pt idx="395">
                  <c:v>19.119262695994621</c:v>
                </c:pt>
                <c:pt idx="396">
                  <c:v>19.699096679005379</c:v>
                </c:pt>
                <c:pt idx="397">
                  <c:v>19.668579101988826</c:v>
                </c:pt>
                <c:pt idx="398">
                  <c:v>19.638061523011174</c:v>
                </c:pt>
                <c:pt idx="399">
                  <c:v>19.24133300798303</c:v>
                </c:pt>
                <c:pt idx="400">
                  <c:v>15.67077636701697</c:v>
                </c:pt>
                <c:pt idx="401">
                  <c:v>19.317626954006073</c:v>
                </c:pt>
                <c:pt idx="402">
                  <c:v>18.99719238198827</c:v>
                </c:pt>
                <c:pt idx="403">
                  <c:v>17.13562011801173</c:v>
                </c:pt>
                <c:pt idx="404">
                  <c:v>16.571044920993927</c:v>
                </c:pt>
                <c:pt idx="405">
                  <c:v>15.686035156988964</c:v>
                </c:pt>
                <c:pt idx="406">
                  <c:v>15.106201172017109</c:v>
                </c:pt>
                <c:pt idx="407">
                  <c:v>13.442993163977235</c:v>
                </c:pt>
                <c:pt idx="408">
                  <c:v>11.245727539005657</c:v>
                </c:pt>
                <c:pt idx="409">
                  <c:v>10.162353514999722</c:v>
                </c:pt>
                <c:pt idx="410">
                  <c:v>9.353637695994621</c:v>
                </c:pt>
                <c:pt idx="411">
                  <c:v>9.27734375</c:v>
                </c:pt>
                <c:pt idx="412">
                  <c:v>8.7738037110227651</c:v>
                </c:pt>
                <c:pt idx="413">
                  <c:v>8.346557616988548</c:v>
                </c:pt>
                <c:pt idx="414">
                  <c:v>7.9650878899997224</c:v>
                </c:pt>
                <c:pt idx="415">
                  <c:v>11.474609375</c:v>
                </c:pt>
                <c:pt idx="416">
                  <c:v>16.662597656988964</c:v>
                </c:pt>
                <c:pt idx="417">
                  <c:v>18.707275389999722</c:v>
                </c:pt>
                <c:pt idx="418">
                  <c:v>17.517089844005795</c:v>
                </c:pt>
                <c:pt idx="419">
                  <c:v>15.731811523011174</c:v>
                </c:pt>
                <c:pt idx="420">
                  <c:v>14.587402344005795</c:v>
                </c:pt>
                <c:pt idx="421">
                  <c:v>15.106201171988687</c:v>
                </c:pt>
                <c:pt idx="422">
                  <c:v>19.363403319999861</c:v>
                </c:pt>
                <c:pt idx="423">
                  <c:v>19.683837890994482</c:v>
                </c:pt>
                <c:pt idx="424">
                  <c:v>19.653320312016831</c:v>
                </c:pt>
                <c:pt idx="425">
                  <c:v>19.668579101988826</c:v>
                </c:pt>
                <c:pt idx="426">
                  <c:v>15.197753905994205</c:v>
                </c:pt>
                <c:pt idx="427">
                  <c:v>13.275146485000278</c:v>
                </c:pt>
                <c:pt idx="428">
                  <c:v>12.130737304005379</c:v>
                </c:pt>
                <c:pt idx="429">
                  <c:v>13.793945313011591</c:v>
                </c:pt>
                <c:pt idx="430">
                  <c:v>13.504028319999861</c:v>
                </c:pt>
                <c:pt idx="431">
                  <c:v>12.16125488298303</c:v>
                </c:pt>
                <c:pt idx="432">
                  <c:v>11.138916015994482</c:v>
                </c:pt>
                <c:pt idx="433">
                  <c:v>9.765625</c:v>
                </c:pt>
                <c:pt idx="434">
                  <c:v>9.5062255860227651</c:v>
                </c:pt>
                <c:pt idx="435">
                  <c:v>9.6893310539769573</c:v>
                </c:pt>
                <c:pt idx="436">
                  <c:v>9.3688964850002776</c:v>
                </c:pt>
                <c:pt idx="437">
                  <c:v>8.4381103510224875</c:v>
                </c:pt>
                <c:pt idx="438">
                  <c:v>7.9345703129831691</c:v>
                </c:pt>
                <c:pt idx="439">
                  <c:v>10.803222655994205</c:v>
                </c:pt>
                <c:pt idx="440">
                  <c:v>18.11218261701697</c:v>
                </c:pt>
                <c:pt idx="441">
                  <c:v>19.653320312983169</c:v>
                </c:pt>
                <c:pt idx="442">
                  <c:v>19.775390625</c:v>
                </c:pt>
                <c:pt idx="443">
                  <c:v>18.798828125</c:v>
                </c:pt>
                <c:pt idx="444">
                  <c:v>19.668579101022488</c:v>
                </c:pt>
                <c:pt idx="445">
                  <c:v>19.744873046988687</c:v>
                </c:pt>
                <c:pt idx="446">
                  <c:v>19.577026366988548</c:v>
                </c:pt>
                <c:pt idx="447">
                  <c:v>19.714355469005795</c:v>
                </c:pt>
                <c:pt idx="448">
                  <c:v>19.683837890994482</c:v>
                </c:pt>
                <c:pt idx="449">
                  <c:v>19.317626953011313</c:v>
                </c:pt>
                <c:pt idx="450">
                  <c:v>19.485473633011452</c:v>
                </c:pt>
                <c:pt idx="451">
                  <c:v>16.006469725994066</c:v>
                </c:pt>
                <c:pt idx="452">
                  <c:v>16.189575194999861</c:v>
                </c:pt>
                <c:pt idx="453">
                  <c:v>16.250610351988826</c:v>
                </c:pt>
                <c:pt idx="454">
                  <c:v>16.052246094005795</c:v>
                </c:pt>
                <c:pt idx="455">
                  <c:v>13.610839843011036</c:v>
                </c:pt>
                <c:pt idx="456">
                  <c:v>11.42883300798303</c:v>
                </c:pt>
                <c:pt idx="457">
                  <c:v>10.070800782017386</c:v>
                </c:pt>
                <c:pt idx="458">
                  <c:v>10.070800780994205</c:v>
                </c:pt>
                <c:pt idx="459">
                  <c:v>9.6130371090055178</c:v>
                </c:pt>
                <c:pt idx="460">
                  <c:v>9.0179443359943434</c:v>
                </c:pt>
                <c:pt idx="461">
                  <c:v>14.831542969005795</c:v>
                </c:pt>
                <c:pt idx="462">
                  <c:v>14.099121093977374</c:v>
                </c:pt>
                <c:pt idx="463">
                  <c:v>14.93835449201697</c:v>
                </c:pt>
                <c:pt idx="464">
                  <c:v>19.577026366988548</c:v>
                </c:pt>
                <c:pt idx="465">
                  <c:v>19.683837890994482</c:v>
                </c:pt>
                <c:pt idx="466">
                  <c:v>19.714355468011036</c:v>
                </c:pt>
                <c:pt idx="467">
                  <c:v>19.683837890994482</c:v>
                </c:pt>
                <c:pt idx="468">
                  <c:v>19.485473633011452</c:v>
                </c:pt>
                <c:pt idx="469">
                  <c:v>19.699096679005379</c:v>
                </c:pt>
                <c:pt idx="470">
                  <c:v>19.699096680000139</c:v>
                </c:pt>
                <c:pt idx="471">
                  <c:v>19.424438476988826</c:v>
                </c:pt>
                <c:pt idx="472">
                  <c:v>19.653320311988409</c:v>
                </c:pt>
                <c:pt idx="473">
                  <c:v>19.638061524005934</c:v>
                </c:pt>
                <c:pt idx="474">
                  <c:v>19.57702636701697</c:v>
                </c:pt>
                <c:pt idx="475">
                  <c:v>19.302368163977235</c:v>
                </c:pt>
                <c:pt idx="476">
                  <c:v>18.615722656022626</c:v>
                </c:pt>
                <c:pt idx="477">
                  <c:v>18.234252930000139</c:v>
                </c:pt>
                <c:pt idx="478">
                  <c:v>15.197753905994205</c:v>
                </c:pt>
                <c:pt idx="479">
                  <c:v>13.687133789005657</c:v>
                </c:pt>
                <c:pt idx="480">
                  <c:v>15.411376952982891</c:v>
                </c:pt>
                <c:pt idx="481">
                  <c:v>15.777587890994482</c:v>
                </c:pt>
                <c:pt idx="482">
                  <c:v>16.15905761701697</c:v>
                </c:pt>
                <c:pt idx="483">
                  <c:v>17.211914062983169</c:v>
                </c:pt>
                <c:pt idx="484">
                  <c:v>16.174316406022626</c:v>
                </c:pt>
                <c:pt idx="485">
                  <c:v>15.655517577982891</c:v>
                </c:pt>
                <c:pt idx="486">
                  <c:v>13.275146484005518</c:v>
                </c:pt>
                <c:pt idx="487">
                  <c:v>14.389038085994343</c:v>
                </c:pt>
                <c:pt idx="488">
                  <c:v>19.775390625</c:v>
                </c:pt>
                <c:pt idx="489">
                  <c:v>19.409179688011591</c:v>
                </c:pt>
                <c:pt idx="490">
                  <c:v>19.958496094005795</c:v>
                </c:pt>
                <c:pt idx="491">
                  <c:v>19.805908202982891</c:v>
                </c:pt>
                <c:pt idx="492">
                  <c:v>19.744873047017109</c:v>
                </c:pt>
                <c:pt idx="493">
                  <c:v>19.302368163977235</c:v>
                </c:pt>
                <c:pt idx="494">
                  <c:v>19.622802734005518</c:v>
                </c:pt>
                <c:pt idx="495">
                  <c:v>19.653320312016831</c:v>
                </c:pt>
                <c:pt idx="496">
                  <c:v>19.638061523977512</c:v>
                </c:pt>
                <c:pt idx="497">
                  <c:v>19.424438476022488</c:v>
                </c:pt>
                <c:pt idx="498">
                  <c:v>19.638061523977512</c:v>
                </c:pt>
                <c:pt idx="499">
                  <c:v>19.592285156022626</c:v>
                </c:pt>
                <c:pt idx="500">
                  <c:v>19.72961425798303</c:v>
                </c:pt>
                <c:pt idx="501">
                  <c:v>19.317626953011313</c:v>
                </c:pt>
                <c:pt idx="502">
                  <c:v>19.592285155994205</c:v>
                </c:pt>
                <c:pt idx="503">
                  <c:v>19.638061524005934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F1-4D0C-A62E-86CF9E7AB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8423264"/>
        <c:axId val="-2048421632"/>
      </c:lineChart>
      <c:catAx>
        <c:axId val="-2048423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-2048421632"/>
        <c:crosses val="autoZero"/>
        <c:auto val="1"/>
        <c:lblAlgn val="ctr"/>
        <c:lblOffset val="100"/>
        <c:noMultiLvlLbl val="0"/>
      </c:catAx>
      <c:valAx>
        <c:axId val="-204842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-204842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Evolución Costes Energéticos HARD ROCK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'Presentación ESCO'!$C$19</c:f>
              <c:strCache>
                <c:ptCount val="1"/>
                <c:pt idx="0">
                  <c:v>Electricidad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'Presentación ESCO'!$B$20:$B$29</c:f>
              <c:numCache>
                <c:formatCode>0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f>'Presentación ESCO'!$C$20:$C$29</c:f>
              <c:numCache>
                <c:formatCode>#,##0</c:formatCode>
                <c:ptCount val="10"/>
                <c:pt idx="0">
                  <c:v>1587836.4541722997</c:v>
                </c:pt>
                <c:pt idx="1">
                  <c:v>1619593.1832557458</c:v>
                </c:pt>
                <c:pt idx="2">
                  <c:v>1651985.0469208607</c:v>
                </c:pt>
                <c:pt idx="3">
                  <c:v>1685024.7478592778</c:v>
                </c:pt>
                <c:pt idx="4">
                  <c:v>1718725.2428164636</c:v>
                </c:pt>
                <c:pt idx="5">
                  <c:v>1753099.747672793</c:v>
                </c:pt>
                <c:pt idx="6">
                  <c:v>1788161.7426262489</c:v>
                </c:pt>
                <c:pt idx="7">
                  <c:v>1823924.977478774</c:v>
                </c:pt>
                <c:pt idx="8">
                  <c:v>1860403.4770283494</c:v>
                </c:pt>
                <c:pt idx="9">
                  <c:v>1897611.5465689164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B-4667-9D10-F8C636C8A3BB}"/>
            </c:ext>
          </c:extLst>
        </c:ser>
        <c:ser>
          <c:idx val="2"/>
          <c:order val="2"/>
          <c:tx>
            <c:strRef>
              <c:f>'Presentación ESCO'!$D$19</c:f>
              <c:strCache>
                <c:ptCount val="1"/>
                <c:pt idx="0">
                  <c:v>ACS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'Presentación ESCO'!$B$20:$B$29</c:f>
              <c:numCache>
                <c:formatCode>0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f>'Presentación ESCO'!$D$20:$D$29</c:f>
              <c:numCache>
                <c:formatCode>#,##0</c:formatCode>
                <c:ptCount val="10"/>
                <c:pt idx="0">
                  <c:v>367763.42396540625</c:v>
                </c:pt>
                <c:pt idx="1">
                  <c:v>375118.69244471443</c:v>
                </c:pt>
                <c:pt idx="2">
                  <c:v>382621.06629360869</c:v>
                </c:pt>
                <c:pt idx="3">
                  <c:v>390273.48761948087</c:v>
                </c:pt>
                <c:pt idx="4">
                  <c:v>398078.95737187052</c:v>
                </c:pt>
                <c:pt idx="5">
                  <c:v>406040.53651930799</c:v>
                </c:pt>
                <c:pt idx="6">
                  <c:v>414161.34724969411</c:v>
                </c:pt>
                <c:pt idx="7">
                  <c:v>422444.57419468806</c:v>
                </c:pt>
                <c:pt idx="8">
                  <c:v>430893.46567858185</c:v>
                </c:pt>
                <c:pt idx="9">
                  <c:v>439511.33499215345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B-4667-9D10-F8C636C8A3BB}"/>
            </c:ext>
          </c:extLst>
        </c:ser>
        <c:ser>
          <c:idx val="3"/>
          <c:order val="3"/>
          <c:tx>
            <c:strRef>
              <c:f>'Presentación ESCO'!$E$19</c:f>
              <c:strCache>
                <c:ptCount val="1"/>
                <c:pt idx="0">
                  <c:v>Agua Helada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'Presentación ESCO'!$B$20:$B$29</c:f>
              <c:numCache>
                <c:formatCode>0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f>'Presentación ESCO'!$E$20:$E$29</c:f>
              <c:numCache>
                <c:formatCode>#,##0</c:formatCode>
                <c:ptCount val="10"/>
                <c:pt idx="0">
                  <c:v>671354.6642531075</c:v>
                </c:pt>
                <c:pt idx="1">
                  <c:v>684781.75753816986</c:v>
                </c:pt>
                <c:pt idx="2">
                  <c:v>698477.39268893329</c:v>
                </c:pt>
                <c:pt idx="3">
                  <c:v>712446.94054271199</c:v>
                </c:pt>
                <c:pt idx="4">
                  <c:v>726695.87935356621</c:v>
                </c:pt>
                <c:pt idx="5">
                  <c:v>741229.79694063752</c:v>
                </c:pt>
                <c:pt idx="6">
                  <c:v>756054.39287945023</c:v>
                </c:pt>
                <c:pt idx="7">
                  <c:v>771175.48073703924</c:v>
                </c:pt>
                <c:pt idx="8">
                  <c:v>786598.99035177997</c:v>
                </c:pt>
                <c:pt idx="9">
                  <c:v>802330.97015881562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2B-4667-9D10-F8C636C8A3BB}"/>
            </c:ext>
          </c:extLst>
        </c:ser>
        <c:ser>
          <c:idx val="4"/>
          <c:order val="4"/>
          <c:tx>
            <c:strRef>
              <c:f>'Presentación ESCO'!$F$19</c:f>
              <c:strCache>
                <c:ptCount val="1"/>
                <c:pt idx="0">
                  <c:v>Término Fijo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'Presentación ESCO'!$B$20:$B$29</c:f>
              <c:numCache>
                <c:formatCode>0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f>'Presentación ESCO'!$F$20:$F$29</c:f>
              <c:numCache>
                <c:formatCode>#,##0</c:formatCode>
                <c:ptCount val="10"/>
                <c:pt idx="0">
                  <c:v>1104897.9371228749</c:v>
                </c:pt>
                <c:pt idx="1">
                  <c:v>1104897.9371228749</c:v>
                </c:pt>
                <c:pt idx="2">
                  <c:v>1104897.9371228749</c:v>
                </c:pt>
                <c:pt idx="3">
                  <c:v>1104897.9371228749</c:v>
                </c:pt>
                <c:pt idx="4">
                  <c:v>1104897.9371228749</c:v>
                </c:pt>
                <c:pt idx="5">
                  <c:v>1104897.9371228749</c:v>
                </c:pt>
                <c:pt idx="6">
                  <c:v>1104897.9371228749</c:v>
                </c:pt>
                <c:pt idx="7">
                  <c:v>1104897.9371228749</c:v>
                </c:pt>
                <c:pt idx="8">
                  <c:v>1104897.9371228749</c:v>
                </c:pt>
                <c:pt idx="9">
                  <c:v>1104897.9371228749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2B-4667-9D10-F8C636C8A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9471152"/>
        <c:axId val="8094708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'Presentación ESCO'!$B$19</c15:sqref>
                        </c15:formulaRef>
                      </c:ext>
                    </c:extLst>
                    <c:strCache>
                      <c:ptCount val="1"/>
                      <c:pt idx="0">
                        <c:v>Año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'Presentación ESCO'!$B$20:$B$29</c15:sqref>
                        </c15:formulaRef>
                      </c:ext>
                    </c:extLst>
                    <c:numCache>
                      <c:formatCode>0</c:formatCode>
                      <c:ptCount val="10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  <c:pt idx="5">
                        <c:v>2023</c:v>
                      </c:pt>
                      <c:pt idx="6">
                        <c:v>2024</c:v>
                      </c:pt>
                      <c:pt idx="7">
                        <c:v>2025</c:v>
                      </c:pt>
                      <c:pt idx="8">
                        <c:v>2026</c:v>
                      </c:pt>
                      <c:pt idx="9">
                        <c:v>2027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'Presentación ESCO'!$B$20:$B$29</c15:sqref>
                        </c15:formulaRef>
                      </c:ext>
                    </c:extLst>
                    <c:numCache>
                      <c:formatCode>0</c:formatCode>
                      <c:ptCount val="10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  <c:pt idx="5">
                        <c:v>2023</c:v>
                      </c:pt>
                      <c:pt idx="6">
                        <c:v>2024</c:v>
                      </c:pt>
                      <c:pt idx="7">
                        <c:v>2025</c:v>
                      </c:pt>
                      <c:pt idx="8">
                        <c:v>2026</c:v>
                      </c:pt>
                      <c:pt idx="9">
                        <c:v>2027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A22B-4667-9D10-F8C636C8A3BB}"/>
                  </c:ext>
                </c:extLst>
              </c15:ser>
            </c15:filteredBarSeries>
          </c:ext>
        </c:extLst>
      </c:barChart>
      <c:catAx>
        <c:axId val="80947115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09470824"/>
        <c:crosses val="autoZero"/>
        <c:auto val="1"/>
        <c:lblAlgn val="ctr"/>
        <c:lblOffset val="100"/>
        <c:noMultiLvlLbl val="0"/>
      </c:catAx>
      <c:valAx>
        <c:axId val="80947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09471152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s-ES"/>
                    <a:t>Millones US$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Ahorros anuales HARD ROCK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'Presentación ESCO'!$H$19</c:f>
              <c:strCache>
                <c:ptCount val="1"/>
                <c:pt idx="0">
                  <c:v>Ahorro Anual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'Presentación ESCO'!$B$20:$B$29</c:f>
              <c:numCache>
                <c:formatCode>0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f>'Presentación ESCO'!$H$20:$H$29</c:f>
              <c:numCache>
                <c:formatCode>#,##0</c:formatCode>
                <c:ptCount val="10"/>
                <c:pt idx="0">
                  <c:v>-367886.68958383985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85-4D01-BFBE-EFD00ED67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4651720"/>
        <c:axId val="564650408"/>
      </c:barChart>
      <c:lineChart>
        <c:grouping val="standard"/>
        <c:varyColors val="0"/>
        <c:ser>
          <c:idx val="1"/>
          <c:order val="1"/>
          <c:tx>
            <c:strRef>
              <c:f>'Presentación ESCO'!$I$19</c:f>
              <c:strCache>
                <c:ptCount val="1"/>
                <c:pt idx="0">
                  <c:v>Ahorro Acumulado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numRef>
              <c:f>'Presentación ESCO'!$B$20:$B$29</c:f>
              <c:numCache>
                <c:formatCode>0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f>'Presentación ESCO'!$I$20:$I$29</c:f>
              <c:numCache>
                <c:formatCode>#,##0</c:formatCode>
                <c:ptCount val="10"/>
                <c:pt idx="0">
                  <c:v>-367886.68958383985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5-4D01-BFBE-EFD00ED67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660512"/>
        <c:axId val="371105360"/>
      </c:lineChart>
      <c:catAx>
        <c:axId val="56465172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650408"/>
        <c:crosses val="autoZero"/>
        <c:auto val="1"/>
        <c:lblAlgn val="ctr"/>
        <c:lblOffset val="100"/>
        <c:noMultiLvlLbl val="0"/>
      </c:catAx>
      <c:valAx>
        <c:axId val="56465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651720"/>
        <c:crosses val="autoZero"/>
        <c:crossBetween val="between"/>
      </c:valAx>
      <c:valAx>
        <c:axId val="371105360"/>
        <c:scaling>
          <c:orientation val="minMax"/>
        </c:scaling>
        <c:delete val="0"/>
        <c:axPos val="r"/>
        <c:numFmt formatCode="#,##0" sourceLinked="0"/>
        <c:majorTickMark val="in"/>
        <c:minorTickMark val="none"/>
        <c:tickLblPos val="nextTo"/>
        <c:spPr>
          <a:noFill/>
          <a:ln>
            <a:solidFill>
              <a:srgbClr val="FF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9660512"/>
        <c:crosses val="max"/>
        <c:crossBetween val="between"/>
      </c:valAx>
      <c:catAx>
        <c:axId val="559660512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371105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Demanda de ACS y Frío BP La Romana</a:t>
            </a:r>
          </a:p>
          <a:p>
            <a:pPr>
              <a:defRPr/>
            </a:pPr>
            <a:r>
              <a:rPr lang="es-ES" sz="1100" b="0"/>
              <a:t>según</a:t>
            </a:r>
            <a:r>
              <a:rPr lang="es-ES" sz="1100" b="0" baseline="0"/>
              <a:t> hora y mes</a:t>
            </a:r>
            <a:endParaRPr lang="es-ES" sz="11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Frío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'Presentación ESCO'!$B$51:$B$338</c:f>
              <c:strCache>
                <c:ptCount val="265"/>
                <c:pt idx="0">
                  <c:v>Enero</c:v>
                </c:pt>
                <c:pt idx="24">
                  <c:v>Febrero</c:v>
                </c:pt>
                <c:pt idx="48">
                  <c:v>Marzo</c:v>
                </c:pt>
                <c:pt idx="72">
                  <c:v>Abril</c:v>
                </c:pt>
                <c:pt idx="96">
                  <c:v>Mayo</c:v>
                </c:pt>
                <c:pt idx="120">
                  <c:v>Junio</c:v>
                </c:pt>
                <c:pt idx="144">
                  <c:v>Julio</c:v>
                </c:pt>
                <c:pt idx="168">
                  <c:v>Agosto</c:v>
                </c:pt>
                <c:pt idx="192">
                  <c:v>Septiembre</c:v>
                </c:pt>
                <c:pt idx="216">
                  <c:v>Octubre</c:v>
                </c:pt>
                <c:pt idx="240">
                  <c:v>Noviembre</c:v>
                </c:pt>
                <c:pt idx="264">
                  <c:v>Diciembre</c:v>
                </c:pt>
              </c:strCache>
            </c:strRef>
          </c:cat>
          <c:val>
            <c:numRef>
              <c:f>'Presentación ESCO'!$D$51:$D$338</c:f>
              <c:numCache>
                <c:formatCode>#,##0</c:formatCode>
                <c:ptCount val="288"/>
                <c:pt idx="0">
                  <c:v>3235.8870967741932</c:v>
                </c:pt>
                <c:pt idx="1">
                  <c:v>3234.5564516129029</c:v>
                </c:pt>
                <c:pt idx="2">
                  <c:v>3097.7419354838712</c:v>
                </c:pt>
                <c:pt idx="3">
                  <c:v>3086.3709677419356</c:v>
                </c:pt>
                <c:pt idx="4">
                  <c:v>3167.6612903225805</c:v>
                </c:pt>
                <c:pt idx="5">
                  <c:v>3169.7177419354839</c:v>
                </c:pt>
                <c:pt idx="6">
                  <c:v>3090.6048387096776</c:v>
                </c:pt>
                <c:pt idx="7">
                  <c:v>3096.0483870967746</c:v>
                </c:pt>
                <c:pt idx="8">
                  <c:v>2941.8145161290322</c:v>
                </c:pt>
                <c:pt idx="9">
                  <c:v>2871.5322580645166</c:v>
                </c:pt>
                <c:pt idx="10">
                  <c:v>2785.766129032258</c:v>
                </c:pt>
                <c:pt idx="11">
                  <c:v>2764.4758064516136</c:v>
                </c:pt>
                <c:pt idx="12">
                  <c:v>2950.4032258064517</c:v>
                </c:pt>
                <c:pt idx="13">
                  <c:v>3113.8306451612907</c:v>
                </c:pt>
                <c:pt idx="14">
                  <c:v>3323.4677419354839</c:v>
                </c:pt>
                <c:pt idx="15">
                  <c:v>3400.4032258064517</c:v>
                </c:pt>
                <c:pt idx="16">
                  <c:v>3202.1370967741932</c:v>
                </c:pt>
                <c:pt idx="17">
                  <c:v>3349.7177419354834</c:v>
                </c:pt>
                <c:pt idx="18">
                  <c:v>4098.0241935483864</c:v>
                </c:pt>
                <c:pt idx="19">
                  <c:v>4251.4112903225805</c:v>
                </c:pt>
                <c:pt idx="20">
                  <c:v>4161.5322580645161</c:v>
                </c:pt>
                <c:pt idx="21">
                  <c:v>4071.2903225806449</c:v>
                </c:pt>
                <c:pt idx="22">
                  <c:v>3748.911290322581</c:v>
                </c:pt>
                <c:pt idx="23">
                  <c:v>3407.7822580645161</c:v>
                </c:pt>
                <c:pt idx="24">
                  <c:v>4132.6293103448279</c:v>
                </c:pt>
                <c:pt idx="25">
                  <c:v>4062.9310344827586</c:v>
                </c:pt>
                <c:pt idx="26">
                  <c:v>3929.3534482758614</c:v>
                </c:pt>
                <c:pt idx="27">
                  <c:v>3871.1637931034484</c:v>
                </c:pt>
                <c:pt idx="28">
                  <c:v>3823.8362068965516</c:v>
                </c:pt>
                <c:pt idx="29">
                  <c:v>3808.8362068965516</c:v>
                </c:pt>
                <c:pt idx="30">
                  <c:v>3973.8362068965516</c:v>
                </c:pt>
                <c:pt idx="31">
                  <c:v>3985.344827586207</c:v>
                </c:pt>
                <c:pt idx="32">
                  <c:v>3780.905172413793</c:v>
                </c:pt>
                <c:pt idx="33">
                  <c:v>3726.2068965517246</c:v>
                </c:pt>
                <c:pt idx="34">
                  <c:v>3681.9827586206893</c:v>
                </c:pt>
                <c:pt idx="35">
                  <c:v>3705</c:v>
                </c:pt>
                <c:pt idx="36">
                  <c:v>3879.1810344827586</c:v>
                </c:pt>
                <c:pt idx="37">
                  <c:v>4008.4913793103447</c:v>
                </c:pt>
                <c:pt idx="38">
                  <c:v>4044.6982758620688</c:v>
                </c:pt>
                <c:pt idx="39">
                  <c:v>4087.3706896551721</c:v>
                </c:pt>
                <c:pt idx="40">
                  <c:v>3966.2068965517237</c:v>
                </c:pt>
                <c:pt idx="41">
                  <c:v>4171.1637931034484</c:v>
                </c:pt>
                <c:pt idx="42">
                  <c:v>4710.7758620689656</c:v>
                </c:pt>
                <c:pt idx="43">
                  <c:v>5075.3017241379312</c:v>
                </c:pt>
                <c:pt idx="44">
                  <c:v>5063.1465517241377</c:v>
                </c:pt>
                <c:pt idx="45">
                  <c:v>5041.0344827586214</c:v>
                </c:pt>
                <c:pt idx="46">
                  <c:v>4604.870689655173</c:v>
                </c:pt>
                <c:pt idx="47">
                  <c:v>4381.2931034482763</c:v>
                </c:pt>
                <c:pt idx="48">
                  <c:v>4155.8933036558083</c:v>
                </c:pt>
                <c:pt idx="49">
                  <c:v>4115.2481423654863</c:v>
                </c:pt>
                <c:pt idx="50">
                  <c:v>3945.4094326880677</c:v>
                </c:pt>
                <c:pt idx="51">
                  <c:v>3875.006206881616</c:v>
                </c:pt>
                <c:pt idx="52">
                  <c:v>3841.8610455912926</c:v>
                </c:pt>
                <c:pt idx="53">
                  <c:v>3801.2158843009702</c:v>
                </c:pt>
                <c:pt idx="54">
                  <c:v>3935.4094302269723</c:v>
                </c:pt>
                <c:pt idx="55">
                  <c:v>3897.6674947431006</c:v>
                </c:pt>
                <c:pt idx="56">
                  <c:v>3763.1513730941283</c:v>
                </c:pt>
                <c:pt idx="57">
                  <c:v>3617.828787526777</c:v>
                </c:pt>
                <c:pt idx="58">
                  <c:v>3631.3771746235511</c:v>
                </c:pt>
                <c:pt idx="59">
                  <c:v>3729.3610012915824</c:v>
                </c:pt>
                <c:pt idx="60">
                  <c:v>3937.2580645161293</c:v>
                </c:pt>
                <c:pt idx="61">
                  <c:v>4079.0322580645161</c:v>
                </c:pt>
                <c:pt idx="62">
                  <c:v>4249.8387096774186</c:v>
                </c:pt>
                <c:pt idx="63">
                  <c:v>4057.7419354838707</c:v>
                </c:pt>
                <c:pt idx="64">
                  <c:v>3642.338709677419</c:v>
                </c:pt>
                <c:pt idx="65">
                  <c:v>4213.0645161290322</c:v>
                </c:pt>
                <c:pt idx="66">
                  <c:v>5004.4354838709678</c:v>
                </c:pt>
                <c:pt idx="67">
                  <c:v>5130.967741935483</c:v>
                </c:pt>
                <c:pt idx="68">
                  <c:v>5084.0322580645161</c:v>
                </c:pt>
                <c:pt idx="69">
                  <c:v>4965.7258064516136</c:v>
                </c:pt>
                <c:pt idx="70">
                  <c:v>4505.0806451612898</c:v>
                </c:pt>
                <c:pt idx="71">
                  <c:v>4327.6674972041956</c:v>
                </c:pt>
                <c:pt idx="72">
                  <c:v>4429.5</c:v>
                </c:pt>
                <c:pt idx="73">
                  <c:v>4314</c:v>
                </c:pt>
                <c:pt idx="74">
                  <c:v>4230.5000000000009</c:v>
                </c:pt>
                <c:pt idx="75">
                  <c:v>4015.0000000000005</c:v>
                </c:pt>
                <c:pt idx="76">
                  <c:v>3998.0000000000009</c:v>
                </c:pt>
                <c:pt idx="77">
                  <c:v>4049.0000000000005</c:v>
                </c:pt>
                <c:pt idx="78">
                  <c:v>4059.25</c:v>
                </c:pt>
                <c:pt idx="79">
                  <c:v>3920.9999999999995</c:v>
                </c:pt>
                <c:pt idx="80">
                  <c:v>4027</c:v>
                </c:pt>
                <c:pt idx="81">
                  <c:v>4077.25</c:v>
                </c:pt>
                <c:pt idx="82">
                  <c:v>3856.5000000000005</c:v>
                </c:pt>
                <c:pt idx="83">
                  <c:v>3642.0000000000005</c:v>
                </c:pt>
                <c:pt idx="84">
                  <c:v>4209.25</c:v>
                </c:pt>
                <c:pt idx="85">
                  <c:v>4453</c:v>
                </c:pt>
                <c:pt idx="86">
                  <c:v>4500.75</c:v>
                </c:pt>
                <c:pt idx="87">
                  <c:v>4105.75</c:v>
                </c:pt>
                <c:pt idx="88">
                  <c:v>3846.25</c:v>
                </c:pt>
                <c:pt idx="89">
                  <c:v>4404.5</c:v>
                </c:pt>
                <c:pt idx="90">
                  <c:v>5439.2500000000009</c:v>
                </c:pt>
                <c:pt idx="91">
                  <c:v>5621</c:v>
                </c:pt>
                <c:pt idx="92">
                  <c:v>5613.5</c:v>
                </c:pt>
                <c:pt idx="93">
                  <c:v>5396.75</c:v>
                </c:pt>
                <c:pt idx="94">
                  <c:v>4707</c:v>
                </c:pt>
                <c:pt idx="95">
                  <c:v>4487.25</c:v>
                </c:pt>
                <c:pt idx="96">
                  <c:v>3834.677419354839</c:v>
                </c:pt>
                <c:pt idx="97">
                  <c:v>3669.677419354839</c:v>
                </c:pt>
                <c:pt idx="98">
                  <c:v>3537.5806451612902</c:v>
                </c:pt>
                <c:pt idx="99">
                  <c:v>3535.4032258064517</c:v>
                </c:pt>
                <c:pt idx="100">
                  <c:v>3525.4838709677415</c:v>
                </c:pt>
                <c:pt idx="101">
                  <c:v>3508.7903225806444</c:v>
                </c:pt>
                <c:pt idx="102">
                  <c:v>3646.6935483870971</c:v>
                </c:pt>
                <c:pt idx="103">
                  <c:v>3566.8548387096776</c:v>
                </c:pt>
                <c:pt idx="104">
                  <c:v>3425.0806451612902</c:v>
                </c:pt>
                <c:pt idx="105">
                  <c:v>3607.7419354838707</c:v>
                </c:pt>
                <c:pt idx="106">
                  <c:v>3374.0322580645161</c:v>
                </c:pt>
                <c:pt idx="107">
                  <c:v>3396.2903225806449</c:v>
                </c:pt>
                <c:pt idx="108">
                  <c:v>3757.5</c:v>
                </c:pt>
                <c:pt idx="109">
                  <c:v>3971.1290322580644</c:v>
                </c:pt>
                <c:pt idx="110">
                  <c:v>3885.7258064516127</c:v>
                </c:pt>
                <c:pt idx="111">
                  <c:v>3653.4677419354839</c:v>
                </c:pt>
                <c:pt idx="112">
                  <c:v>3306.5322580645161</c:v>
                </c:pt>
                <c:pt idx="113">
                  <c:v>3725.0806451612902</c:v>
                </c:pt>
                <c:pt idx="114">
                  <c:v>4144.5967741935483</c:v>
                </c:pt>
                <c:pt idx="115">
                  <c:v>4402.0161290322576</c:v>
                </c:pt>
                <c:pt idx="116">
                  <c:v>4362.0967741935483</c:v>
                </c:pt>
                <c:pt idx="117">
                  <c:v>4270.1612903225814</c:v>
                </c:pt>
                <c:pt idx="118">
                  <c:v>4150.8870967741941</c:v>
                </c:pt>
                <c:pt idx="119">
                  <c:v>3780.9677419354834</c:v>
                </c:pt>
                <c:pt idx="120">
                  <c:v>3949</c:v>
                </c:pt>
                <c:pt idx="121">
                  <c:v>3809</c:v>
                </c:pt>
                <c:pt idx="122">
                  <c:v>3759.75</c:v>
                </c:pt>
                <c:pt idx="123">
                  <c:v>3709.5</c:v>
                </c:pt>
                <c:pt idx="124">
                  <c:v>3695</c:v>
                </c:pt>
                <c:pt idx="125">
                  <c:v>3777.5000000000005</c:v>
                </c:pt>
                <c:pt idx="126">
                  <c:v>3755.25</c:v>
                </c:pt>
                <c:pt idx="127">
                  <c:v>3576.25</c:v>
                </c:pt>
                <c:pt idx="128">
                  <c:v>3485.9999999999995</c:v>
                </c:pt>
                <c:pt idx="129">
                  <c:v>3534.5</c:v>
                </c:pt>
                <c:pt idx="130">
                  <c:v>3545.0000000000005</c:v>
                </c:pt>
                <c:pt idx="131">
                  <c:v>3293.25</c:v>
                </c:pt>
                <c:pt idx="132">
                  <c:v>3978.2499999999991</c:v>
                </c:pt>
                <c:pt idx="133">
                  <c:v>3947.7500000000005</c:v>
                </c:pt>
                <c:pt idx="134">
                  <c:v>4110</c:v>
                </c:pt>
                <c:pt idx="135">
                  <c:v>3885.5000000000009</c:v>
                </c:pt>
                <c:pt idx="136">
                  <c:v>3494.5</c:v>
                </c:pt>
                <c:pt idx="137">
                  <c:v>3841.75</c:v>
                </c:pt>
                <c:pt idx="138">
                  <c:v>4559.5</c:v>
                </c:pt>
                <c:pt idx="139">
                  <c:v>4901.7500000000009</c:v>
                </c:pt>
                <c:pt idx="140">
                  <c:v>4860.25</c:v>
                </c:pt>
                <c:pt idx="141">
                  <c:v>4668.2499999999991</c:v>
                </c:pt>
                <c:pt idx="142">
                  <c:v>4368.25</c:v>
                </c:pt>
                <c:pt idx="143">
                  <c:v>4072.75</c:v>
                </c:pt>
                <c:pt idx="144">
                  <c:v>4918.0645161290322</c:v>
                </c:pt>
                <c:pt idx="145">
                  <c:v>4929.1935483870966</c:v>
                </c:pt>
                <c:pt idx="146">
                  <c:v>4876.9354838709678</c:v>
                </c:pt>
                <c:pt idx="147">
                  <c:v>4775.8064516129034</c:v>
                </c:pt>
                <c:pt idx="148">
                  <c:v>4676.1290322580644</c:v>
                </c:pt>
                <c:pt idx="149">
                  <c:v>4581.2903225806449</c:v>
                </c:pt>
                <c:pt idx="150">
                  <c:v>4658.9516129032254</c:v>
                </c:pt>
                <c:pt idx="151">
                  <c:v>4532.6612903225814</c:v>
                </c:pt>
                <c:pt idx="152">
                  <c:v>4316.1290322580644</c:v>
                </c:pt>
                <c:pt idx="153">
                  <c:v>4228.5483870967737</c:v>
                </c:pt>
                <c:pt idx="154">
                  <c:v>4099.5967741935483</c:v>
                </c:pt>
                <c:pt idx="155">
                  <c:v>4173.6290322580644</c:v>
                </c:pt>
                <c:pt idx="156">
                  <c:v>4590.4838709677424</c:v>
                </c:pt>
                <c:pt idx="157">
                  <c:v>4889.5161290322576</c:v>
                </c:pt>
                <c:pt idx="158">
                  <c:v>5085.0000000000009</c:v>
                </c:pt>
                <c:pt idx="159">
                  <c:v>4897.0161290322576</c:v>
                </c:pt>
                <c:pt idx="160">
                  <c:v>4612.7419354838712</c:v>
                </c:pt>
                <c:pt idx="161">
                  <c:v>4911.0483870967737</c:v>
                </c:pt>
                <c:pt idx="162">
                  <c:v>5406.2903225806458</c:v>
                </c:pt>
                <c:pt idx="163">
                  <c:v>5809.8387096774195</c:v>
                </c:pt>
                <c:pt idx="164">
                  <c:v>5907.8225806451619</c:v>
                </c:pt>
                <c:pt idx="165">
                  <c:v>5847.5806451612889</c:v>
                </c:pt>
                <c:pt idx="166">
                  <c:v>5760.2419354838712</c:v>
                </c:pt>
                <c:pt idx="167">
                  <c:v>5375.8064516129034</c:v>
                </c:pt>
                <c:pt idx="168">
                  <c:v>4857.1935483867364</c:v>
                </c:pt>
                <c:pt idx="169">
                  <c:v>4736.9999999999091</c:v>
                </c:pt>
                <c:pt idx="170">
                  <c:v>4656.4354838726804</c:v>
                </c:pt>
                <c:pt idx="171">
                  <c:v>4613.5161290325286</c:v>
                </c:pt>
                <c:pt idx="172">
                  <c:v>4554.629032256893</c:v>
                </c:pt>
                <c:pt idx="173">
                  <c:v>4432.8870967745534</c:v>
                </c:pt>
                <c:pt idx="174">
                  <c:v>4410.3991935484773</c:v>
                </c:pt>
                <c:pt idx="175">
                  <c:v>4272.2298387089559</c:v>
                </c:pt>
                <c:pt idx="176">
                  <c:v>4156.4395161288521</c:v>
                </c:pt>
                <c:pt idx="177">
                  <c:v>4234.6814516132636</c:v>
                </c:pt>
                <c:pt idx="178">
                  <c:v>4041.7016129016934</c:v>
                </c:pt>
                <c:pt idx="179">
                  <c:v>4125.4596774207967</c:v>
                </c:pt>
                <c:pt idx="180">
                  <c:v>4894.4999999990087</c:v>
                </c:pt>
                <c:pt idx="181">
                  <c:v>5051.9758064529642</c:v>
                </c:pt>
                <c:pt idx="182">
                  <c:v>4954.959677418904</c:v>
                </c:pt>
                <c:pt idx="183">
                  <c:v>4800.3991935484773</c:v>
                </c:pt>
                <c:pt idx="184">
                  <c:v>4238.0806451604785</c:v>
                </c:pt>
                <c:pt idx="185">
                  <c:v>4529.225806452695</c:v>
                </c:pt>
                <c:pt idx="186">
                  <c:v>5386.9717741940885</c:v>
                </c:pt>
                <c:pt idx="187">
                  <c:v>5717.407258064336</c:v>
                </c:pt>
                <c:pt idx="188">
                  <c:v>5508.0483870948819</c:v>
                </c:pt>
                <c:pt idx="189">
                  <c:v>5451.9677419374657</c:v>
                </c:pt>
                <c:pt idx="190">
                  <c:v>5394.9314516121822</c:v>
                </c:pt>
                <c:pt idx="191">
                  <c:v>5065.0887096772394</c:v>
                </c:pt>
                <c:pt idx="192">
                  <c:v>3827.1250000004657</c:v>
                </c:pt>
                <c:pt idx="193">
                  <c:v>3751.6374999992554</c:v>
                </c:pt>
                <c:pt idx="194">
                  <c:v>3665.1000000000931</c:v>
                </c:pt>
                <c:pt idx="195">
                  <c:v>3638.4499999997206</c:v>
                </c:pt>
                <c:pt idx="196">
                  <c:v>3627.2375000007451</c:v>
                </c:pt>
                <c:pt idx="197">
                  <c:v>3566.3749999995343</c:v>
                </c:pt>
                <c:pt idx="198">
                  <c:v>3484.8625000002794</c:v>
                </c:pt>
                <c:pt idx="199">
                  <c:v>3580.9750000000936</c:v>
                </c:pt>
                <c:pt idx="200">
                  <c:v>3589.5874999999069</c:v>
                </c:pt>
                <c:pt idx="201">
                  <c:v>3736.7875000005592</c:v>
                </c:pt>
                <c:pt idx="202">
                  <c:v>3625.6875</c:v>
                </c:pt>
                <c:pt idx="203">
                  <c:v>3608.2249999986961</c:v>
                </c:pt>
                <c:pt idx="204">
                  <c:v>4036.5374999996275</c:v>
                </c:pt>
                <c:pt idx="205">
                  <c:v>4204.687500001397</c:v>
                </c:pt>
                <c:pt idx="206">
                  <c:v>4271.9124999991618</c:v>
                </c:pt>
                <c:pt idx="207">
                  <c:v>4132.1000000000931</c:v>
                </c:pt>
                <c:pt idx="208">
                  <c:v>3862.9000000003721</c:v>
                </c:pt>
                <c:pt idx="209">
                  <c:v>3996.4374999990691</c:v>
                </c:pt>
                <c:pt idx="210">
                  <c:v>4560.3875000006519</c:v>
                </c:pt>
                <c:pt idx="211">
                  <c:v>4786.2750000008382</c:v>
                </c:pt>
                <c:pt idx="212">
                  <c:v>4756.6249999990687</c:v>
                </c:pt>
                <c:pt idx="213">
                  <c:v>4745.7124999999078</c:v>
                </c:pt>
                <c:pt idx="214">
                  <c:v>4459.5124999997206</c:v>
                </c:pt>
                <c:pt idx="215">
                  <c:v>4055.1125000007451</c:v>
                </c:pt>
                <c:pt idx="216">
                  <c:v>3707.4193548387098</c:v>
                </c:pt>
                <c:pt idx="217">
                  <c:v>3723.3870967741932</c:v>
                </c:pt>
                <c:pt idx="218">
                  <c:v>3700.8870967741932</c:v>
                </c:pt>
                <c:pt idx="219">
                  <c:v>3651.0483870967746</c:v>
                </c:pt>
                <c:pt idx="220">
                  <c:v>3623.7096774193551</c:v>
                </c:pt>
                <c:pt idx="221">
                  <c:v>3570.2419354838712</c:v>
                </c:pt>
                <c:pt idx="222">
                  <c:v>3725.8064516129029</c:v>
                </c:pt>
                <c:pt idx="223">
                  <c:v>3951.0483870967737</c:v>
                </c:pt>
                <c:pt idx="224">
                  <c:v>3976.4516129032263</c:v>
                </c:pt>
                <c:pt idx="225">
                  <c:v>4012.0161290322576</c:v>
                </c:pt>
                <c:pt idx="226">
                  <c:v>3506.1290322580644</c:v>
                </c:pt>
                <c:pt idx="227">
                  <c:v>3270.2419354838712</c:v>
                </c:pt>
                <c:pt idx="228">
                  <c:v>3720.2419354838712</c:v>
                </c:pt>
                <c:pt idx="229">
                  <c:v>4244.0322580645161</c:v>
                </c:pt>
                <c:pt idx="230">
                  <c:v>4296.7741935483864</c:v>
                </c:pt>
                <c:pt idx="231">
                  <c:v>3785.0806451612907</c:v>
                </c:pt>
                <c:pt idx="232">
                  <c:v>3335.8064516129029</c:v>
                </c:pt>
                <c:pt idx="233">
                  <c:v>3821.6129032258059</c:v>
                </c:pt>
                <c:pt idx="234">
                  <c:v>4763.2258064516136</c:v>
                </c:pt>
                <c:pt idx="235">
                  <c:v>4932.5806451612898</c:v>
                </c:pt>
                <c:pt idx="236">
                  <c:v>4927.7419354838712</c:v>
                </c:pt>
                <c:pt idx="237">
                  <c:v>4916.854838709678</c:v>
                </c:pt>
                <c:pt idx="238">
                  <c:v>4505.8064516129034</c:v>
                </c:pt>
                <c:pt idx="239">
                  <c:v>3988.3064516129029</c:v>
                </c:pt>
                <c:pt idx="240">
                  <c:v>3621</c:v>
                </c:pt>
                <c:pt idx="241">
                  <c:v>3589.5</c:v>
                </c:pt>
                <c:pt idx="242">
                  <c:v>3491.75</c:v>
                </c:pt>
                <c:pt idx="243">
                  <c:v>3408.75</c:v>
                </c:pt>
                <c:pt idx="244">
                  <c:v>3373.5</c:v>
                </c:pt>
                <c:pt idx="245">
                  <c:v>3246.75</c:v>
                </c:pt>
                <c:pt idx="246">
                  <c:v>3375.5</c:v>
                </c:pt>
                <c:pt idx="247">
                  <c:v>3657.75</c:v>
                </c:pt>
                <c:pt idx="248">
                  <c:v>3718</c:v>
                </c:pt>
                <c:pt idx="249">
                  <c:v>3792.75</c:v>
                </c:pt>
                <c:pt idx="250">
                  <c:v>3575.2500000000005</c:v>
                </c:pt>
                <c:pt idx="251">
                  <c:v>3274.0000000000005</c:v>
                </c:pt>
                <c:pt idx="252">
                  <c:v>3383</c:v>
                </c:pt>
                <c:pt idx="253">
                  <c:v>3782.7500000000005</c:v>
                </c:pt>
                <c:pt idx="254">
                  <c:v>3991.75</c:v>
                </c:pt>
                <c:pt idx="255">
                  <c:v>3624.9999999999995</c:v>
                </c:pt>
                <c:pt idx="256">
                  <c:v>3390.2500000000005</c:v>
                </c:pt>
                <c:pt idx="257">
                  <c:v>3653</c:v>
                </c:pt>
                <c:pt idx="258">
                  <c:v>4470.25</c:v>
                </c:pt>
                <c:pt idx="259">
                  <c:v>4727.5000000000009</c:v>
                </c:pt>
                <c:pt idx="260">
                  <c:v>4701.25</c:v>
                </c:pt>
                <c:pt idx="261">
                  <c:v>4504</c:v>
                </c:pt>
                <c:pt idx="262">
                  <c:v>4055.5</c:v>
                </c:pt>
                <c:pt idx="263">
                  <c:v>3656.5000000000005</c:v>
                </c:pt>
                <c:pt idx="264">
                  <c:v>3969.0120967741941</c:v>
                </c:pt>
                <c:pt idx="265">
                  <c:v>4044.7379032258059</c:v>
                </c:pt>
                <c:pt idx="266">
                  <c:v>3957.641129032258</c:v>
                </c:pt>
                <c:pt idx="267">
                  <c:v>3916.9959677419356</c:v>
                </c:pt>
                <c:pt idx="268">
                  <c:v>3885.786290322581</c:v>
                </c:pt>
                <c:pt idx="269">
                  <c:v>3836.1895161290322</c:v>
                </c:pt>
                <c:pt idx="270">
                  <c:v>3962.7217741935483</c:v>
                </c:pt>
                <c:pt idx="271">
                  <c:v>4088.286290322581</c:v>
                </c:pt>
                <c:pt idx="272">
                  <c:v>4066.9959677419356</c:v>
                </c:pt>
                <c:pt idx="273">
                  <c:v>4191.3508064516127</c:v>
                </c:pt>
                <c:pt idx="274">
                  <c:v>3681.5322580645161</c:v>
                </c:pt>
                <c:pt idx="275">
                  <c:v>3466.9354838709678</c:v>
                </c:pt>
                <c:pt idx="276">
                  <c:v>3622.5</c:v>
                </c:pt>
                <c:pt idx="277">
                  <c:v>3934.8387096774195</c:v>
                </c:pt>
                <c:pt idx="278">
                  <c:v>4197.0967741935483</c:v>
                </c:pt>
                <c:pt idx="279">
                  <c:v>3798.8709677419356</c:v>
                </c:pt>
                <c:pt idx="280">
                  <c:v>3742.5</c:v>
                </c:pt>
                <c:pt idx="281">
                  <c:v>4085.5645161290322</c:v>
                </c:pt>
                <c:pt idx="282">
                  <c:v>5021.4314516129025</c:v>
                </c:pt>
                <c:pt idx="283">
                  <c:v>5070.5443548387102</c:v>
                </c:pt>
                <c:pt idx="284">
                  <c:v>4867.3185483870966</c:v>
                </c:pt>
                <c:pt idx="285">
                  <c:v>4792.5604838709678</c:v>
                </c:pt>
                <c:pt idx="286">
                  <c:v>4458.2056451612898</c:v>
                </c:pt>
                <c:pt idx="287">
                  <c:v>3992.9637096774195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6-45FE-A84C-3CBE8EA45961}"/>
            </c:ext>
          </c:extLst>
        </c:ser>
        <c:ser>
          <c:idx val="2"/>
          <c:order val="1"/>
          <c:tx>
            <c:v>ACS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'Presentación ESCO'!$B$51:$B$338</c:f>
              <c:strCache>
                <c:ptCount val="265"/>
                <c:pt idx="0">
                  <c:v>Enero</c:v>
                </c:pt>
                <c:pt idx="24">
                  <c:v>Febrero</c:v>
                </c:pt>
                <c:pt idx="48">
                  <c:v>Marzo</c:v>
                </c:pt>
                <c:pt idx="72">
                  <c:v>Abril</c:v>
                </c:pt>
                <c:pt idx="96">
                  <c:v>Mayo</c:v>
                </c:pt>
                <c:pt idx="120">
                  <c:v>Junio</c:v>
                </c:pt>
                <c:pt idx="144">
                  <c:v>Julio</c:v>
                </c:pt>
                <c:pt idx="168">
                  <c:v>Agosto</c:v>
                </c:pt>
                <c:pt idx="192">
                  <c:v>Septiembre</c:v>
                </c:pt>
                <c:pt idx="216">
                  <c:v>Octubre</c:v>
                </c:pt>
                <c:pt idx="240">
                  <c:v>Noviembre</c:v>
                </c:pt>
                <c:pt idx="264">
                  <c:v>Diciembre</c:v>
                </c:pt>
              </c:strCache>
            </c:strRef>
          </c:cat>
          <c:val>
            <c:numRef>
              <c:f>'Presentación ESCO'!$E$51:$E$338</c:f>
              <c:numCache>
                <c:formatCode>#,##0</c:formatCode>
                <c:ptCount val="288"/>
                <c:pt idx="0">
                  <c:v>681.89516129032268</c:v>
                </c:pt>
                <c:pt idx="1">
                  <c:v>642.70161290322574</c:v>
                </c:pt>
                <c:pt idx="2">
                  <c:v>602.17741935483878</c:v>
                </c:pt>
                <c:pt idx="3">
                  <c:v>585.0604838709678</c:v>
                </c:pt>
                <c:pt idx="4">
                  <c:v>603.75</c:v>
                </c:pt>
                <c:pt idx="5">
                  <c:v>630.78629032258061</c:v>
                </c:pt>
                <c:pt idx="6">
                  <c:v>725.74596774193549</c:v>
                </c:pt>
                <c:pt idx="7">
                  <c:v>1035.9072580645161</c:v>
                </c:pt>
                <c:pt idx="8">
                  <c:v>1116.4112903225805</c:v>
                </c:pt>
                <c:pt idx="9">
                  <c:v>1058.891129032258</c:v>
                </c:pt>
                <c:pt idx="10">
                  <c:v>976.875</c:v>
                </c:pt>
                <c:pt idx="11">
                  <c:v>931.08870967741939</c:v>
                </c:pt>
                <c:pt idx="12">
                  <c:v>861.35080645161293</c:v>
                </c:pt>
                <c:pt idx="13">
                  <c:v>898.125</c:v>
                </c:pt>
                <c:pt idx="14">
                  <c:v>956.25</c:v>
                </c:pt>
                <c:pt idx="15">
                  <c:v>971.79435483870964</c:v>
                </c:pt>
                <c:pt idx="16">
                  <c:v>1085.3225806451612</c:v>
                </c:pt>
                <c:pt idx="17">
                  <c:v>1315.1008064516127</c:v>
                </c:pt>
                <c:pt idx="18">
                  <c:v>1350</c:v>
                </c:pt>
                <c:pt idx="19">
                  <c:v>1275</c:v>
                </c:pt>
                <c:pt idx="20">
                  <c:v>1156.1491935483871</c:v>
                </c:pt>
                <c:pt idx="21">
                  <c:v>1068.266129032258</c:v>
                </c:pt>
                <c:pt idx="22">
                  <c:v>1015.4637096774195</c:v>
                </c:pt>
                <c:pt idx="23">
                  <c:v>790.70564516129025</c:v>
                </c:pt>
                <c:pt idx="24">
                  <c:v>772.56465517241384</c:v>
                </c:pt>
                <c:pt idx="25">
                  <c:v>700.86206896551732</c:v>
                </c:pt>
                <c:pt idx="26">
                  <c:v>657.73706896551732</c:v>
                </c:pt>
                <c:pt idx="27">
                  <c:v>630.64655172413791</c:v>
                </c:pt>
                <c:pt idx="28">
                  <c:v>649.13793103448268</c:v>
                </c:pt>
                <c:pt idx="29">
                  <c:v>691.68103448275861</c:v>
                </c:pt>
                <c:pt idx="30">
                  <c:v>895.66810344827582</c:v>
                </c:pt>
                <c:pt idx="31">
                  <c:v>1332.0258620689654</c:v>
                </c:pt>
                <c:pt idx="32">
                  <c:v>1362.4784482758623</c:v>
                </c:pt>
                <c:pt idx="33">
                  <c:v>1187.6508620689654</c:v>
                </c:pt>
                <c:pt idx="34">
                  <c:v>1103.7284482758623</c:v>
                </c:pt>
                <c:pt idx="35">
                  <c:v>1057.5</c:v>
                </c:pt>
                <c:pt idx="36">
                  <c:v>1050</c:v>
                </c:pt>
                <c:pt idx="37">
                  <c:v>1067.8125</c:v>
                </c:pt>
                <c:pt idx="38">
                  <c:v>1108.3189655172414</c:v>
                </c:pt>
                <c:pt idx="39">
                  <c:v>1135.0215517241377</c:v>
                </c:pt>
                <c:pt idx="40">
                  <c:v>1350</c:v>
                </c:pt>
                <c:pt idx="41">
                  <c:v>1693.125</c:v>
                </c:pt>
                <c:pt idx="42">
                  <c:v>1753.0603448275863</c:v>
                </c:pt>
                <c:pt idx="43">
                  <c:v>1562.3922413793102</c:v>
                </c:pt>
                <c:pt idx="44">
                  <c:v>1135.280172413793</c:v>
                </c:pt>
                <c:pt idx="45">
                  <c:v>1084.7844827586207</c:v>
                </c:pt>
                <c:pt idx="46">
                  <c:v>1062.3491379310344</c:v>
                </c:pt>
                <c:pt idx="47">
                  <c:v>843.75</c:v>
                </c:pt>
                <c:pt idx="48">
                  <c:v>883.33901928317164</c:v>
                </c:pt>
                <c:pt idx="49">
                  <c:v>829.50837412188139</c:v>
                </c:pt>
                <c:pt idx="50">
                  <c:v>809.24627734768774</c:v>
                </c:pt>
                <c:pt idx="51">
                  <c:v>812.99627734768774</c:v>
                </c:pt>
                <c:pt idx="52">
                  <c:v>803.43982573478456</c:v>
                </c:pt>
                <c:pt idx="53">
                  <c:v>822.37127734768774</c:v>
                </c:pt>
                <c:pt idx="54">
                  <c:v>943.90353602747746</c:v>
                </c:pt>
                <c:pt idx="55">
                  <c:v>1438.4375</c:v>
                </c:pt>
                <c:pt idx="56">
                  <c:v>1472.5625000000002</c:v>
                </c:pt>
                <c:pt idx="57">
                  <c:v>1443.3125</c:v>
                </c:pt>
                <c:pt idx="58">
                  <c:v>1359.7500000000002</c:v>
                </c:pt>
                <c:pt idx="59">
                  <c:v>1251.6249999999998</c:v>
                </c:pt>
                <c:pt idx="60">
                  <c:v>1203.8750000000002</c:v>
                </c:pt>
                <c:pt idx="61">
                  <c:v>1392.6875</c:v>
                </c:pt>
                <c:pt idx="62">
                  <c:v>1425.5</c:v>
                </c:pt>
                <c:pt idx="63">
                  <c:v>1404.6249999999998</c:v>
                </c:pt>
                <c:pt idx="64">
                  <c:v>1497.9999999999998</c:v>
                </c:pt>
                <c:pt idx="65">
                  <c:v>1688.5282258064515</c:v>
                </c:pt>
                <c:pt idx="66">
                  <c:v>1771.6935483870966</c:v>
                </c:pt>
                <c:pt idx="67">
                  <c:v>1631.733870967742</c:v>
                </c:pt>
                <c:pt idx="68">
                  <c:v>1329.5564516129034</c:v>
                </c:pt>
                <c:pt idx="69">
                  <c:v>1266.4717741935483</c:v>
                </c:pt>
                <c:pt idx="70">
                  <c:v>1232.9637096774195</c:v>
                </c:pt>
                <c:pt idx="71">
                  <c:v>986.70595476704261</c:v>
                </c:pt>
                <c:pt idx="72">
                  <c:v>1085.1875</c:v>
                </c:pt>
                <c:pt idx="73">
                  <c:v>999.3125</c:v>
                </c:pt>
                <c:pt idx="74">
                  <c:v>967.9375</c:v>
                </c:pt>
                <c:pt idx="75">
                  <c:v>927.25000000000011</c:v>
                </c:pt>
                <c:pt idx="76">
                  <c:v>936.8125</c:v>
                </c:pt>
                <c:pt idx="77">
                  <c:v>962.06250000000011</c:v>
                </c:pt>
                <c:pt idx="78">
                  <c:v>1152.0624999999998</c:v>
                </c:pt>
                <c:pt idx="79">
                  <c:v>1336.8067618339294</c:v>
                </c:pt>
                <c:pt idx="80">
                  <c:v>1368.0164374074629</c:v>
                </c:pt>
                <c:pt idx="81">
                  <c:v>1246.1817612186555</c:v>
                </c:pt>
                <c:pt idx="82">
                  <c:v>1177.895470896075</c:v>
                </c:pt>
                <c:pt idx="83">
                  <c:v>1176.9882202148438</c:v>
                </c:pt>
                <c:pt idx="84">
                  <c:v>1012.5</c:v>
                </c:pt>
                <c:pt idx="85">
                  <c:v>1173.6290322580644</c:v>
                </c:pt>
                <c:pt idx="86">
                  <c:v>1230.241935483871</c:v>
                </c:pt>
                <c:pt idx="87">
                  <c:v>1284.2540322580644</c:v>
                </c:pt>
                <c:pt idx="88">
                  <c:v>1395.0604838709678</c:v>
                </c:pt>
                <c:pt idx="89">
                  <c:v>1630.8125</c:v>
                </c:pt>
                <c:pt idx="90">
                  <c:v>1689.6249999999998</c:v>
                </c:pt>
                <c:pt idx="91">
                  <c:v>1626.625</c:v>
                </c:pt>
                <c:pt idx="92">
                  <c:v>1470.5624999999998</c:v>
                </c:pt>
                <c:pt idx="93">
                  <c:v>1430.3750000000002</c:v>
                </c:pt>
                <c:pt idx="94">
                  <c:v>1392.625</c:v>
                </c:pt>
                <c:pt idx="95">
                  <c:v>1162.4375000000002</c:v>
                </c:pt>
                <c:pt idx="96">
                  <c:v>884.0927419354839</c:v>
                </c:pt>
                <c:pt idx="97">
                  <c:v>808.48790322580635</c:v>
                </c:pt>
                <c:pt idx="98">
                  <c:v>777.82258064516122</c:v>
                </c:pt>
                <c:pt idx="99">
                  <c:v>770.92741935483878</c:v>
                </c:pt>
                <c:pt idx="100">
                  <c:v>759.67741935483878</c:v>
                </c:pt>
                <c:pt idx="101">
                  <c:v>781.875</c:v>
                </c:pt>
                <c:pt idx="102">
                  <c:v>901.57258064516122</c:v>
                </c:pt>
                <c:pt idx="103">
                  <c:v>1174.5362903225805</c:v>
                </c:pt>
                <c:pt idx="104">
                  <c:v>1268.891129032258</c:v>
                </c:pt>
                <c:pt idx="105">
                  <c:v>1270.0403225806454</c:v>
                </c:pt>
                <c:pt idx="106">
                  <c:v>1173.4475806451612</c:v>
                </c:pt>
                <c:pt idx="107">
                  <c:v>1111.9354838709676</c:v>
                </c:pt>
                <c:pt idx="108">
                  <c:v>1093.366935483871</c:v>
                </c:pt>
                <c:pt idx="109">
                  <c:v>1173.6290322580644</c:v>
                </c:pt>
                <c:pt idx="110">
                  <c:v>1200.241935483871</c:v>
                </c:pt>
                <c:pt idx="111">
                  <c:v>1169.4556451612905</c:v>
                </c:pt>
                <c:pt idx="112">
                  <c:v>1184.2137096774195</c:v>
                </c:pt>
                <c:pt idx="113">
                  <c:v>1436.1290322580644</c:v>
                </c:pt>
                <c:pt idx="114">
                  <c:v>1518.8104838709678</c:v>
                </c:pt>
                <c:pt idx="115">
                  <c:v>1413.3870967741932</c:v>
                </c:pt>
                <c:pt idx="116">
                  <c:v>1295.141129032258</c:v>
                </c:pt>
                <c:pt idx="117">
                  <c:v>1198.7298387096776</c:v>
                </c:pt>
                <c:pt idx="118">
                  <c:v>1194.616935483871</c:v>
                </c:pt>
                <c:pt idx="119">
                  <c:v>920.32258064516122</c:v>
                </c:pt>
                <c:pt idx="120">
                  <c:v>799.56250000000011</c:v>
                </c:pt>
                <c:pt idx="121">
                  <c:v>744</c:v>
                </c:pt>
                <c:pt idx="122">
                  <c:v>679.125</c:v>
                </c:pt>
                <c:pt idx="123">
                  <c:v>656.5</c:v>
                </c:pt>
                <c:pt idx="124">
                  <c:v>646.5</c:v>
                </c:pt>
                <c:pt idx="125">
                  <c:v>674.25000000000011</c:v>
                </c:pt>
                <c:pt idx="126">
                  <c:v>773.50000000000011</c:v>
                </c:pt>
                <c:pt idx="127">
                  <c:v>1086.8125</c:v>
                </c:pt>
                <c:pt idx="128">
                  <c:v>1146.5000000000002</c:v>
                </c:pt>
                <c:pt idx="129">
                  <c:v>1085.8125</c:v>
                </c:pt>
                <c:pt idx="130">
                  <c:v>1071.4375</c:v>
                </c:pt>
                <c:pt idx="131">
                  <c:v>999.3125</c:v>
                </c:pt>
                <c:pt idx="132">
                  <c:v>946.12500000000011</c:v>
                </c:pt>
                <c:pt idx="133">
                  <c:v>992.5625</c:v>
                </c:pt>
                <c:pt idx="134">
                  <c:v>1067.25</c:v>
                </c:pt>
                <c:pt idx="135">
                  <c:v>1062.3125</c:v>
                </c:pt>
                <c:pt idx="136">
                  <c:v>1064.5625</c:v>
                </c:pt>
                <c:pt idx="137">
                  <c:v>1216.875</c:v>
                </c:pt>
                <c:pt idx="138">
                  <c:v>1415.3750000000002</c:v>
                </c:pt>
                <c:pt idx="139">
                  <c:v>1381.1874999999998</c:v>
                </c:pt>
                <c:pt idx="140">
                  <c:v>1083.75</c:v>
                </c:pt>
                <c:pt idx="141">
                  <c:v>995.81250000000011</c:v>
                </c:pt>
                <c:pt idx="142">
                  <c:v>980.125</c:v>
                </c:pt>
                <c:pt idx="143">
                  <c:v>792.5</c:v>
                </c:pt>
                <c:pt idx="144">
                  <c:v>863.04435483870975</c:v>
                </c:pt>
                <c:pt idx="145">
                  <c:v>821.91532258064512</c:v>
                </c:pt>
                <c:pt idx="146">
                  <c:v>742.92338709677426</c:v>
                </c:pt>
                <c:pt idx="147">
                  <c:v>704.51612903225805</c:v>
                </c:pt>
                <c:pt idx="148">
                  <c:v>711.83467741935488</c:v>
                </c:pt>
                <c:pt idx="149">
                  <c:v>723.9314516129034</c:v>
                </c:pt>
                <c:pt idx="150">
                  <c:v>835.4032258064517</c:v>
                </c:pt>
                <c:pt idx="151">
                  <c:v>1120.5241935483871</c:v>
                </c:pt>
                <c:pt idx="152">
                  <c:v>1205.2016129032259</c:v>
                </c:pt>
                <c:pt idx="153">
                  <c:v>1164.616935483871</c:v>
                </c:pt>
                <c:pt idx="154">
                  <c:v>1092.3991935483871</c:v>
                </c:pt>
                <c:pt idx="155">
                  <c:v>1079.5766129032259</c:v>
                </c:pt>
                <c:pt idx="156">
                  <c:v>980.08064516129036</c:v>
                </c:pt>
                <c:pt idx="157">
                  <c:v>1066.3306451612905</c:v>
                </c:pt>
                <c:pt idx="158">
                  <c:v>1088.7096774193546</c:v>
                </c:pt>
                <c:pt idx="159">
                  <c:v>1112.7217741935483</c:v>
                </c:pt>
                <c:pt idx="160">
                  <c:v>1178.891129032258</c:v>
                </c:pt>
                <c:pt idx="161">
                  <c:v>1339.7177419354839</c:v>
                </c:pt>
                <c:pt idx="162">
                  <c:v>1580.0806451612902</c:v>
                </c:pt>
                <c:pt idx="163">
                  <c:v>1581.5322580645161</c:v>
                </c:pt>
                <c:pt idx="164">
                  <c:v>1206.6532258064517</c:v>
                </c:pt>
                <c:pt idx="165">
                  <c:v>1083.3266129032259</c:v>
                </c:pt>
                <c:pt idx="166">
                  <c:v>1113.991935483871</c:v>
                </c:pt>
                <c:pt idx="167">
                  <c:v>969.85887096774195</c:v>
                </c:pt>
                <c:pt idx="168">
                  <c:v>967.52419354886024</c:v>
                </c:pt>
                <c:pt idx="169">
                  <c:v>856.49999999970714</c:v>
                </c:pt>
                <c:pt idx="170">
                  <c:v>802.82661290313558</c:v>
                </c:pt>
                <c:pt idx="171">
                  <c:v>759.07258064516122</c:v>
                </c:pt>
                <c:pt idx="172">
                  <c:v>762.85887096794465</c:v>
                </c:pt>
                <c:pt idx="173">
                  <c:v>779.17741935463596</c:v>
                </c:pt>
                <c:pt idx="174">
                  <c:v>882.35080645190578</c:v>
                </c:pt>
                <c:pt idx="175">
                  <c:v>1179.8225806449586</c:v>
                </c:pt>
                <c:pt idx="176">
                  <c:v>1263.8588709675619</c:v>
                </c:pt>
                <c:pt idx="177">
                  <c:v>1204.9959677422507</c:v>
                </c:pt>
                <c:pt idx="178">
                  <c:v>1131.3387096773517</c:v>
                </c:pt>
                <c:pt idx="179">
                  <c:v>1157.4435483871193</c:v>
                </c:pt>
                <c:pt idx="180">
                  <c:v>1055.4314516126103</c:v>
                </c:pt>
                <c:pt idx="181">
                  <c:v>1085.0080645162868</c:v>
                </c:pt>
                <c:pt idx="182">
                  <c:v>1121.8185483870066</c:v>
                </c:pt>
                <c:pt idx="183">
                  <c:v>1191.5806451609974</c:v>
                </c:pt>
                <c:pt idx="184">
                  <c:v>1279.2338709681926</c:v>
                </c:pt>
                <c:pt idx="185">
                  <c:v>1441.0282258064515</c:v>
                </c:pt>
                <c:pt idx="186">
                  <c:v>1620.7016129033159</c:v>
                </c:pt>
                <c:pt idx="187">
                  <c:v>1586.927419354681</c:v>
                </c:pt>
                <c:pt idx="188">
                  <c:v>1252.0403225805549</c:v>
                </c:pt>
                <c:pt idx="189">
                  <c:v>1108.1250000001128</c:v>
                </c:pt>
                <c:pt idx="190">
                  <c:v>1148.7822580644711</c:v>
                </c:pt>
                <c:pt idx="191">
                  <c:v>1043.9879032256713</c:v>
                </c:pt>
                <c:pt idx="192">
                  <c:v>729.20000000006985</c:v>
                </c:pt>
                <c:pt idx="193">
                  <c:v>681.21249999967404</c:v>
                </c:pt>
                <c:pt idx="194">
                  <c:v>654.1750000002794</c:v>
                </c:pt>
                <c:pt idx="195">
                  <c:v>637.1875</c:v>
                </c:pt>
                <c:pt idx="196">
                  <c:v>644.1624999999766</c:v>
                </c:pt>
                <c:pt idx="197">
                  <c:v>638.4375</c:v>
                </c:pt>
                <c:pt idx="198">
                  <c:v>711.98749999993015</c:v>
                </c:pt>
                <c:pt idx="199">
                  <c:v>966.5124999998369</c:v>
                </c:pt>
                <c:pt idx="200">
                  <c:v>1027.4749999999769</c:v>
                </c:pt>
                <c:pt idx="201">
                  <c:v>1005.1625000005588</c:v>
                </c:pt>
                <c:pt idx="202">
                  <c:v>958.1749999995809</c:v>
                </c:pt>
                <c:pt idx="203">
                  <c:v>976.2750000000234</c:v>
                </c:pt>
                <c:pt idx="204">
                  <c:v>879.65000000013958</c:v>
                </c:pt>
                <c:pt idx="205">
                  <c:v>957.46249999979045</c:v>
                </c:pt>
                <c:pt idx="206">
                  <c:v>999.35000000009325</c:v>
                </c:pt>
                <c:pt idx="207">
                  <c:v>1007.1000000000931</c:v>
                </c:pt>
                <c:pt idx="208">
                  <c:v>1006.75</c:v>
                </c:pt>
                <c:pt idx="209">
                  <c:v>1136.6499999999069</c:v>
                </c:pt>
                <c:pt idx="210">
                  <c:v>1299.2875000000934</c:v>
                </c:pt>
                <c:pt idx="211">
                  <c:v>1248.6874999998836</c:v>
                </c:pt>
                <c:pt idx="212">
                  <c:v>1035.7000000000701</c:v>
                </c:pt>
                <c:pt idx="213">
                  <c:v>968.69999999995355</c:v>
                </c:pt>
                <c:pt idx="214">
                  <c:v>962.58750000002328</c:v>
                </c:pt>
                <c:pt idx="215">
                  <c:v>810.01250000006974</c:v>
                </c:pt>
                <c:pt idx="216">
                  <c:v>731.79435483870975</c:v>
                </c:pt>
                <c:pt idx="217">
                  <c:v>707.8427419354839</c:v>
                </c:pt>
                <c:pt idx="218">
                  <c:v>684.01209677419365</c:v>
                </c:pt>
                <c:pt idx="219">
                  <c:v>668.28629032258061</c:v>
                </c:pt>
                <c:pt idx="220">
                  <c:v>676.57258064516122</c:v>
                </c:pt>
                <c:pt idx="221">
                  <c:v>680.32258064516122</c:v>
                </c:pt>
                <c:pt idx="222">
                  <c:v>786.16935483870975</c:v>
                </c:pt>
                <c:pt idx="223">
                  <c:v>1039.3548387096776</c:v>
                </c:pt>
                <c:pt idx="224">
                  <c:v>1110.1209677419356</c:v>
                </c:pt>
                <c:pt idx="225">
                  <c:v>1029.7379032258066</c:v>
                </c:pt>
                <c:pt idx="226">
                  <c:v>1006.391129032258</c:v>
                </c:pt>
                <c:pt idx="227">
                  <c:v>1002.8225806451615</c:v>
                </c:pt>
                <c:pt idx="228">
                  <c:v>898.85080645161293</c:v>
                </c:pt>
                <c:pt idx="229">
                  <c:v>966.5322580645161</c:v>
                </c:pt>
                <c:pt idx="230">
                  <c:v>991.02822580645147</c:v>
                </c:pt>
                <c:pt idx="231">
                  <c:v>1001.491935483871</c:v>
                </c:pt>
                <c:pt idx="232">
                  <c:v>1046.3104838709678</c:v>
                </c:pt>
                <c:pt idx="233">
                  <c:v>1224.1935483870966</c:v>
                </c:pt>
                <c:pt idx="234">
                  <c:v>1380.0604838709678</c:v>
                </c:pt>
                <c:pt idx="235">
                  <c:v>1155.8467741935483</c:v>
                </c:pt>
                <c:pt idx="236">
                  <c:v>990.66532258064512</c:v>
                </c:pt>
                <c:pt idx="237">
                  <c:v>966.35080645161293</c:v>
                </c:pt>
                <c:pt idx="238">
                  <c:v>925.58467741935488</c:v>
                </c:pt>
                <c:pt idx="239">
                  <c:v>785.5645161290322</c:v>
                </c:pt>
                <c:pt idx="240">
                  <c:v>871.375</c:v>
                </c:pt>
                <c:pt idx="241">
                  <c:v>853.06249999999989</c:v>
                </c:pt>
                <c:pt idx="242">
                  <c:v>811.1875</c:v>
                </c:pt>
                <c:pt idx="243">
                  <c:v>790.24999999999989</c:v>
                </c:pt>
                <c:pt idx="244">
                  <c:v>796.00000000000011</c:v>
                </c:pt>
                <c:pt idx="245">
                  <c:v>807.75</c:v>
                </c:pt>
                <c:pt idx="246">
                  <c:v>900.25</c:v>
                </c:pt>
                <c:pt idx="247">
                  <c:v>1194.125</c:v>
                </c:pt>
                <c:pt idx="248">
                  <c:v>1290.75</c:v>
                </c:pt>
                <c:pt idx="249">
                  <c:v>1227</c:v>
                </c:pt>
                <c:pt idx="250">
                  <c:v>1157.5625</c:v>
                </c:pt>
                <c:pt idx="251">
                  <c:v>1129.1875</c:v>
                </c:pt>
                <c:pt idx="252">
                  <c:v>1048.6875</c:v>
                </c:pt>
                <c:pt idx="253">
                  <c:v>1150.3125</c:v>
                </c:pt>
                <c:pt idx="254">
                  <c:v>1180.8125</c:v>
                </c:pt>
                <c:pt idx="255">
                  <c:v>1218.4375</c:v>
                </c:pt>
                <c:pt idx="256">
                  <c:v>1264.6250000000002</c:v>
                </c:pt>
                <c:pt idx="257">
                  <c:v>1414.6875</c:v>
                </c:pt>
                <c:pt idx="258">
                  <c:v>1499.5625</c:v>
                </c:pt>
                <c:pt idx="259">
                  <c:v>1309.5624999999998</c:v>
                </c:pt>
                <c:pt idx="260">
                  <c:v>1204.9375</c:v>
                </c:pt>
                <c:pt idx="261">
                  <c:v>1164.6875</c:v>
                </c:pt>
                <c:pt idx="262">
                  <c:v>1113.5625</c:v>
                </c:pt>
                <c:pt idx="263">
                  <c:v>949.62499999999989</c:v>
                </c:pt>
                <c:pt idx="264">
                  <c:v>919.90675403225805</c:v>
                </c:pt>
                <c:pt idx="265">
                  <c:v>880.53175403225805</c:v>
                </c:pt>
                <c:pt idx="266">
                  <c:v>878.83820564516122</c:v>
                </c:pt>
                <c:pt idx="267">
                  <c:v>824.34223790322574</c:v>
                </c:pt>
                <c:pt idx="268">
                  <c:v>818.2333669354839</c:v>
                </c:pt>
                <c:pt idx="269">
                  <c:v>832.02368951612902</c:v>
                </c:pt>
                <c:pt idx="270">
                  <c:v>954.0801411290322</c:v>
                </c:pt>
                <c:pt idx="271">
                  <c:v>1221.1164314516129</c:v>
                </c:pt>
                <c:pt idx="272">
                  <c:v>1282.749495967742</c:v>
                </c:pt>
                <c:pt idx="273">
                  <c:v>1242.8301411290324</c:v>
                </c:pt>
                <c:pt idx="274">
                  <c:v>1179.7983870967741</c:v>
                </c:pt>
                <c:pt idx="275">
                  <c:v>1155.0604838709676</c:v>
                </c:pt>
                <c:pt idx="276">
                  <c:v>1077.9435483870966</c:v>
                </c:pt>
                <c:pt idx="277">
                  <c:v>1124.6975806451612</c:v>
                </c:pt>
                <c:pt idx="278">
                  <c:v>1173.3266129032259</c:v>
                </c:pt>
                <c:pt idx="279">
                  <c:v>1192.3790322580644</c:v>
                </c:pt>
                <c:pt idx="280">
                  <c:v>1291.9959677419356</c:v>
                </c:pt>
                <c:pt idx="281">
                  <c:v>1501.5725806451612</c:v>
                </c:pt>
                <c:pt idx="282">
                  <c:v>1562.6688508064515</c:v>
                </c:pt>
                <c:pt idx="283">
                  <c:v>1378.132560483871</c:v>
                </c:pt>
                <c:pt idx="284">
                  <c:v>1190.9954637096776</c:v>
                </c:pt>
                <c:pt idx="285">
                  <c:v>1185.5519153225805</c:v>
                </c:pt>
                <c:pt idx="286">
                  <c:v>1151.1365927419356</c:v>
                </c:pt>
                <c:pt idx="287">
                  <c:v>977.30594758064512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6-45FE-A84C-3CBE8EA45961}"/>
            </c:ext>
          </c:extLst>
        </c:ser>
        <c:ser>
          <c:idx val="3"/>
          <c:order val="2"/>
          <c:tx>
            <c:strRef>
              <c:f>'Presentación ESCO'!#REF!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'Presentación ESCO'!$B$51:$B$338</c:f>
              <c:strCache>
                <c:ptCount val="265"/>
                <c:pt idx="0">
                  <c:v>Enero</c:v>
                </c:pt>
                <c:pt idx="24">
                  <c:v>Febrero</c:v>
                </c:pt>
                <c:pt idx="48">
                  <c:v>Marzo</c:v>
                </c:pt>
                <c:pt idx="72">
                  <c:v>Abril</c:v>
                </c:pt>
                <c:pt idx="96">
                  <c:v>Mayo</c:v>
                </c:pt>
                <c:pt idx="120">
                  <c:v>Junio</c:v>
                </c:pt>
                <c:pt idx="144">
                  <c:v>Julio</c:v>
                </c:pt>
                <c:pt idx="168">
                  <c:v>Agosto</c:v>
                </c:pt>
                <c:pt idx="192">
                  <c:v>Septiembre</c:v>
                </c:pt>
                <c:pt idx="216">
                  <c:v>Octubre</c:v>
                </c:pt>
                <c:pt idx="240">
                  <c:v>Noviembre</c:v>
                </c:pt>
                <c:pt idx="264">
                  <c:v>Diciembre</c:v>
                </c:pt>
              </c:strCache>
            </c:strRef>
          </c:cat>
          <c:val>
            <c:numRef>
              <c:f>'Presentación ESCO'!#REF!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21-4BF2-B7C4-2D77B351994A}"/>
            </c:ext>
          </c:extLst>
        </c:ser>
        <c:ser>
          <c:idx val="4"/>
          <c:order val="3"/>
          <c:tx>
            <c:strRef>
              <c:f>'Presentación ESCO'!$G$49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'Presentación ESCO'!$B$51:$B$338</c:f>
              <c:strCache>
                <c:ptCount val="265"/>
                <c:pt idx="0">
                  <c:v>Enero</c:v>
                </c:pt>
                <c:pt idx="24">
                  <c:v>Febrero</c:v>
                </c:pt>
                <c:pt idx="48">
                  <c:v>Marzo</c:v>
                </c:pt>
                <c:pt idx="72">
                  <c:v>Abril</c:v>
                </c:pt>
                <c:pt idx="96">
                  <c:v>Mayo</c:v>
                </c:pt>
                <c:pt idx="120">
                  <c:v>Junio</c:v>
                </c:pt>
                <c:pt idx="144">
                  <c:v>Julio</c:v>
                </c:pt>
                <c:pt idx="168">
                  <c:v>Agosto</c:v>
                </c:pt>
                <c:pt idx="192">
                  <c:v>Septiembre</c:v>
                </c:pt>
                <c:pt idx="216">
                  <c:v>Octubre</c:v>
                </c:pt>
                <c:pt idx="240">
                  <c:v>Noviembre</c:v>
                </c:pt>
                <c:pt idx="264">
                  <c:v>Diciembre</c:v>
                </c:pt>
              </c:strCache>
            </c:strRef>
          </c:cat>
          <c:val>
            <c:numRef>
              <c:f>'Presentación ESCO'!$G$51:$G$338</c:f>
              <c:numCache>
                <c:formatCode>#,##0</c:formatCode>
                <c:ptCount val="28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21-4BF2-B7C4-2D77B351994A}"/>
            </c:ext>
          </c:extLst>
        </c:ser>
        <c:ser>
          <c:idx val="0"/>
          <c:order val="4"/>
          <c:tx>
            <c:strRef>
              <c:f>'Presentación ESCO'!$F$49</c:f>
              <c:strCache>
                <c:ptCount val="1"/>
                <c:pt idx="0">
                  <c:v>ELECTRICA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'Presentación ESCO'!$F$51:$F$338</c:f>
              <c:numCache>
                <c:formatCode>#,##0</c:formatCode>
                <c:ptCount val="288"/>
                <c:pt idx="0">
                  <c:v>2790.8379687111419</c:v>
                </c:pt>
                <c:pt idx="1">
                  <c:v>2703.3862142318785</c:v>
                </c:pt>
                <c:pt idx="2">
                  <c:v>2671.8129408367408</c:v>
                </c:pt>
                <c:pt idx="3">
                  <c:v>2619.4975454098276</c:v>
                </c:pt>
                <c:pt idx="4">
                  <c:v>2704.9158404186787</c:v>
                </c:pt>
                <c:pt idx="5">
                  <c:v>2985.5045632811461</c:v>
                </c:pt>
                <c:pt idx="6">
                  <c:v>3250.2236426054537</c:v>
                </c:pt>
                <c:pt idx="7">
                  <c:v>3635.6314174894742</c:v>
                </c:pt>
                <c:pt idx="8">
                  <c:v>4054.796258995173</c:v>
                </c:pt>
                <c:pt idx="9">
                  <c:v>4304.0604110678823</c:v>
                </c:pt>
                <c:pt idx="10">
                  <c:v>4260.2894263752969</c:v>
                </c:pt>
                <c:pt idx="11">
                  <c:v>4136.0076262578823</c:v>
                </c:pt>
                <c:pt idx="12">
                  <c:v>4266.3307785560246</c:v>
                </c:pt>
                <c:pt idx="13">
                  <c:v>4472.3761864526114</c:v>
                </c:pt>
                <c:pt idx="14">
                  <c:v>4476.2026790556938</c:v>
                </c:pt>
                <c:pt idx="15">
                  <c:v>4238.4884746808102</c:v>
                </c:pt>
                <c:pt idx="16">
                  <c:v>4194.9768459969209</c:v>
                </c:pt>
                <c:pt idx="17">
                  <c:v>4408.8792681972172</c:v>
                </c:pt>
                <c:pt idx="18">
                  <c:v>4459.1167113504607</c:v>
                </c:pt>
                <c:pt idx="19">
                  <c:v>4374.4377206552108</c:v>
                </c:pt>
                <c:pt idx="20">
                  <c:v>4213.9273983730127</c:v>
                </c:pt>
                <c:pt idx="21">
                  <c:v>4082.2656163643519</c:v>
                </c:pt>
                <c:pt idx="22">
                  <c:v>3622.5297932383478</c:v>
                </c:pt>
                <c:pt idx="23">
                  <c:v>3025.0906929041385</c:v>
                </c:pt>
                <c:pt idx="24">
                  <c:v>2576.3480934326262</c:v>
                </c:pt>
                <c:pt idx="25">
                  <c:v>2504.4694886695956</c:v>
                </c:pt>
                <c:pt idx="26">
                  <c:v>2472.4455357495317</c:v>
                </c:pt>
                <c:pt idx="27">
                  <c:v>2430.7720079084052</c:v>
                </c:pt>
                <c:pt idx="28">
                  <c:v>2544.3235123444433</c:v>
                </c:pt>
                <c:pt idx="29">
                  <c:v>2827.4843601613256</c:v>
                </c:pt>
                <c:pt idx="30">
                  <c:v>3036.8849017293833</c:v>
                </c:pt>
                <c:pt idx="31">
                  <c:v>3419.2690825609448</c:v>
                </c:pt>
                <c:pt idx="32">
                  <c:v>3847.9224496576498</c:v>
                </c:pt>
                <c:pt idx="33">
                  <c:v>4092.7107523939044</c:v>
                </c:pt>
                <c:pt idx="34">
                  <c:v>4039.9805524127237</c:v>
                </c:pt>
                <c:pt idx="35">
                  <c:v>3906.411836034616</c:v>
                </c:pt>
                <c:pt idx="36">
                  <c:v>4038.6013179107131</c:v>
                </c:pt>
                <c:pt idx="37">
                  <c:v>4251.1777728812285</c:v>
                </c:pt>
                <c:pt idx="38">
                  <c:v>4293.3257960412311</c:v>
                </c:pt>
                <c:pt idx="39">
                  <c:v>4064.1818774051321</c:v>
                </c:pt>
                <c:pt idx="40">
                  <c:v>4003.915973342469</c:v>
                </c:pt>
                <c:pt idx="41">
                  <c:v>4203.9988000723861</c:v>
                </c:pt>
                <c:pt idx="42">
                  <c:v>4299.6742292600175</c:v>
                </c:pt>
                <c:pt idx="43">
                  <c:v>4168.2948090664213</c:v>
                </c:pt>
                <c:pt idx="44">
                  <c:v>3991.2948266056924</c:v>
                </c:pt>
                <c:pt idx="45">
                  <c:v>3845.150687983527</c:v>
                </c:pt>
                <c:pt idx="46">
                  <c:v>3413.0036242699334</c:v>
                </c:pt>
                <c:pt idx="47">
                  <c:v>2792.3601751602978</c:v>
                </c:pt>
                <c:pt idx="48">
                  <c:v>2648.4495364558588</c:v>
                </c:pt>
                <c:pt idx="49">
                  <c:v>2568.1829177568247</c:v>
                </c:pt>
                <c:pt idx="50">
                  <c:v>2542.852575359786</c:v>
                </c:pt>
                <c:pt idx="51">
                  <c:v>2502.6858178031262</c:v>
                </c:pt>
                <c:pt idx="52">
                  <c:v>2615.363853499523</c:v>
                </c:pt>
                <c:pt idx="53">
                  <c:v>2910.410866830689</c:v>
                </c:pt>
                <c:pt idx="54">
                  <c:v>3132.0980567966708</c:v>
                </c:pt>
                <c:pt idx="55">
                  <c:v>3533.9382156093011</c:v>
                </c:pt>
                <c:pt idx="56">
                  <c:v>3955.5264139262358</c:v>
                </c:pt>
                <c:pt idx="57">
                  <c:v>4225.5971821895664</c:v>
                </c:pt>
                <c:pt idx="58">
                  <c:v>4158.6454337789801</c:v>
                </c:pt>
                <c:pt idx="59">
                  <c:v>4005.5772464870397</c:v>
                </c:pt>
                <c:pt idx="60">
                  <c:v>4134.0529518490703</c:v>
                </c:pt>
                <c:pt idx="61">
                  <c:v>4349.1952923234621</c:v>
                </c:pt>
                <c:pt idx="62">
                  <c:v>4362.542138231177</c:v>
                </c:pt>
                <c:pt idx="63">
                  <c:v>4180.7122422802377</c:v>
                </c:pt>
                <c:pt idx="64">
                  <c:v>4183.9050022959118</c:v>
                </c:pt>
                <c:pt idx="65">
                  <c:v>4308.1369252409158</c:v>
                </c:pt>
                <c:pt idx="66">
                  <c:v>4352.6328062112116</c:v>
                </c:pt>
                <c:pt idx="67">
                  <c:v>4273.0270458595351</c:v>
                </c:pt>
                <c:pt idx="68">
                  <c:v>4099.7826660781275</c:v>
                </c:pt>
                <c:pt idx="69">
                  <c:v>3971.6750287107425</c:v>
                </c:pt>
                <c:pt idx="70">
                  <c:v>3533.2699982885961</c:v>
                </c:pt>
                <c:pt idx="71">
                  <c:v>2887.5462377503245</c:v>
                </c:pt>
                <c:pt idx="72">
                  <c:v>2678.4551918681418</c:v>
                </c:pt>
                <c:pt idx="73">
                  <c:v>2612.5528199061464</c:v>
                </c:pt>
                <c:pt idx="74">
                  <c:v>2566.4326700217857</c:v>
                </c:pt>
                <c:pt idx="75">
                  <c:v>2557.090785825239</c:v>
                </c:pt>
                <c:pt idx="76">
                  <c:v>2668.8582677242298</c:v>
                </c:pt>
                <c:pt idx="77">
                  <c:v>2950.810775406866</c:v>
                </c:pt>
                <c:pt idx="78">
                  <c:v>3206.4348277860199</c:v>
                </c:pt>
                <c:pt idx="79">
                  <c:v>3640.6125014330109</c:v>
                </c:pt>
                <c:pt idx="80">
                  <c:v>4018.7103870132096</c:v>
                </c:pt>
                <c:pt idx="81">
                  <c:v>4251.3653595471151</c:v>
                </c:pt>
                <c:pt idx="82">
                  <c:v>4234.8544072196646</c:v>
                </c:pt>
                <c:pt idx="83">
                  <c:v>4147.8893055821354</c:v>
                </c:pt>
                <c:pt idx="84">
                  <c:v>4200.949403347131</c:v>
                </c:pt>
                <c:pt idx="85">
                  <c:v>4399.7007478310961</c:v>
                </c:pt>
                <c:pt idx="86">
                  <c:v>4441.6977213160353</c:v>
                </c:pt>
                <c:pt idx="87">
                  <c:v>4299.2497181424196</c:v>
                </c:pt>
                <c:pt idx="88">
                  <c:v>4265.5317261142573</c:v>
                </c:pt>
                <c:pt idx="89">
                  <c:v>4398.9185111233965</c:v>
                </c:pt>
                <c:pt idx="90">
                  <c:v>4394.9320697377816</c:v>
                </c:pt>
                <c:pt idx="91">
                  <c:v>4301.7467819749927</c:v>
                </c:pt>
                <c:pt idx="92">
                  <c:v>4115.069576546086</c:v>
                </c:pt>
                <c:pt idx="93">
                  <c:v>4004.9131682640814</c:v>
                </c:pt>
                <c:pt idx="94">
                  <c:v>3603.6728182293837</c:v>
                </c:pt>
                <c:pt idx="95">
                  <c:v>2949.9393469286656</c:v>
                </c:pt>
                <c:pt idx="96">
                  <c:v>2890.2257156440965</c:v>
                </c:pt>
                <c:pt idx="97">
                  <c:v>2833.333665136231</c:v>
                </c:pt>
                <c:pt idx="98">
                  <c:v>2796.6074777268636</c:v>
                </c:pt>
                <c:pt idx="99">
                  <c:v>2738.6170238248878</c:v>
                </c:pt>
                <c:pt idx="100">
                  <c:v>2851.157507707645</c:v>
                </c:pt>
                <c:pt idx="101">
                  <c:v>3154.5257538074302</c:v>
                </c:pt>
                <c:pt idx="102">
                  <c:v>3387.3863008635303</c:v>
                </c:pt>
                <c:pt idx="103">
                  <c:v>3817.3502607092264</c:v>
                </c:pt>
                <c:pt idx="104">
                  <c:v>4259.2364957383934</c:v>
                </c:pt>
                <c:pt idx="105">
                  <c:v>4467.7646706683799</c:v>
                </c:pt>
                <c:pt idx="106">
                  <c:v>4452.7089699750513</c:v>
                </c:pt>
                <c:pt idx="107">
                  <c:v>4310.2055883140665</c:v>
                </c:pt>
                <c:pt idx="108">
                  <c:v>4412.9443793746796</c:v>
                </c:pt>
                <c:pt idx="109">
                  <c:v>4623.8848583978615</c:v>
                </c:pt>
                <c:pt idx="110">
                  <c:v>4696.614544270511</c:v>
                </c:pt>
                <c:pt idx="111">
                  <c:v>4512.9991536439984</c:v>
                </c:pt>
                <c:pt idx="112">
                  <c:v>4496.7255969379003</c:v>
                </c:pt>
                <c:pt idx="113">
                  <c:v>4666.7510788804893</c:v>
                </c:pt>
                <c:pt idx="114">
                  <c:v>4804.3930550123878</c:v>
                </c:pt>
                <c:pt idx="115">
                  <c:v>4693.2451565809397</c:v>
                </c:pt>
                <c:pt idx="116">
                  <c:v>4509.6797798461694</c:v>
                </c:pt>
                <c:pt idx="117">
                  <c:v>4368.3466537172526</c:v>
                </c:pt>
                <c:pt idx="118">
                  <c:v>3828.2849298153001</c:v>
                </c:pt>
                <c:pt idx="119">
                  <c:v>3192.656544697034</c:v>
                </c:pt>
                <c:pt idx="120">
                  <c:v>3070.5434254657275</c:v>
                </c:pt>
                <c:pt idx="121">
                  <c:v>3002.9527890925137</c:v>
                </c:pt>
                <c:pt idx="122">
                  <c:v>2944.1836573948249</c:v>
                </c:pt>
                <c:pt idx="123">
                  <c:v>2893.6615982868466</c:v>
                </c:pt>
                <c:pt idx="124">
                  <c:v>3013.2853102124091</c:v>
                </c:pt>
                <c:pt idx="125">
                  <c:v>3311.0831217967107</c:v>
                </c:pt>
                <c:pt idx="126">
                  <c:v>3594.0184865032243</c:v>
                </c:pt>
                <c:pt idx="127">
                  <c:v>4068.6786075279392</c:v>
                </c:pt>
                <c:pt idx="128">
                  <c:v>4521.6741296584241</c:v>
                </c:pt>
                <c:pt idx="129">
                  <c:v>4773.7103141543139</c:v>
                </c:pt>
                <c:pt idx="130">
                  <c:v>4700.7032137768456</c:v>
                </c:pt>
                <c:pt idx="131">
                  <c:v>4611.5288386122193</c:v>
                </c:pt>
                <c:pt idx="132">
                  <c:v>4652.3743634068487</c:v>
                </c:pt>
                <c:pt idx="133">
                  <c:v>4931.7710312011641</c:v>
                </c:pt>
                <c:pt idx="134">
                  <c:v>4952.42143171107</c:v>
                </c:pt>
                <c:pt idx="135">
                  <c:v>4754.151256836094</c:v>
                </c:pt>
                <c:pt idx="136">
                  <c:v>4742.5371403257868</c:v>
                </c:pt>
                <c:pt idx="137">
                  <c:v>4942.8661126953102</c:v>
                </c:pt>
                <c:pt idx="138">
                  <c:v>5026.9249628697398</c:v>
                </c:pt>
                <c:pt idx="139">
                  <c:v>4893.9604683564885</c:v>
                </c:pt>
                <c:pt idx="140">
                  <c:v>4700.1678988740132</c:v>
                </c:pt>
                <c:pt idx="141">
                  <c:v>4572.1790208440007</c:v>
                </c:pt>
                <c:pt idx="142">
                  <c:v>4041.133742004929</c:v>
                </c:pt>
                <c:pt idx="143">
                  <c:v>3349.5076339481357</c:v>
                </c:pt>
                <c:pt idx="144">
                  <c:v>3014.6050558912839</c:v>
                </c:pt>
                <c:pt idx="145">
                  <c:v>2909.444986965651</c:v>
                </c:pt>
                <c:pt idx="146">
                  <c:v>2848.5295435803237</c:v>
                </c:pt>
                <c:pt idx="147">
                  <c:v>2806.8231787150235</c:v>
                </c:pt>
                <c:pt idx="148">
                  <c:v>2950.0750578448637</c:v>
                </c:pt>
                <c:pt idx="149">
                  <c:v>3300.0456512458186</c:v>
                </c:pt>
                <c:pt idx="150">
                  <c:v>3572.002728675765</c:v>
                </c:pt>
                <c:pt idx="151">
                  <c:v>4052.5084918550015</c:v>
                </c:pt>
                <c:pt idx="152">
                  <c:v>4551.0472159813426</c:v>
                </c:pt>
                <c:pt idx="153">
                  <c:v>4843.9349773832673</c:v>
                </c:pt>
                <c:pt idx="154">
                  <c:v>4799.0635849725313</c:v>
                </c:pt>
                <c:pt idx="155">
                  <c:v>4631.6338035279823</c:v>
                </c:pt>
                <c:pt idx="156">
                  <c:v>4739.8624871665697</c:v>
                </c:pt>
                <c:pt idx="157">
                  <c:v>4957.0370837056689</c:v>
                </c:pt>
                <c:pt idx="158">
                  <c:v>4972.591751535917</c:v>
                </c:pt>
                <c:pt idx="159">
                  <c:v>4756.1871571439988</c:v>
                </c:pt>
                <c:pt idx="160">
                  <c:v>4716.8790160473482</c:v>
                </c:pt>
                <c:pt idx="161">
                  <c:v>4939.2885566047116</c:v>
                </c:pt>
                <c:pt idx="162">
                  <c:v>5082.6276282931922</c:v>
                </c:pt>
                <c:pt idx="163">
                  <c:v>4933.7435023195403</c:v>
                </c:pt>
                <c:pt idx="164">
                  <c:v>4700.7575478090512</c:v>
                </c:pt>
                <c:pt idx="165">
                  <c:v>4536.5986746040617</c:v>
                </c:pt>
                <c:pt idx="166">
                  <c:v>3934.1619841121619</c:v>
                </c:pt>
                <c:pt idx="167">
                  <c:v>3231.7226996103182</c:v>
                </c:pt>
                <c:pt idx="168">
                  <c:v>2889.1003457980696</c:v>
                </c:pt>
                <c:pt idx="169">
                  <c:v>2816.5988367640198</c:v>
                </c:pt>
                <c:pt idx="170">
                  <c:v>2764.428666938803</c:v>
                </c:pt>
                <c:pt idx="171">
                  <c:v>2711.9591755278971</c:v>
                </c:pt>
                <c:pt idx="172">
                  <c:v>2842.0474811141175</c:v>
                </c:pt>
                <c:pt idx="173">
                  <c:v>3186.8640680255558</c:v>
                </c:pt>
                <c:pt idx="174">
                  <c:v>3471.2871218024366</c:v>
                </c:pt>
                <c:pt idx="175">
                  <c:v>3939.1183668359058</c:v>
                </c:pt>
                <c:pt idx="176">
                  <c:v>4400.0240915390777</c:v>
                </c:pt>
                <c:pt idx="177">
                  <c:v>4646.8074444096992</c:v>
                </c:pt>
                <c:pt idx="178">
                  <c:v>4618.6533105519211</c:v>
                </c:pt>
                <c:pt idx="179">
                  <c:v>4454.1725717796726</c:v>
                </c:pt>
                <c:pt idx="180">
                  <c:v>4477.3389687533818</c:v>
                </c:pt>
                <c:pt idx="181">
                  <c:v>4716.3703296159147</c:v>
                </c:pt>
                <c:pt idx="182">
                  <c:v>4794.9281074559622</c:v>
                </c:pt>
                <c:pt idx="183">
                  <c:v>4579.8349702732103</c:v>
                </c:pt>
                <c:pt idx="184">
                  <c:v>4605.7832291114846</c:v>
                </c:pt>
                <c:pt idx="185">
                  <c:v>4820.0122087595028</c:v>
                </c:pt>
                <c:pt idx="186">
                  <c:v>4874.2179479609258</c:v>
                </c:pt>
                <c:pt idx="187">
                  <c:v>4743.5851718118411</c:v>
                </c:pt>
                <c:pt idx="188">
                  <c:v>4586.0467335839994</c:v>
                </c:pt>
                <c:pt idx="189">
                  <c:v>4426.9727333479013</c:v>
                </c:pt>
                <c:pt idx="190">
                  <c:v>3838.8504899855484</c:v>
                </c:pt>
                <c:pt idx="191">
                  <c:v>3150.947413199392</c:v>
                </c:pt>
                <c:pt idx="192">
                  <c:v>1750.6655809643157</c:v>
                </c:pt>
                <c:pt idx="193">
                  <c:v>1702.412614883641</c:v>
                </c:pt>
                <c:pt idx="194">
                  <c:v>1675.713567566763</c:v>
                </c:pt>
                <c:pt idx="195">
                  <c:v>1640.9932229704077</c:v>
                </c:pt>
                <c:pt idx="196">
                  <c:v>1720.1740295672435</c:v>
                </c:pt>
                <c:pt idx="197">
                  <c:v>1941.9766527382531</c:v>
                </c:pt>
                <c:pt idx="198">
                  <c:v>2143.240127063475</c:v>
                </c:pt>
                <c:pt idx="199">
                  <c:v>2408.3966223592734</c:v>
                </c:pt>
                <c:pt idx="200">
                  <c:v>2691.7178602952108</c:v>
                </c:pt>
                <c:pt idx="201">
                  <c:v>2832.1572542147242</c:v>
                </c:pt>
                <c:pt idx="202">
                  <c:v>2810.283934801515</c:v>
                </c:pt>
                <c:pt idx="203">
                  <c:v>2718.5554264880111</c:v>
                </c:pt>
                <c:pt idx="204">
                  <c:v>2750.5742693656944</c:v>
                </c:pt>
                <c:pt idx="205">
                  <c:v>2892.8179174586166</c:v>
                </c:pt>
                <c:pt idx="206">
                  <c:v>2915.2387823901645</c:v>
                </c:pt>
                <c:pt idx="207">
                  <c:v>2782.8128522091647</c:v>
                </c:pt>
                <c:pt idx="208">
                  <c:v>2777.7380461898833</c:v>
                </c:pt>
                <c:pt idx="209">
                  <c:v>2930.8863240224209</c:v>
                </c:pt>
                <c:pt idx="210">
                  <c:v>2966.0287040134167</c:v>
                </c:pt>
                <c:pt idx="211">
                  <c:v>2878.3379961481432</c:v>
                </c:pt>
                <c:pt idx="212">
                  <c:v>2751.1740455448976</c:v>
                </c:pt>
                <c:pt idx="213">
                  <c:v>2641.1655450758062</c:v>
                </c:pt>
                <c:pt idx="214">
                  <c:v>2310.9732049281256</c:v>
                </c:pt>
                <c:pt idx="215">
                  <c:v>1901.9104187408395</c:v>
                </c:pt>
                <c:pt idx="216">
                  <c:v>1703.38217463404</c:v>
                </c:pt>
                <c:pt idx="217">
                  <c:v>1636.6529243707514</c:v>
                </c:pt>
                <c:pt idx="218">
                  <c:v>1597.0279402408205</c:v>
                </c:pt>
                <c:pt idx="219">
                  <c:v>1568.6150840610135</c:v>
                </c:pt>
                <c:pt idx="220">
                  <c:v>1649.2011572030665</c:v>
                </c:pt>
                <c:pt idx="221">
                  <c:v>1863.4444276440959</c:v>
                </c:pt>
                <c:pt idx="222">
                  <c:v>2006.8218029982318</c:v>
                </c:pt>
                <c:pt idx="223">
                  <c:v>2235.1444870116725</c:v>
                </c:pt>
                <c:pt idx="224">
                  <c:v>2506.6324209771356</c:v>
                </c:pt>
                <c:pt idx="225">
                  <c:v>2666.9614039398248</c:v>
                </c:pt>
                <c:pt idx="226">
                  <c:v>2734.1411382157198</c:v>
                </c:pt>
                <c:pt idx="227">
                  <c:v>2693.6671804404568</c:v>
                </c:pt>
                <c:pt idx="228">
                  <c:v>2717.2535121624578</c:v>
                </c:pt>
                <c:pt idx="229">
                  <c:v>2775.3641919384154</c:v>
                </c:pt>
                <c:pt idx="230">
                  <c:v>2799.9423213013501</c:v>
                </c:pt>
                <c:pt idx="231">
                  <c:v>2754.8006688221631</c:v>
                </c:pt>
                <c:pt idx="232">
                  <c:v>2791.5857339163867</c:v>
                </c:pt>
                <c:pt idx="233">
                  <c:v>2861.2589735769707</c:v>
                </c:pt>
                <c:pt idx="234">
                  <c:v>2807.9183075589881</c:v>
                </c:pt>
                <c:pt idx="235">
                  <c:v>2733.8554062818857</c:v>
                </c:pt>
                <c:pt idx="236">
                  <c:v>2604.9770511522602</c:v>
                </c:pt>
                <c:pt idx="237">
                  <c:v>2498.1565506398756</c:v>
                </c:pt>
                <c:pt idx="238">
                  <c:v>2206.8938682453863</c:v>
                </c:pt>
                <c:pt idx="239">
                  <c:v>1837.1363801939062</c:v>
                </c:pt>
                <c:pt idx="240">
                  <c:v>1787.5442035426863</c:v>
                </c:pt>
                <c:pt idx="241">
                  <c:v>1729.739409142283</c:v>
                </c:pt>
                <c:pt idx="242">
                  <c:v>1705.6896558528733</c:v>
                </c:pt>
                <c:pt idx="243">
                  <c:v>1683.6310160810667</c:v>
                </c:pt>
                <c:pt idx="244">
                  <c:v>1767.8902972865353</c:v>
                </c:pt>
                <c:pt idx="245">
                  <c:v>2003.6197920906156</c:v>
                </c:pt>
                <c:pt idx="246">
                  <c:v>2157.5297091469474</c:v>
                </c:pt>
                <c:pt idx="247">
                  <c:v>2380.3390156036785</c:v>
                </c:pt>
                <c:pt idx="248">
                  <c:v>2651.2063454414288</c:v>
                </c:pt>
                <c:pt idx="249">
                  <c:v>2807.1514982749363</c:v>
                </c:pt>
                <c:pt idx="250">
                  <c:v>2809.0824217266768</c:v>
                </c:pt>
                <c:pt idx="251">
                  <c:v>2780.7459262881816</c:v>
                </c:pt>
                <c:pt idx="252">
                  <c:v>2883.2865625732334</c:v>
                </c:pt>
                <c:pt idx="253">
                  <c:v>2973.447133273804</c:v>
                </c:pt>
                <c:pt idx="254">
                  <c:v>2964.2342264440717</c:v>
                </c:pt>
                <c:pt idx="255">
                  <c:v>2882.7999571357414</c:v>
                </c:pt>
                <c:pt idx="256">
                  <c:v>2870.2923178714977</c:v>
                </c:pt>
                <c:pt idx="257">
                  <c:v>2994.0992694119263</c:v>
                </c:pt>
                <c:pt idx="258">
                  <c:v>2972.402056608028</c:v>
                </c:pt>
                <c:pt idx="259">
                  <c:v>2877.8705794623547</c:v>
                </c:pt>
                <c:pt idx="260">
                  <c:v>2750.4101042057946</c:v>
                </c:pt>
                <c:pt idx="261">
                  <c:v>2682.1958014107649</c:v>
                </c:pt>
                <c:pt idx="262">
                  <c:v>2389.4215972071784</c:v>
                </c:pt>
                <c:pt idx="263">
                  <c:v>1980.8711039176987</c:v>
                </c:pt>
                <c:pt idx="264">
                  <c:v>2277.6651771592187</c:v>
                </c:pt>
                <c:pt idx="265">
                  <c:v>2181.8461053885508</c:v>
                </c:pt>
                <c:pt idx="266">
                  <c:v>2145.4090940528067</c:v>
                </c:pt>
                <c:pt idx="267">
                  <c:v>2105.0717984611583</c:v>
                </c:pt>
                <c:pt idx="268">
                  <c:v>2205.1635198682966</c:v>
                </c:pt>
                <c:pt idx="269">
                  <c:v>2469.185120892761</c:v>
                </c:pt>
                <c:pt idx="270">
                  <c:v>2663.5432741145087</c:v>
                </c:pt>
                <c:pt idx="271">
                  <c:v>2983.6768558355784</c:v>
                </c:pt>
                <c:pt idx="272">
                  <c:v>3334.8903600168828</c:v>
                </c:pt>
                <c:pt idx="273">
                  <c:v>3517.5862483876008</c:v>
                </c:pt>
                <c:pt idx="274">
                  <c:v>3574.3189672821818</c:v>
                </c:pt>
                <c:pt idx="275">
                  <c:v>3505.8683917462308</c:v>
                </c:pt>
                <c:pt idx="276">
                  <c:v>3625.8108250819378</c:v>
                </c:pt>
                <c:pt idx="277">
                  <c:v>3774.5794141336114</c:v>
                </c:pt>
                <c:pt idx="278">
                  <c:v>3761.681681934218</c:v>
                </c:pt>
                <c:pt idx="279">
                  <c:v>3651.5743396732223</c:v>
                </c:pt>
                <c:pt idx="280">
                  <c:v>3585.2691601169413</c:v>
                </c:pt>
                <c:pt idx="281">
                  <c:v>3731.1126596704689</c:v>
                </c:pt>
                <c:pt idx="282">
                  <c:v>3718.0626395912918</c:v>
                </c:pt>
                <c:pt idx="283">
                  <c:v>3661.6043759763852</c:v>
                </c:pt>
                <c:pt idx="284">
                  <c:v>3544.2927099167227</c:v>
                </c:pt>
                <c:pt idx="285">
                  <c:v>3424.3297969811974</c:v>
                </c:pt>
                <c:pt idx="286">
                  <c:v>3020.281358720194</c:v>
                </c:pt>
                <c:pt idx="287">
                  <c:v>2517.6062325249163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21-4BF2-B7C4-2D77B3519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820728"/>
        <c:axId val="602821056"/>
        <c:extLst/>
      </c:lineChart>
      <c:catAx>
        <c:axId val="60282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2821056"/>
        <c:crosses val="autoZero"/>
        <c:auto val="1"/>
        <c:lblAlgn val="ctr"/>
        <c:lblOffset val="100"/>
        <c:noMultiLvlLbl val="0"/>
      </c:catAx>
      <c:valAx>
        <c:axId val="60282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282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Evolución Costes Energéticos HARD ROCK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'Presentación ESCO'!$C$2</c:f>
              <c:strCache>
                <c:ptCount val="1"/>
                <c:pt idx="0">
                  <c:v>Electricidad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'Presentación ESCO'!$B$3:$B$12</c:f>
              <c:numCache>
                <c:formatCode>0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f>'Presentación ESCO'!$C$3:$C$12</c:f>
              <c:numCache>
                <c:formatCode>#,##0</c:formatCode>
                <c:ptCount val="10"/>
                <c:pt idx="0">
                  <c:v>2646394.0902871662</c:v>
                </c:pt>
                <c:pt idx="1">
                  <c:v>2699321.9720929097</c:v>
                </c:pt>
                <c:pt idx="2">
                  <c:v>2753308.4115347681</c:v>
                </c:pt>
                <c:pt idx="3">
                  <c:v>2808374.5797654632</c:v>
                </c:pt>
                <c:pt idx="4">
                  <c:v>2864542.0713607729</c:v>
                </c:pt>
                <c:pt idx="5">
                  <c:v>2921832.9127879883</c:v>
                </c:pt>
                <c:pt idx="6">
                  <c:v>2980269.5710437479</c:v>
                </c:pt>
                <c:pt idx="7">
                  <c:v>3039874.9624646232</c:v>
                </c:pt>
                <c:pt idx="8">
                  <c:v>3100672.4617139152</c:v>
                </c:pt>
                <c:pt idx="9">
                  <c:v>3162685.9109481932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1F-4AC0-B1A0-C04C310B225B}"/>
            </c:ext>
          </c:extLst>
        </c:ser>
        <c:ser>
          <c:idx val="2"/>
          <c:order val="2"/>
          <c:tx>
            <c:strRef>
              <c:f>'Presentación ESCO'!$D$2</c:f>
              <c:strCache>
                <c:ptCount val="1"/>
                <c:pt idx="0">
                  <c:v>ACS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'Presentación ESCO'!$B$3:$B$12</c:f>
              <c:numCache>
                <c:formatCode>0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f>'Presentación ESCO'!$D$3:$D$12</c:f>
              <c:numCache>
                <c:formatCode>#,##0</c:formatCode>
                <c:ptCount val="10"/>
                <c:pt idx="0">
                  <c:v>317520.36259062053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1F-4AC0-B1A0-C04C310B225B}"/>
            </c:ext>
          </c:extLst>
        </c:ser>
        <c:ser>
          <c:idx val="3"/>
          <c:order val="3"/>
          <c:tx>
            <c:strRef>
              <c:f>'Presentación ESCO'!$E$2</c:f>
              <c:strCache>
                <c:ptCount val="1"/>
                <c:pt idx="0">
                  <c:v>Agua Helada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'Presentación ESCO'!$B$3:$B$12</c:f>
              <c:numCache>
                <c:formatCode>0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f>'Presentación ESCO'!$E$3:$E$12</c:f>
              <c:numCache>
                <c:formatCode>#,##0</c:formatCode>
                <c:ptCount val="10"/>
                <c:pt idx="0">
                  <c:v>51.337052061054763</c:v>
                </c:pt>
                <c:pt idx="1">
                  <c:v>52.363793102275864</c:v>
                </c:pt>
                <c:pt idx="2">
                  <c:v>53.41106896432138</c:v>
                </c:pt>
                <c:pt idx="3">
                  <c:v>54.479290343607808</c:v>
                </c:pt>
                <c:pt idx="4">
                  <c:v>55.568876150479966</c:v>
                </c:pt>
                <c:pt idx="5">
                  <c:v>56.680253673489567</c:v>
                </c:pt>
                <c:pt idx="6">
                  <c:v>57.813858746959362</c:v>
                </c:pt>
                <c:pt idx="7">
                  <c:v>58.970135921898546</c:v>
                </c:pt>
                <c:pt idx="8">
                  <c:v>60.149538640336516</c:v>
                </c:pt>
                <c:pt idx="9">
                  <c:v>61.352529413143245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1F-4AC0-B1A0-C04C310B225B}"/>
            </c:ext>
          </c:extLst>
        </c:ser>
        <c:ser>
          <c:idx val="4"/>
          <c:order val="4"/>
          <c:tx>
            <c:strRef>
              <c:f>'Presentación ESCO'!$F$2</c:f>
              <c:strCache>
                <c:ptCount val="1"/>
                <c:pt idx="0">
                  <c:v>O&amp;M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'Presentación ESCO'!$B$3:$B$12</c:f>
              <c:numCache>
                <c:formatCode>0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f>'Presentación ESCO'!$F$3:$F$12</c:f>
              <c:numCache>
                <c:formatCode>#,##0</c:formatCode>
                <c:ptCount val="10"/>
                <c:pt idx="0">
                  <c:v>400000</c:v>
                </c:pt>
                <c:pt idx="1">
                  <c:v>408000</c:v>
                </c:pt>
                <c:pt idx="2">
                  <c:v>416160</c:v>
                </c:pt>
                <c:pt idx="3">
                  <c:v>424483.2</c:v>
                </c:pt>
                <c:pt idx="4">
                  <c:v>432972.864</c:v>
                </c:pt>
                <c:pt idx="5">
                  <c:v>441632.32128000003</c:v>
                </c:pt>
                <c:pt idx="6">
                  <c:v>450464.96770560002</c:v>
                </c:pt>
                <c:pt idx="7">
                  <c:v>459474.26705971203</c:v>
                </c:pt>
                <c:pt idx="8">
                  <c:v>468663.75240090629</c:v>
                </c:pt>
                <c:pt idx="9">
                  <c:v>478037.02744892443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1F-4AC0-B1A0-C04C310B2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9471152"/>
        <c:axId val="8094708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'Presentación ESCO'!$B$19</c15:sqref>
                        </c15:formulaRef>
                      </c:ext>
                    </c:extLst>
                    <c:strCache>
                      <c:ptCount val="1"/>
                      <c:pt idx="0">
                        <c:v>Año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'Presentación ESCO'!$B$3:$B$12</c15:sqref>
                        </c15:formulaRef>
                      </c:ext>
                    </c:extLst>
                    <c:numCache>
                      <c:formatCode>0</c:formatCode>
                      <c:ptCount val="10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  <c:pt idx="5">
                        <c:v>2023</c:v>
                      </c:pt>
                      <c:pt idx="6">
                        <c:v>2024</c:v>
                      </c:pt>
                      <c:pt idx="7">
                        <c:v>2025</c:v>
                      </c:pt>
                      <c:pt idx="8">
                        <c:v>2026</c:v>
                      </c:pt>
                      <c:pt idx="9">
                        <c:v>2027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'Presentación ESCO'!$B$20:$B$29</c15:sqref>
                        </c15:formulaRef>
                      </c:ext>
                    </c:extLst>
                    <c:numCache>
                      <c:formatCode>0</c:formatCode>
                      <c:ptCount val="10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  <c:pt idx="5">
                        <c:v>2023</c:v>
                      </c:pt>
                      <c:pt idx="6">
                        <c:v>2024</c:v>
                      </c:pt>
                      <c:pt idx="7">
                        <c:v>2025</c:v>
                      </c:pt>
                      <c:pt idx="8">
                        <c:v>2026</c:v>
                      </c:pt>
                      <c:pt idx="9">
                        <c:v>2027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F1F-4AC0-B1A0-C04C310B225B}"/>
                  </c:ext>
                </c:extLst>
              </c15:ser>
            </c15:filteredBarSeries>
          </c:ext>
        </c:extLst>
      </c:barChart>
      <c:catAx>
        <c:axId val="80947115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09470824"/>
        <c:crosses val="autoZero"/>
        <c:auto val="1"/>
        <c:lblAlgn val="ctr"/>
        <c:lblOffset val="100"/>
        <c:noMultiLvlLbl val="0"/>
      </c:catAx>
      <c:valAx>
        <c:axId val="80947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s-E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09471152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s-ES"/>
                    <a:t>Millones US$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'Est Sensibilidad'!$B$44</c:f>
              <c:strCache>
                <c:ptCount val="1"/>
                <c:pt idx="0">
                  <c:v>AHORROS (US$)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'Est Sensibilidad'!$C$44:$M$44</c:f>
              <c:numCache>
                <c:formatCode>#,##0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2-4131-8DF1-8B2393C59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719752"/>
        <c:axId val="884726640"/>
      </c:lineChart>
      <c:catAx>
        <c:axId val="884719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726640"/>
        <c:crosses val="autoZero"/>
        <c:auto val="1"/>
        <c:lblAlgn val="ctr"/>
        <c:lblOffset val="100"/>
        <c:noMultiLvlLbl val="0"/>
      </c:catAx>
      <c:valAx>
        <c:axId val="88472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719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'Est Sensibilidad'!$C$19:$M$19</c:f>
              <c:numCache>
                <c:formatCode>0.0000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3-46A5-9A5E-D4263AFF60E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'Est Sensibilidad'!$C$32:$M$32</c:f>
              <c:numCache>
                <c:formatCode>0.0000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93-46A5-9A5E-D4263AFF6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642440"/>
        <c:axId val="869638504"/>
      </c:lineChart>
      <c:catAx>
        <c:axId val="869642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9638504"/>
        <c:crosses val="autoZero"/>
        <c:auto val="1"/>
        <c:lblAlgn val="ctr"/>
        <c:lblOffset val="100"/>
        <c:noMultiLvlLbl val="0"/>
      </c:catAx>
      <c:valAx>
        <c:axId val="86963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964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microsoft.com/office/2007/relationships/hdphoto" Target="../media/hdphoto1.wdp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jpeg"/><Relationship Id="rId1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18" Type="http://schemas.openxmlformats.org/officeDocument/2006/relationships/image" Target="../media/image31.emf"/><Relationship Id="rId3" Type="http://schemas.openxmlformats.org/officeDocument/2006/relationships/image" Target="../media/image16.emf"/><Relationship Id="rId21" Type="http://schemas.openxmlformats.org/officeDocument/2006/relationships/image" Target="../media/image34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17" Type="http://schemas.openxmlformats.org/officeDocument/2006/relationships/image" Target="../media/image30.emf"/><Relationship Id="rId2" Type="http://schemas.openxmlformats.org/officeDocument/2006/relationships/image" Target="../media/image15.emf"/><Relationship Id="rId16" Type="http://schemas.openxmlformats.org/officeDocument/2006/relationships/image" Target="../media/image29.emf"/><Relationship Id="rId20" Type="http://schemas.openxmlformats.org/officeDocument/2006/relationships/image" Target="../media/image33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5" Type="http://schemas.openxmlformats.org/officeDocument/2006/relationships/image" Target="../media/image28.emf"/><Relationship Id="rId10" Type="http://schemas.openxmlformats.org/officeDocument/2006/relationships/image" Target="../media/image23.emf"/><Relationship Id="rId19" Type="http://schemas.openxmlformats.org/officeDocument/2006/relationships/image" Target="../media/image32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729</xdr:row>
      <xdr:rowOff>0</xdr:rowOff>
    </xdr:from>
    <xdr:to>
      <xdr:col>21</xdr:col>
      <xdr:colOff>361949</xdr:colOff>
      <xdr:row>763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638733</xdr:colOff>
      <xdr:row>33</xdr:row>
      <xdr:rowOff>33618</xdr:rowOff>
    </xdr:from>
    <xdr:to>
      <xdr:col>38</xdr:col>
      <xdr:colOff>291350</xdr:colOff>
      <xdr:row>53</xdr:row>
      <xdr:rowOff>11206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672351</xdr:colOff>
      <xdr:row>33</xdr:row>
      <xdr:rowOff>56029</xdr:rowOff>
    </xdr:from>
    <xdr:to>
      <xdr:col>29</xdr:col>
      <xdr:colOff>11204</xdr:colOff>
      <xdr:row>52</xdr:row>
      <xdr:rowOff>89647</xdr:rowOff>
    </xdr:to>
    <xdr:graphicFrame macro="">
      <xdr:nvGraphicFramePr>
        <xdr:cNvPr id="3" name="6 Gráfic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470646</xdr:colOff>
      <xdr:row>0</xdr:row>
      <xdr:rowOff>44824</xdr:rowOff>
    </xdr:from>
    <xdr:to>
      <xdr:col>38</xdr:col>
      <xdr:colOff>493058</xdr:colOff>
      <xdr:row>16</xdr:row>
      <xdr:rowOff>112059</xdr:rowOff>
    </xdr:to>
    <xdr:graphicFrame macro="">
      <xdr:nvGraphicFramePr>
        <xdr:cNvPr id="4" name="8 Gráfico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156882</xdr:colOff>
      <xdr:row>17</xdr:row>
      <xdr:rowOff>112059</xdr:rowOff>
    </xdr:from>
    <xdr:to>
      <xdr:col>42</xdr:col>
      <xdr:colOff>156882</xdr:colOff>
      <xdr:row>32</xdr:row>
      <xdr:rowOff>0</xdr:rowOff>
    </xdr:to>
    <xdr:graphicFrame macro="">
      <xdr:nvGraphicFramePr>
        <xdr:cNvPr id="5" name="5 Gráfico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11206</xdr:colOff>
      <xdr:row>33</xdr:row>
      <xdr:rowOff>145676</xdr:rowOff>
    </xdr:from>
    <xdr:to>
      <xdr:col>50</xdr:col>
      <xdr:colOff>134472</xdr:colOff>
      <xdr:row>56</xdr:row>
      <xdr:rowOff>56029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638733</xdr:colOff>
      <xdr:row>33</xdr:row>
      <xdr:rowOff>33618</xdr:rowOff>
    </xdr:from>
    <xdr:to>
      <xdr:col>38</xdr:col>
      <xdr:colOff>291350</xdr:colOff>
      <xdr:row>53</xdr:row>
      <xdr:rowOff>11206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672351</xdr:colOff>
      <xdr:row>33</xdr:row>
      <xdr:rowOff>56029</xdr:rowOff>
    </xdr:from>
    <xdr:to>
      <xdr:col>29</xdr:col>
      <xdr:colOff>11204</xdr:colOff>
      <xdr:row>52</xdr:row>
      <xdr:rowOff>89647</xdr:rowOff>
    </xdr:to>
    <xdr:graphicFrame macro="">
      <xdr:nvGraphicFramePr>
        <xdr:cNvPr id="3" name="6 Gráfico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470646</xdr:colOff>
      <xdr:row>0</xdr:row>
      <xdr:rowOff>44824</xdr:rowOff>
    </xdr:from>
    <xdr:to>
      <xdr:col>38</xdr:col>
      <xdr:colOff>493058</xdr:colOff>
      <xdr:row>16</xdr:row>
      <xdr:rowOff>112059</xdr:rowOff>
    </xdr:to>
    <xdr:graphicFrame macro="">
      <xdr:nvGraphicFramePr>
        <xdr:cNvPr id="4" name="8 Gráfico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156882</xdr:colOff>
      <xdr:row>17</xdr:row>
      <xdr:rowOff>112059</xdr:rowOff>
    </xdr:from>
    <xdr:to>
      <xdr:col>42</xdr:col>
      <xdr:colOff>156882</xdr:colOff>
      <xdr:row>32</xdr:row>
      <xdr:rowOff>0</xdr:rowOff>
    </xdr:to>
    <xdr:graphicFrame macro="">
      <xdr:nvGraphicFramePr>
        <xdr:cNvPr id="5" name="5 Gráfico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11206</xdr:colOff>
      <xdr:row>33</xdr:row>
      <xdr:rowOff>145676</xdr:rowOff>
    </xdr:from>
    <xdr:to>
      <xdr:col>50</xdr:col>
      <xdr:colOff>134472</xdr:colOff>
      <xdr:row>56</xdr:row>
      <xdr:rowOff>56029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386603</xdr:colOff>
      <xdr:row>484</xdr:row>
      <xdr:rowOff>34737</xdr:rowOff>
    </xdr:from>
    <xdr:to>
      <xdr:col>32</xdr:col>
      <xdr:colOff>117662</xdr:colOff>
      <xdr:row>498</xdr:row>
      <xdr:rowOff>110937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542277</xdr:colOff>
      <xdr:row>13</xdr:row>
      <xdr:rowOff>114300</xdr:rowOff>
    </xdr:from>
    <xdr:to>
      <xdr:col>20</xdr:col>
      <xdr:colOff>571501</xdr:colOff>
      <xdr:row>13</xdr:row>
      <xdr:rowOff>114812</xdr:rowOff>
    </xdr:to>
    <xdr:cxnSp macro="">
      <xdr:nvCxnSpPr>
        <xdr:cNvPr id="289" name="Conector: angular 288">
          <a:extLst>
            <a:ext uri="{FF2B5EF4-FFF2-40B4-BE49-F238E27FC236}">
              <a16:creationId xmlns:a16="http://schemas.microsoft.com/office/drawing/2014/main" id="{00000000-0008-0000-0600-000021010000}"/>
            </a:ext>
          </a:extLst>
        </xdr:cNvPr>
        <xdr:cNvCxnSpPr/>
      </xdr:nvCxnSpPr>
      <xdr:spPr>
        <a:xfrm rot="10800000" flipV="1">
          <a:off x="14143977" y="2676525"/>
          <a:ext cx="724549" cy="512"/>
        </a:xfrm>
        <a:prstGeom prst="bentConnector3">
          <a:avLst>
            <a:gd name="adj1" fmla="val 50000"/>
          </a:avLst>
        </a:prstGeom>
        <a:ln w="50800">
          <a:solidFill>
            <a:schemeClr val="accent1">
              <a:lumMod val="60000"/>
              <a:lumOff val="40000"/>
            </a:schemeClr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657225</xdr:colOff>
      <xdr:row>15</xdr:row>
      <xdr:rowOff>133350</xdr:rowOff>
    </xdr:from>
    <xdr:to>
      <xdr:col>14</xdr:col>
      <xdr:colOff>9525</xdr:colOff>
      <xdr:row>15</xdr:row>
      <xdr:rowOff>146050</xdr:rowOff>
    </xdr:to>
    <xdr:cxnSp macro="">
      <xdr:nvCxnSpPr>
        <xdr:cNvPr id="223" name="Conector: angular 222">
          <a:extLst>
            <a:ext uri="{FF2B5EF4-FFF2-40B4-BE49-F238E27FC236}">
              <a16:creationId xmlns:a16="http://schemas.microsoft.com/office/drawing/2014/main" id="{00000000-0008-0000-0600-0000DF000000}"/>
            </a:ext>
          </a:extLst>
        </xdr:cNvPr>
        <xdr:cNvCxnSpPr/>
      </xdr:nvCxnSpPr>
      <xdr:spPr>
        <a:xfrm rot="10800000">
          <a:off x="8924925" y="3076575"/>
          <a:ext cx="876300" cy="12700"/>
        </a:xfrm>
        <a:prstGeom prst="bentConnector3">
          <a:avLst>
            <a:gd name="adj1" fmla="val 50000"/>
          </a:avLst>
        </a:prstGeom>
        <a:ln w="508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304800</xdr:colOff>
      <xdr:row>5</xdr:row>
      <xdr:rowOff>114300</xdr:rowOff>
    </xdr:to>
    <xdr:sp macro="" textlink="">
      <xdr:nvSpPr>
        <xdr:cNvPr id="2" name="Autoforma 1" descr="Resultado de imagen de torre electrica dibuj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48000" y="84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442555</xdr:colOff>
      <xdr:row>4</xdr:row>
      <xdr:rowOff>140875</xdr:rowOff>
    </xdr:from>
    <xdr:to>
      <xdr:col>4</xdr:col>
      <xdr:colOff>167210</xdr:colOff>
      <xdr:row>7</xdr:row>
      <xdr:rowOff>56030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8555" y="988600"/>
          <a:ext cx="486655" cy="486655"/>
        </a:xfrm>
        <a:prstGeom prst="rect">
          <a:avLst/>
        </a:prstGeom>
      </xdr:spPr>
    </xdr:pic>
    <xdr:clientData/>
  </xdr:twoCellAnchor>
  <xdr:twoCellAnchor>
    <xdr:from>
      <xdr:col>1</xdr:col>
      <xdr:colOff>650756</xdr:colOff>
      <xdr:row>11</xdr:row>
      <xdr:rowOff>56030</xdr:rowOff>
    </xdr:from>
    <xdr:to>
      <xdr:col>3</xdr:col>
      <xdr:colOff>683559</xdr:colOff>
      <xdr:row>28</xdr:row>
      <xdr:rowOff>152400</xdr:rowOff>
    </xdr:to>
    <xdr:cxnSp macro="">
      <xdr:nvCxnSpPr>
        <xdr:cNvPr id="4" name="Conector: angular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CxnSpPr/>
      </xdr:nvCxnSpPr>
      <xdr:spPr>
        <a:xfrm rot="5400000">
          <a:off x="523723" y="3130210"/>
          <a:ext cx="3334870" cy="1556803"/>
        </a:xfrm>
        <a:prstGeom prst="bentConnector3">
          <a:avLst>
            <a:gd name="adj1" fmla="val 24462"/>
          </a:avLst>
        </a:prstGeom>
        <a:ln w="508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235803</xdr:colOff>
      <xdr:row>5</xdr:row>
      <xdr:rowOff>87305</xdr:rowOff>
    </xdr:from>
    <xdr:ext cx="966106" cy="220297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1759803" y="1125530"/>
          <a:ext cx="966106" cy="2202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pPr algn="ctr"/>
          <a:r>
            <a:rPr lang="es-ES" sz="12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RED JPSco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2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es-ES" sz="12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3</xdr:col>
      <xdr:colOff>685883</xdr:colOff>
      <xdr:row>7</xdr:row>
      <xdr:rowOff>56030</xdr:rowOff>
    </xdr:from>
    <xdr:to>
      <xdr:col>5</xdr:col>
      <xdr:colOff>438985</xdr:colOff>
      <xdr:row>15</xdr:row>
      <xdr:rowOff>141192</xdr:rowOff>
    </xdr:to>
    <xdr:cxnSp macro="">
      <xdr:nvCxnSpPr>
        <xdr:cNvPr id="6" name="Conector: angula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>
          <a:stCxn id="3" idx="2"/>
          <a:endCxn id="101" idx="0"/>
        </xdr:cNvCxnSpPr>
      </xdr:nvCxnSpPr>
      <xdr:spPr>
        <a:xfrm rot="16200000" flipH="1">
          <a:off x="2805853" y="1641285"/>
          <a:ext cx="1609162" cy="1277102"/>
        </a:xfrm>
        <a:prstGeom prst="bentConnector3">
          <a:avLst>
            <a:gd name="adj1" fmla="val 50000"/>
          </a:avLst>
        </a:prstGeom>
        <a:ln w="508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26493</xdr:colOff>
      <xdr:row>12</xdr:row>
      <xdr:rowOff>5602</xdr:rowOff>
    </xdr:from>
    <xdr:to>
      <xdr:col>5</xdr:col>
      <xdr:colOff>425822</xdr:colOff>
      <xdr:row>13</xdr:row>
      <xdr:rowOff>157237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3074493" y="2377327"/>
          <a:ext cx="1161329" cy="342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marL="0" indent="0" algn="ctr"/>
          <a:r>
            <a:rPr lang="es-ES" sz="10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Electricidad a enfriadoras</a:t>
          </a:r>
        </a:p>
      </xdr:txBody>
    </xdr:sp>
    <xdr:clientData/>
  </xdr:twoCellAnchor>
  <xdr:twoCellAnchor>
    <xdr:from>
      <xdr:col>5</xdr:col>
      <xdr:colOff>437030</xdr:colOff>
      <xdr:row>18</xdr:row>
      <xdr:rowOff>39660</xdr:rowOff>
    </xdr:from>
    <xdr:to>
      <xdr:col>5</xdr:col>
      <xdr:colOff>438986</xdr:colOff>
      <xdr:row>28</xdr:row>
      <xdr:rowOff>100853</xdr:rowOff>
    </xdr:to>
    <xdr:cxnSp macro="">
      <xdr:nvCxnSpPr>
        <xdr:cNvPr id="8" name="Conector: angula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/>
      </xdr:nvCxnSpPr>
      <xdr:spPr>
        <a:xfrm rot="5400000">
          <a:off x="3264911" y="4536504"/>
          <a:ext cx="1966193" cy="1956"/>
        </a:xfrm>
        <a:prstGeom prst="bentConnector3">
          <a:avLst>
            <a:gd name="adj1" fmla="val 50000"/>
          </a:avLst>
        </a:prstGeom>
        <a:ln w="508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594712</xdr:colOff>
      <xdr:row>37</xdr:row>
      <xdr:rowOff>4002</xdr:rowOff>
    </xdr:from>
    <xdr:to>
      <xdr:col>13</xdr:col>
      <xdr:colOff>310155</xdr:colOff>
      <xdr:row>43</xdr:row>
      <xdr:rowOff>17002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pSpPr/>
      </xdr:nvGrpSpPr>
      <xdr:grpSpPr>
        <a:xfrm>
          <a:off x="6130418" y="7153355"/>
          <a:ext cx="2539325" cy="1156000"/>
          <a:chOff x="853106" y="8298493"/>
          <a:chExt cx="2981548" cy="1145022"/>
        </a:xfrm>
      </xdr:grpSpPr>
      <xdr:cxnSp macro="">
        <xdr:nvCxnSpPr>
          <xdr:cNvPr id="10" name="Conector recto de flecha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CxnSpPr/>
        </xdr:nvCxnSpPr>
        <xdr:spPr>
          <a:xfrm>
            <a:off x="867402" y="8704196"/>
            <a:ext cx="720000" cy="0"/>
          </a:xfrm>
          <a:prstGeom prst="straightConnector1">
            <a:avLst/>
          </a:prstGeom>
          <a:ln w="50800">
            <a:solidFill>
              <a:schemeClr val="bg1">
                <a:lumMod val="65000"/>
              </a:schemeClr>
            </a:solidFill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SpPr txBox="1"/>
        </xdr:nvSpPr>
        <xdr:spPr>
          <a:xfrm>
            <a:off x="1649222" y="8556216"/>
            <a:ext cx="1201715" cy="324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l"/>
            <a:r>
              <a:rPr lang="es-ES" sz="1200" b="1">
                <a:solidFill>
                  <a:sysClr val="windowText" lastClr="000000"/>
                </a:solidFill>
              </a:rPr>
              <a:t>EXHAUST GAS</a:t>
            </a:r>
          </a:p>
        </xdr:txBody>
      </xdr:sp>
      <xdr:cxnSp macro="">
        <xdr:nvCxnSpPr>
          <xdr:cNvPr id="12" name="Conector recto de flecha 11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CxnSpPr/>
        </xdr:nvCxnSpPr>
        <xdr:spPr>
          <a:xfrm>
            <a:off x="853106" y="8955844"/>
            <a:ext cx="720000" cy="0"/>
          </a:xfrm>
          <a:prstGeom prst="straightConnector1">
            <a:avLst/>
          </a:prstGeom>
          <a:ln w="50800">
            <a:solidFill>
              <a:srgbClr val="FFFF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CuadroTexto 12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 txBox="1"/>
        </xdr:nvSpPr>
        <xdr:spPr>
          <a:xfrm>
            <a:off x="1628345" y="8806946"/>
            <a:ext cx="1262445" cy="3602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l"/>
            <a:r>
              <a:rPr lang="es-ES" sz="1200" b="1">
                <a:solidFill>
                  <a:sysClr val="windowText" lastClr="000000"/>
                </a:solidFill>
              </a:rPr>
              <a:t>NATURAL</a:t>
            </a:r>
            <a:r>
              <a:rPr lang="es-ES" sz="1200" b="1" baseline="0">
                <a:solidFill>
                  <a:sysClr val="windowText" lastClr="000000"/>
                </a:solidFill>
              </a:rPr>
              <a:t> GAS</a:t>
            </a:r>
            <a:endParaRPr lang="es-ES" sz="1200" b="1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" name="Conector recto de flecha 13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CxnSpPr/>
        </xdr:nvCxnSpPr>
        <xdr:spPr>
          <a:xfrm>
            <a:off x="858456" y="8464577"/>
            <a:ext cx="720000" cy="0"/>
          </a:xfrm>
          <a:prstGeom prst="straightConnector1">
            <a:avLst/>
          </a:prstGeom>
          <a:ln w="5080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CuadroTexto 14">
            <a:extLst>
              <a:ext uri="{FF2B5EF4-FFF2-40B4-BE49-F238E27FC236}">
                <a16:creationId xmlns:a16="http://schemas.microsoft.com/office/drawing/2014/main" id="{00000000-0008-0000-0600-00000F000000}"/>
              </a:ext>
            </a:extLst>
          </xdr:cNvPr>
          <xdr:cNvSpPr txBox="1"/>
        </xdr:nvSpPr>
        <xdr:spPr>
          <a:xfrm>
            <a:off x="1652714" y="8298493"/>
            <a:ext cx="1232437" cy="324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l"/>
            <a:r>
              <a:rPr lang="es-ES" sz="1200" b="1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" name="Conector recto de flecha 15">
            <a:extLst>
              <a:ext uri="{FF2B5EF4-FFF2-40B4-BE49-F238E27FC236}">
                <a16:creationId xmlns:a16="http://schemas.microsoft.com/office/drawing/2014/main" id="{00000000-0008-0000-0600-000010000000}"/>
              </a:ext>
            </a:extLst>
          </xdr:cNvPr>
          <xdr:cNvCxnSpPr/>
        </xdr:nvCxnSpPr>
        <xdr:spPr>
          <a:xfrm>
            <a:off x="867762" y="9208356"/>
            <a:ext cx="720000" cy="0"/>
          </a:xfrm>
          <a:prstGeom prst="straightConnector1">
            <a:avLst/>
          </a:prstGeom>
          <a:ln w="50800">
            <a:solidFill>
              <a:srgbClr val="FFC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CuadroTexto 16">
            <a:extLst>
              <a:ext uri="{FF2B5EF4-FFF2-40B4-BE49-F238E27FC236}">
                <a16:creationId xmlns:a16="http://schemas.microsoft.com/office/drawing/2014/main" id="{00000000-0008-0000-0600-000011000000}"/>
              </a:ext>
            </a:extLst>
          </xdr:cNvPr>
          <xdr:cNvSpPr txBox="1"/>
        </xdr:nvSpPr>
        <xdr:spPr>
          <a:xfrm>
            <a:off x="1631175" y="9028497"/>
            <a:ext cx="2203479" cy="4150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l"/>
            <a:r>
              <a:rPr lang="es-ES" sz="1200" b="1">
                <a:solidFill>
                  <a:sysClr val="windowText" lastClr="000000"/>
                </a:solidFill>
              </a:rPr>
              <a:t>HT </a:t>
            </a:r>
            <a:r>
              <a:rPr lang="es-ES" sz="1200" b="1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CIRCUIT</a:t>
            </a:r>
            <a:r>
              <a:rPr lang="es-E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s-ES" sz="1200" b="1">
                <a:solidFill>
                  <a:sysClr val="windowText" lastClr="000000"/>
                </a:solidFill>
              </a:rPr>
              <a:t>RECOVERY </a:t>
            </a:r>
          </a:p>
        </xdr:txBody>
      </xdr:sp>
    </xdr:grpSp>
    <xdr:clientData/>
  </xdr:twoCellAnchor>
  <xdr:twoCellAnchor>
    <xdr:from>
      <xdr:col>9</xdr:col>
      <xdr:colOff>11781</xdr:colOff>
      <xdr:row>44</xdr:row>
      <xdr:rowOff>156677</xdr:rowOff>
    </xdr:from>
    <xdr:to>
      <xdr:col>9</xdr:col>
      <xdr:colOff>576578</xdr:colOff>
      <xdr:row>44</xdr:row>
      <xdr:rowOff>156677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>
          <a:off x="6612046" y="8639530"/>
          <a:ext cx="564797" cy="0"/>
        </a:xfrm>
        <a:prstGeom prst="straightConnector1">
          <a:avLst/>
        </a:prstGeom>
        <a:ln w="50800">
          <a:solidFill>
            <a:srgbClr val="FF000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625482</xdr:colOff>
      <xdr:row>43</xdr:row>
      <xdr:rowOff>186572</xdr:rowOff>
    </xdr:from>
    <xdr:to>
      <xdr:col>12</xdr:col>
      <xdr:colOff>665186</xdr:colOff>
      <xdr:row>45</xdr:row>
      <xdr:rowOff>133659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7225747" y="8478925"/>
          <a:ext cx="1709380" cy="3280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r>
            <a:rPr lang="es-ES" sz="1200" b="1" baseline="0">
              <a:solidFill>
                <a:sysClr val="windowText" lastClr="000000"/>
              </a:solidFill>
            </a:rPr>
            <a:t> HOT WATER</a:t>
          </a:r>
          <a:endParaRPr lang="es-ES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5035</xdr:colOff>
      <xdr:row>43</xdr:row>
      <xdr:rowOff>60436</xdr:rowOff>
    </xdr:from>
    <xdr:to>
      <xdr:col>9</xdr:col>
      <xdr:colOff>579357</xdr:colOff>
      <xdr:row>43</xdr:row>
      <xdr:rowOff>60436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/>
      </xdr:nvCxnSpPr>
      <xdr:spPr>
        <a:xfrm>
          <a:off x="6605300" y="8352789"/>
          <a:ext cx="574322" cy="0"/>
        </a:xfrm>
        <a:prstGeom prst="straightConnector1">
          <a:avLst/>
        </a:prstGeom>
        <a:ln w="508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658794</xdr:colOff>
      <xdr:row>42</xdr:row>
      <xdr:rowOff>105672</xdr:rowOff>
    </xdr:from>
    <xdr:to>
      <xdr:col>12</xdr:col>
      <xdr:colOff>391286</xdr:colOff>
      <xdr:row>44</xdr:row>
      <xdr:rowOff>52759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/>
      </xdr:nvSpPr>
      <xdr:spPr>
        <a:xfrm>
          <a:off x="7259059" y="8207525"/>
          <a:ext cx="1402168" cy="3280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r>
            <a:rPr lang="es-ES" sz="1200" b="1">
              <a:solidFill>
                <a:sysClr val="windowText" lastClr="000000"/>
              </a:solidFill>
            </a:rPr>
            <a:t>CHILLED</a:t>
          </a:r>
          <a:r>
            <a:rPr lang="es-ES" sz="1200" b="1" baseline="0">
              <a:solidFill>
                <a:sysClr val="windowText" lastClr="000000"/>
              </a:solidFill>
            </a:rPr>
            <a:t> WATER</a:t>
          </a:r>
          <a:endParaRPr lang="es-ES" sz="12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6</xdr:col>
      <xdr:colOff>555811</xdr:colOff>
      <xdr:row>5</xdr:row>
      <xdr:rowOff>149768</xdr:rowOff>
    </xdr:from>
    <xdr:ext cx="1054475" cy="132665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4984936" y="1187993"/>
          <a:ext cx="1054475" cy="13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spAutoFit/>
        </a:bodyPr>
        <a:lstStyle/>
        <a:p>
          <a:pPr algn="ctr"/>
          <a:r>
            <a:rPr lang="es-ES" sz="9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TANQUE GLP</a:t>
          </a:r>
          <a:endParaRPr lang="es-ES" sz="9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8</xdr:col>
      <xdr:colOff>65840</xdr:colOff>
      <xdr:row>17</xdr:row>
      <xdr:rowOff>119631</xdr:rowOff>
    </xdr:from>
    <xdr:to>
      <xdr:col>8</xdr:col>
      <xdr:colOff>66676</xdr:colOff>
      <xdr:row>28</xdr:row>
      <xdr:rowOff>161924</xdr:rowOff>
    </xdr:to>
    <xdr:cxnSp macro="">
      <xdr:nvCxnSpPr>
        <xdr:cNvPr id="23" name="Conector: angular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CxnSpPr>
          <a:stCxn id="105" idx="2"/>
        </xdr:cNvCxnSpPr>
      </xdr:nvCxnSpPr>
      <xdr:spPr>
        <a:xfrm rot="16200000" flipH="1">
          <a:off x="4531386" y="4512335"/>
          <a:ext cx="2137793" cy="836"/>
        </a:xfrm>
        <a:prstGeom prst="bentConnector3">
          <a:avLst>
            <a:gd name="adj1" fmla="val 50000"/>
          </a:avLst>
        </a:prstGeom>
        <a:ln w="50800">
          <a:solidFill>
            <a:srgbClr val="FF000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0</xdr:colOff>
      <xdr:row>4</xdr:row>
      <xdr:rowOff>0</xdr:rowOff>
    </xdr:from>
    <xdr:ext cx="304800" cy="304800"/>
    <xdr:sp macro="" textlink="">
      <xdr:nvSpPr>
        <xdr:cNvPr id="24" name="Autoforma 1" descr="Resultado de imagen de torre electrica dibujo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10610850" y="84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112060</xdr:colOff>
      <xdr:row>29</xdr:row>
      <xdr:rowOff>78440</xdr:rowOff>
    </xdr:from>
    <xdr:to>
      <xdr:col>13</xdr:col>
      <xdr:colOff>600075</xdr:colOff>
      <xdr:row>30</xdr:row>
      <xdr:rowOff>180289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7703485" y="5688665"/>
          <a:ext cx="1250015" cy="292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1000" b="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Electricidad al Resort</a:t>
          </a:r>
        </a:p>
      </xdr:txBody>
    </xdr:sp>
    <xdr:clientData/>
  </xdr:twoCellAnchor>
  <xdr:twoCellAnchor>
    <xdr:from>
      <xdr:col>12</xdr:col>
      <xdr:colOff>666750</xdr:colOff>
      <xdr:row>9</xdr:row>
      <xdr:rowOff>179297</xdr:rowOff>
    </xdr:from>
    <xdr:to>
      <xdr:col>14</xdr:col>
      <xdr:colOff>605120</xdr:colOff>
      <xdr:row>12</xdr:row>
      <xdr:rowOff>180975</xdr:rowOff>
    </xdr:to>
    <xdr:cxnSp macro="">
      <xdr:nvCxnSpPr>
        <xdr:cNvPr id="26" name="Conector: angular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CxnSpPr/>
      </xdr:nvCxnSpPr>
      <xdr:spPr>
        <a:xfrm rot="10800000" flipV="1">
          <a:off x="8934450" y="1979522"/>
          <a:ext cx="1462370" cy="573178"/>
        </a:xfrm>
        <a:prstGeom prst="bentConnector3">
          <a:avLst>
            <a:gd name="adj1" fmla="val 15479"/>
          </a:avLst>
        </a:prstGeom>
        <a:ln w="508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685803</xdr:colOff>
      <xdr:row>16</xdr:row>
      <xdr:rowOff>80903</xdr:rowOff>
    </xdr:from>
    <xdr:to>
      <xdr:col>15</xdr:col>
      <xdr:colOff>107149</xdr:colOff>
      <xdr:row>19</xdr:row>
      <xdr:rowOff>76203</xdr:rowOff>
    </xdr:to>
    <xdr:cxnSp macro="">
      <xdr:nvCxnSpPr>
        <xdr:cNvPr id="28" name="Conector: angular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CxnSpPr/>
      </xdr:nvCxnSpPr>
      <xdr:spPr>
        <a:xfrm flipV="1">
          <a:off x="8277228" y="3214628"/>
          <a:ext cx="1707346" cy="566800"/>
        </a:xfrm>
        <a:prstGeom prst="bentConnector3">
          <a:avLst>
            <a:gd name="adj1" fmla="val 86820"/>
          </a:avLst>
        </a:prstGeom>
        <a:ln w="508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533113</xdr:colOff>
      <xdr:row>17</xdr:row>
      <xdr:rowOff>74960</xdr:rowOff>
    </xdr:from>
    <xdr:to>
      <xdr:col>16</xdr:col>
      <xdr:colOff>190500</xdr:colOff>
      <xdr:row>22</xdr:row>
      <xdr:rowOff>171450</xdr:rowOff>
    </xdr:to>
    <xdr:cxnSp macro="">
      <xdr:nvCxnSpPr>
        <xdr:cNvPr id="29" name="Conector: angula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7" idx="2"/>
        </xdr:cNvCxnSpPr>
      </xdr:nvCxnSpPr>
      <xdr:spPr>
        <a:xfrm rot="16200000" flipH="1">
          <a:off x="10772012" y="3713986"/>
          <a:ext cx="1048990" cy="419387"/>
        </a:xfrm>
        <a:prstGeom prst="bentConnector3">
          <a:avLst>
            <a:gd name="adj1" fmla="val 50000"/>
          </a:avLst>
        </a:prstGeom>
        <a:ln w="508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571125</xdr:colOff>
      <xdr:row>17</xdr:row>
      <xdr:rowOff>99359</xdr:rowOff>
    </xdr:from>
    <xdr:to>
      <xdr:col>16</xdr:col>
      <xdr:colOff>635560</xdr:colOff>
      <xdr:row>19</xdr:row>
      <xdr:rowOff>74995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1181975" y="3423584"/>
          <a:ext cx="826435" cy="356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ENFRIADORAS ELÉCTRICAS</a:t>
          </a:r>
          <a:endParaRPr lang="es-ES" sz="8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515472</xdr:colOff>
      <xdr:row>29</xdr:row>
      <xdr:rowOff>44824</xdr:rowOff>
    </xdr:from>
    <xdr:to>
      <xdr:col>20</xdr:col>
      <xdr:colOff>246531</xdr:colOff>
      <xdr:row>31</xdr:row>
      <xdr:rowOff>22412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13412322" y="5655049"/>
          <a:ext cx="1188384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1000" b="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ACS</a:t>
          </a:r>
        </a:p>
      </xdr:txBody>
    </xdr:sp>
    <xdr:clientData/>
  </xdr:twoCellAnchor>
  <xdr:twoCellAnchor>
    <xdr:from>
      <xdr:col>19</xdr:col>
      <xdr:colOff>381002</xdr:colOff>
      <xdr:row>17</xdr:row>
      <xdr:rowOff>149533</xdr:rowOff>
    </xdr:from>
    <xdr:to>
      <xdr:col>20</xdr:col>
      <xdr:colOff>216919</xdr:colOff>
      <xdr:row>29</xdr:row>
      <xdr:rowOff>44825</xdr:rowOff>
    </xdr:to>
    <xdr:cxnSp macro="">
      <xdr:nvCxnSpPr>
        <xdr:cNvPr id="32" name="Conector: angula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93" idx="2"/>
          <a:endCxn id="31" idx="0"/>
        </xdr:cNvCxnSpPr>
      </xdr:nvCxnSpPr>
      <xdr:spPr>
        <a:xfrm rot="5400000">
          <a:off x="13214827" y="4298783"/>
          <a:ext cx="2181292" cy="531242"/>
        </a:xfrm>
        <a:prstGeom prst="bentConnector3">
          <a:avLst>
            <a:gd name="adj1" fmla="val 50000"/>
          </a:avLst>
        </a:prstGeom>
        <a:ln w="50800">
          <a:solidFill>
            <a:srgbClr val="FF000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468064</xdr:colOff>
      <xdr:row>8</xdr:row>
      <xdr:rowOff>93986</xdr:rowOff>
    </xdr:from>
    <xdr:to>
      <xdr:col>16</xdr:col>
      <xdr:colOff>12077</xdr:colOff>
      <xdr:row>10</xdr:row>
      <xdr:rowOff>24352</xdr:rowOff>
    </xdr:to>
    <xdr:grpSp>
      <xdr:nvGrpSpPr>
        <xdr:cNvPr id="33" name="Grupo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GrpSpPr>
          <a:grpSpLocks noChangeAspect="1"/>
        </xdr:cNvGrpSpPr>
      </xdr:nvGrpSpPr>
      <xdr:grpSpPr>
        <a:xfrm>
          <a:off x="9589652" y="1707633"/>
          <a:ext cx="1068013" cy="311366"/>
          <a:chOff x="17703282" y="10474592"/>
          <a:chExt cx="3215753" cy="1132224"/>
        </a:xfrm>
      </xdr:grpSpPr>
      <xdr:pic>
        <xdr:nvPicPr>
          <xdr:cNvPr id="34" name="38 Imagen">
            <a:extLst>
              <a:ext uri="{FF2B5EF4-FFF2-40B4-BE49-F238E27FC236}">
                <a16:creationId xmlns:a16="http://schemas.microsoft.com/office/drawing/2014/main" id="{00000000-0008-0000-06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0" b="96528" l="1120" r="9972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17703282" y="10474592"/>
            <a:ext cx="3142650" cy="1132224"/>
          </a:xfrm>
          <a:prstGeom prst="rect">
            <a:avLst/>
          </a:prstGeom>
        </xdr:spPr>
      </xdr:pic>
      <xdr:sp macro="" textlink="">
        <xdr:nvSpPr>
          <xdr:cNvPr id="35" name="Rectángulo 34">
            <a:extLst>
              <a:ext uri="{FF2B5EF4-FFF2-40B4-BE49-F238E27FC236}">
                <a16:creationId xmlns:a16="http://schemas.microsoft.com/office/drawing/2014/main" id="{00000000-0008-0000-0600-000023000000}"/>
              </a:ext>
            </a:extLst>
          </xdr:cNvPr>
          <xdr:cNvSpPr/>
        </xdr:nvSpPr>
        <xdr:spPr>
          <a:xfrm>
            <a:off x="20612692" y="10498359"/>
            <a:ext cx="111840" cy="168231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36" name="Rectángulo 35">
            <a:extLst>
              <a:ext uri="{FF2B5EF4-FFF2-40B4-BE49-F238E27FC236}">
                <a16:creationId xmlns:a16="http://schemas.microsoft.com/office/drawing/2014/main" id="{00000000-0008-0000-0600-000024000000}"/>
              </a:ext>
            </a:extLst>
          </xdr:cNvPr>
          <xdr:cNvSpPr/>
        </xdr:nvSpPr>
        <xdr:spPr>
          <a:xfrm>
            <a:off x="19282014" y="10604662"/>
            <a:ext cx="173788" cy="68050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0000000-0008-0000-0600-000025000000}"/>
              </a:ext>
            </a:extLst>
          </xdr:cNvPr>
          <xdr:cNvSpPr/>
        </xdr:nvSpPr>
        <xdr:spPr>
          <a:xfrm>
            <a:off x="18955239" y="10603982"/>
            <a:ext cx="175318" cy="68050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00000000-0008-0000-0600-000026000000}"/>
              </a:ext>
            </a:extLst>
          </xdr:cNvPr>
          <xdr:cNvSpPr/>
        </xdr:nvSpPr>
        <xdr:spPr>
          <a:xfrm>
            <a:off x="18954519" y="11491243"/>
            <a:ext cx="175318" cy="67355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600-000027000000}"/>
              </a:ext>
            </a:extLst>
          </xdr:cNvPr>
          <xdr:cNvSpPr/>
        </xdr:nvSpPr>
        <xdr:spPr>
          <a:xfrm>
            <a:off x="19279853" y="11497366"/>
            <a:ext cx="173788" cy="67355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40" name="Rectángulo 39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SpPr/>
        </xdr:nvSpPr>
        <xdr:spPr>
          <a:xfrm>
            <a:off x="20293666" y="11493284"/>
            <a:ext cx="173788" cy="67355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41" name="Rectángulo 40">
            <a:extLst>
              <a:ext uri="{FF2B5EF4-FFF2-40B4-BE49-F238E27FC236}">
                <a16:creationId xmlns:a16="http://schemas.microsoft.com/office/drawing/2014/main" id="{00000000-0008-0000-0600-000029000000}"/>
              </a:ext>
            </a:extLst>
          </xdr:cNvPr>
          <xdr:cNvSpPr/>
        </xdr:nvSpPr>
        <xdr:spPr>
          <a:xfrm>
            <a:off x="20621071" y="11489202"/>
            <a:ext cx="173789" cy="67355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42" name="Rectángulo 41">
            <a:extLst>
              <a:ext uri="{FF2B5EF4-FFF2-40B4-BE49-F238E27FC236}">
                <a16:creationId xmlns:a16="http://schemas.microsoft.com/office/drawing/2014/main" id="{00000000-0008-0000-0600-00002A000000}"/>
              </a:ext>
            </a:extLst>
          </xdr:cNvPr>
          <xdr:cNvSpPr/>
        </xdr:nvSpPr>
        <xdr:spPr>
          <a:xfrm>
            <a:off x="18801810" y="10673394"/>
            <a:ext cx="2117225" cy="812407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43" name="Rectángulo 42">
            <a:extLst>
              <a:ext uri="{FF2B5EF4-FFF2-40B4-BE49-F238E27FC236}">
                <a16:creationId xmlns:a16="http://schemas.microsoft.com/office/drawing/2014/main" id="{00000000-0008-0000-0600-00002B000000}"/>
              </a:ext>
            </a:extLst>
          </xdr:cNvPr>
          <xdr:cNvSpPr/>
        </xdr:nvSpPr>
        <xdr:spPr>
          <a:xfrm>
            <a:off x="18110892" y="10617591"/>
            <a:ext cx="409613" cy="140847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44" name="Rectángulo 43">
            <a:extLst>
              <a:ext uri="{FF2B5EF4-FFF2-40B4-BE49-F238E27FC236}">
                <a16:creationId xmlns:a16="http://schemas.microsoft.com/office/drawing/2014/main" id="{00000000-0008-0000-0600-00002C000000}"/>
              </a:ext>
            </a:extLst>
          </xdr:cNvPr>
          <xdr:cNvSpPr/>
        </xdr:nvSpPr>
        <xdr:spPr>
          <a:xfrm>
            <a:off x="17893885" y="10887042"/>
            <a:ext cx="62669" cy="380348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45" name="Rectángulo 44">
            <a:extLst>
              <a:ext uri="{FF2B5EF4-FFF2-40B4-BE49-F238E27FC236}">
                <a16:creationId xmlns:a16="http://schemas.microsoft.com/office/drawing/2014/main" id="{00000000-0008-0000-0600-00002D000000}"/>
              </a:ext>
            </a:extLst>
          </xdr:cNvPr>
          <xdr:cNvSpPr/>
        </xdr:nvSpPr>
        <xdr:spPr>
          <a:xfrm>
            <a:off x="17967359" y="10761840"/>
            <a:ext cx="704604" cy="617809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46" name="CuadroTexto 45">
            <a:extLst>
              <a:ext uri="{FF2B5EF4-FFF2-40B4-BE49-F238E27FC236}">
                <a16:creationId xmlns:a16="http://schemas.microsoft.com/office/drawing/2014/main" id="{00000000-0008-0000-0600-00002E000000}"/>
              </a:ext>
            </a:extLst>
          </xdr:cNvPr>
          <xdr:cNvSpPr txBox="1"/>
        </xdr:nvSpPr>
        <xdr:spPr>
          <a:xfrm>
            <a:off x="19101421" y="11258680"/>
            <a:ext cx="200179" cy="20959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/>
          <a:lstStyle/>
          <a:p>
            <a:r>
              <a:rPr lang="es-ES" sz="1000">
                <a:latin typeface="Arial" panose="020B0604020202020204" pitchFamily="34" charset="0"/>
                <a:cs typeface="Arial" panose="020B0604020202020204" pitchFamily="34" charset="0"/>
              </a:rPr>
              <a:t>LT</a:t>
            </a:r>
          </a:p>
        </xdr:txBody>
      </xdr:sp>
      <xdr:sp macro="" textlink="">
        <xdr:nvSpPr>
          <xdr:cNvPr id="47" name="CuadroTexto 46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SpPr txBox="1"/>
        </xdr:nvSpPr>
        <xdr:spPr>
          <a:xfrm>
            <a:off x="20404488" y="11262992"/>
            <a:ext cx="258216" cy="20528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/>
          <a:lstStyle/>
          <a:p>
            <a:r>
              <a:rPr lang="es-ES" sz="1000">
                <a:latin typeface="Arial" panose="020B0604020202020204" pitchFamily="34" charset="0"/>
                <a:cs typeface="Arial" panose="020B0604020202020204" pitchFamily="34" charset="0"/>
              </a:rPr>
              <a:t>HT</a:t>
            </a:r>
          </a:p>
        </xdr:txBody>
      </xdr:sp>
      <xdr:sp macro="" textlink="">
        <xdr:nvSpPr>
          <xdr:cNvPr id="48" name="CuadroTexto 47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SpPr txBox="1"/>
        </xdr:nvSpPr>
        <xdr:spPr>
          <a:xfrm>
            <a:off x="19133017" y="10694653"/>
            <a:ext cx="190499" cy="13761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/>
          <a:lstStyle/>
          <a:p>
            <a:r>
              <a:rPr lang="es-ES" sz="1000">
                <a:latin typeface="Arial" panose="020B0604020202020204" pitchFamily="34" charset="0"/>
                <a:cs typeface="Arial" panose="020B0604020202020204" pitchFamily="34" charset="0"/>
              </a:rPr>
              <a:t>LO</a:t>
            </a:r>
          </a:p>
        </xdr:txBody>
      </xdr:sp>
    </xdr:grpSp>
    <xdr:clientData/>
  </xdr:twoCellAnchor>
  <xdr:twoCellAnchor>
    <xdr:from>
      <xdr:col>16</xdr:col>
      <xdr:colOff>761345</xdr:colOff>
      <xdr:row>12</xdr:row>
      <xdr:rowOff>102694</xdr:rowOff>
    </xdr:from>
    <xdr:to>
      <xdr:col>18</xdr:col>
      <xdr:colOff>65425</xdr:colOff>
      <xdr:row>14</xdr:row>
      <xdr:rowOff>145973</xdr:rowOff>
    </xdr:to>
    <xdr:grpSp>
      <xdr:nvGrpSpPr>
        <xdr:cNvPr id="49" name="Grupo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pSpPr>
          <a:grpSpLocks noChangeAspect="1"/>
        </xdr:cNvGrpSpPr>
      </xdr:nvGrpSpPr>
      <xdr:grpSpPr>
        <a:xfrm>
          <a:off x="11406933" y="2478341"/>
          <a:ext cx="828080" cy="424279"/>
          <a:chOff x="14034885" y="7296311"/>
          <a:chExt cx="1973867" cy="937036"/>
        </a:xfrm>
      </xdr:grpSpPr>
      <xdr:pic>
        <xdr:nvPicPr>
          <xdr:cNvPr id="50" name="23 Imagen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4034885" y="7296311"/>
            <a:ext cx="1973867" cy="937036"/>
          </a:xfrm>
          <a:prstGeom prst="rect">
            <a:avLst/>
          </a:prstGeom>
        </xdr:spPr>
      </xdr:pic>
      <xdr:sp macro="" textlink="">
        <xdr:nvSpPr>
          <xdr:cNvPr id="51" name="Rectángulo 50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SpPr/>
        </xdr:nvSpPr>
        <xdr:spPr>
          <a:xfrm>
            <a:off x="14080788" y="7923989"/>
            <a:ext cx="68904" cy="154022"/>
          </a:xfrm>
          <a:prstGeom prst="rect">
            <a:avLst/>
          </a:pr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52" name="Rectángulo 51">
            <a:extLst>
              <a:ext uri="{FF2B5EF4-FFF2-40B4-BE49-F238E27FC236}">
                <a16:creationId xmlns:a16="http://schemas.microsoft.com/office/drawing/2014/main" id="{00000000-0008-0000-0600-000034000000}"/>
              </a:ext>
            </a:extLst>
          </xdr:cNvPr>
          <xdr:cNvSpPr/>
        </xdr:nvSpPr>
        <xdr:spPr>
          <a:xfrm>
            <a:off x="14075114" y="7707549"/>
            <a:ext cx="68904" cy="154022"/>
          </a:xfrm>
          <a:prstGeom prst="rect">
            <a:avLst/>
          </a:pr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53" name="Rectángulo 52">
            <a:extLst>
              <a:ext uri="{FF2B5EF4-FFF2-40B4-BE49-F238E27FC236}">
                <a16:creationId xmlns:a16="http://schemas.microsoft.com/office/drawing/2014/main" id="{00000000-0008-0000-0600-000035000000}"/>
              </a:ext>
            </a:extLst>
          </xdr:cNvPr>
          <xdr:cNvSpPr/>
        </xdr:nvSpPr>
        <xdr:spPr>
          <a:xfrm>
            <a:off x="15889323" y="7450576"/>
            <a:ext cx="68904" cy="154022"/>
          </a:xfrm>
          <a:prstGeom prst="rect">
            <a:avLst/>
          </a:pr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54" name="Rectángulo 53">
            <a:extLst>
              <a:ext uri="{FF2B5EF4-FFF2-40B4-BE49-F238E27FC236}">
                <a16:creationId xmlns:a16="http://schemas.microsoft.com/office/drawing/2014/main" id="{00000000-0008-0000-0600-000036000000}"/>
              </a:ext>
            </a:extLst>
          </xdr:cNvPr>
          <xdr:cNvSpPr/>
        </xdr:nvSpPr>
        <xdr:spPr>
          <a:xfrm>
            <a:off x="15887701" y="7898859"/>
            <a:ext cx="68904" cy="154022"/>
          </a:xfrm>
          <a:prstGeom prst="rect">
            <a:avLst/>
          </a:pr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55" name="Rectángulo 54">
            <a:extLst>
              <a:ext uri="{FF2B5EF4-FFF2-40B4-BE49-F238E27FC236}">
                <a16:creationId xmlns:a16="http://schemas.microsoft.com/office/drawing/2014/main" id="{00000000-0008-0000-0600-000037000000}"/>
              </a:ext>
            </a:extLst>
          </xdr:cNvPr>
          <xdr:cNvSpPr/>
        </xdr:nvSpPr>
        <xdr:spPr>
          <a:xfrm>
            <a:off x="14187791" y="7348435"/>
            <a:ext cx="156453" cy="58367"/>
          </a:xfrm>
          <a:prstGeom prst="rect">
            <a:avLst/>
          </a:pr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56" name="Rectángulo 55">
            <a:extLst>
              <a:ext uri="{FF2B5EF4-FFF2-40B4-BE49-F238E27FC236}">
                <a16:creationId xmlns:a16="http://schemas.microsoft.com/office/drawing/2014/main" id="{00000000-0008-0000-0600-000038000000}"/>
              </a:ext>
            </a:extLst>
          </xdr:cNvPr>
          <xdr:cNvSpPr/>
        </xdr:nvSpPr>
        <xdr:spPr>
          <a:xfrm>
            <a:off x="14457734" y="7346814"/>
            <a:ext cx="156453" cy="58367"/>
          </a:xfrm>
          <a:prstGeom prst="rect">
            <a:avLst/>
          </a:pr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16</xdr:col>
      <xdr:colOff>752476</xdr:colOff>
      <xdr:row>14</xdr:row>
      <xdr:rowOff>136447</xdr:rowOff>
    </xdr:from>
    <xdr:to>
      <xdr:col>17</xdr:col>
      <xdr:colOff>413386</xdr:colOff>
      <xdr:row>22</xdr:row>
      <xdr:rowOff>180974</xdr:rowOff>
    </xdr:to>
    <xdr:cxnSp macro="">
      <xdr:nvCxnSpPr>
        <xdr:cNvPr id="57" name="Conector: angula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/>
      </xdr:nvCxnSpPr>
      <xdr:spPr>
        <a:xfrm rot="5400000">
          <a:off x="11495367" y="3461981"/>
          <a:ext cx="1568527" cy="422910"/>
        </a:xfrm>
        <a:prstGeom prst="bentConnector3">
          <a:avLst>
            <a:gd name="adj1" fmla="val 50000"/>
          </a:avLst>
        </a:prstGeom>
        <a:ln w="508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753196</xdr:colOff>
      <xdr:row>12</xdr:row>
      <xdr:rowOff>184816</xdr:rowOff>
    </xdr:from>
    <xdr:to>
      <xdr:col>16</xdr:col>
      <xdr:colOff>676836</xdr:colOff>
      <xdr:row>15</xdr:row>
      <xdr:rowOff>60386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 txBox="1"/>
      </xdr:nvSpPr>
      <xdr:spPr>
        <a:xfrm>
          <a:off x="11306896" y="2556541"/>
          <a:ext cx="685640" cy="4470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ENFRIADORA ABSORCIÓN</a:t>
          </a:r>
          <a:endParaRPr lang="es-ES" sz="8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690907</xdr:colOff>
      <xdr:row>8</xdr:row>
      <xdr:rowOff>100522</xdr:rowOff>
    </xdr:from>
    <xdr:to>
      <xdr:col>17</xdr:col>
      <xdr:colOff>413385</xdr:colOff>
      <xdr:row>12</xdr:row>
      <xdr:rowOff>102694</xdr:rowOff>
    </xdr:to>
    <xdr:cxnSp macro="">
      <xdr:nvCxnSpPr>
        <xdr:cNvPr id="59" name="Conector: angular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CxnSpPr>
          <a:stCxn id="35" idx="0"/>
          <a:endCxn id="50" idx="0"/>
        </xdr:cNvCxnSpPr>
      </xdr:nvCxnSpPr>
      <xdr:spPr>
        <a:xfrm rot="16200000" flipH="1">
          <a:off x="11485760" y="1469094"/>
          <a:ext cx="764172" cy="1246478"/>
        </a:xfrm>
        <a:prstGeom prst="bentConnector3">
          <a:avLst>
            <a:gd name="adj1" fmla="val -29915"/>
          </a:avLst>
        </a:prstGeom>
        <a:ln w="50800">
          <a:solidFill>
            <a:schemeClr val="bg1">
              <a:lumMod val="65000"/>
            </a:schemeClr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468064</xdr:colOff>
      <xdr:row>6</xdr:row>
      <xdr:rowOff>98555</xdr:rowOff>
    </xdr:from>
    <xdr:to>
      <xdr:col>14</xdr:col>
      <xdr:colOff>694272</xdr:colOff>
      <xdr:row>9</xdr:row>
      <xdr:rowOff>59169</xdr:rowOff>
    </xdr:to>
    <xdr:cxnSp macro="">
      <xdr:nvCxnSpPr>
        <xdr:cNvPr id="60" name="Conector angular 151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CxnSpPr>
          <a:stCxn id="64" idx="0"/>
          <a:endCxn id="34" idx="1"/>
        </xdr:cNvCxnSpPr>
      </xdr:nvCxnSpPr>
      <xdr:spPr>
        <a:xfrm rot="10800000" flipV="1">
          <a:off x="10262005" y="1331202"/>
          <a:ext cx="226208" cy="532114"/>
        </a:xfrm>
        <a:prstGeom prst="bentConnector3">
          <a:avLst>
            <a:gd name="adj1" fmla="val 201057"/>
          </a:avLst>
        </a:prstGeom>
        <a:ln w="508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694273</xdr:colOff>
      <xdr:row>5</xdr:row>
      <xdr:rowOff>89647</xdr:rowOff>
    </xdr:from>
    <xdr:to>
      <xdr:col>15</xdr:col>
      <xdr:colOff>459441</xdr:colOff>
      <xdr:row>7</xdr:row>
      <xdr:rowOff>107463</xdr:rowOff>
    </xdr:to>
    <xdr:grpSp>
      <xdr:nvGrpSpPr>
        <xdr:cNvPr id="61" name="Grup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GrpSpPr/>
      </xdr:nvGrpSpPr>
      <xdr:grpSpPr>
        <a:xfrm>
          <a:off x="9815861" y="1131794"/>
          <a:ext cx="527168" cy="398816"/>
          <a:chOff x="2193725" y="3103986"/>
          <a:chExt cx="1142503" cy="1146903"/>
        </a:xfrm>
      </xdr:grpSpPr>
      <xdr:sp macro="" textlink="">
        <xdr:nvSpPr>
          <xdr:cNvPr id="62" name="Diagrama de flujo: retraso 61">
            <a:extLst>
              <a:ext uri="{FF2B5EF4-FFF2-40B4-BE49-F238E27FC236}">
                <a16:creationId xmlns:a16="http://schemas.microsoft.com/office/drawing/2014/main" id="{00000000-0008-0000-0600-00003E000000}"/>
              </a:ext>
            </a:extLst>
          </xdr:cNvPr>
          <xdr:cNvSpPr/>
        </xdr:nvSpPr>
        <xdr:spPr>
          <a:xfrm rot="16200000">
            <a:off x="2629921" y="3541861"/>
            <a:ext cx="1144181" cy="268432"/>
          </a:xfrm>
          <a:prstGeom prst="flowChartDelay">
            <a:avLst/>
          </a:prstGeom>
          <a:solidFill>
            <a:srgbClr val="FFFF00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63" name="Diagrama de flujo: retraso 62">
            <a:extLst>
              <a:ext uri="{FF2B5EF4-FFF2-40B4-BE49-F238E27FC236}">
                <a16:creationId xmlns:a16="http://schemas.microsoft.com/office/drawing/2014/main" id="{00000000-0008-0000-0600-00003F000000}"/>
              </a:ext>
            </a:extLst>
          </xdr:cNvPr>
          <xdr:cNvSpPr/>
        </xdr:nvSpPr>
        <xdr:spPr>
          <a:xfrm rot="16200000">
            <a:off x="2206492" y="3546438"/>
            <a:ext cx="1144181" cy="264722"/>
          </a:xfrm>
          <a:prstGeom prst="flowChartDelay">
            <a:avLst/>
          </a:prstGeom>
          <a:solidFill>
            <a:srgbClr val="FFFF00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64" name="Diagrama de flujo: retraso 63">
            <a:extLst>
              <a:ext uri="{FF2B5EF4-FFF2-40B4-BE49-F238E27FC236}">
                <a16:creationId xmlns:a16="http://schemas.microsoft.com/office/drawing/2014/main" id="{00000000-0008-0000-0600-000040000000}"/>
              </a:ext>
            </a:extLst>
          </xdr:cNvPr>
          <xdr:cNvSpPr/>
        </xdr:nvSpPr>
        <xdr:spPr>
          <a:xfrm rot="16200000">
            <a:off x="1755850" y="3543222"/>
            <a:ext cx="1144181" cy="268432"/>
          </a:xfrm>
          <a:prstGeom prst="flowChartDelay">
            <a:avLst/>
          </a:prstGeom>
          <a:solidFill>
            <a:srgbClr val="FFFF00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18</xdr:col>
      <xdr:colOff>509798</xdr:colOff>
      <xdr:row>15</xdr:row>
      <xdr:rowOff>187768</xdr:rowOff>
    </xdr:from>
    <xdr:to>
      <xdr:col>19</xdr:col>
      <xdr:colOff>83272</xdr:colOff>
      <xdr:row>17</xdr:row>
      <xdr:rowOff>144344</xdr:rowOff>
    </xdr:to>
    <xdr:grpSp>
      <xdr:nvGrpSpPr>
        <xdr:cNvPr id="65" name="Grupo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pSpPr/>
      </xdr:nvGrpSpPr>
      <xdr:grpSpPr>
        <a:xfrm rot="5400000">
          <a:off x="12678335" y="3135966"/>
          <a:ext cx="337576" cy="335474"/>
          <a:chOff x="9109517" y="6801776"/>
          <a:chExt cx="820738" cy="848716"/>
        </a:xfrm>
      </xdr:grpSpPr>
      <xdr:pic>
        <xdr:nvPicPr>
          <xdr:cNvPr id="66" name="28 Imagen">
            <a:extLst>
              <a:ext uri="{FF2B5EF4-FFF2-40B4-BE49-F238E27FC236}">
                <a16:creationId xmlns:a16="http://schemas.microsoft.com/office/drawing/2014/main" id="{00000000-0008-0000-0600-00004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109517" y="6801776"/>
            <a:ext cx="820738" cy="848716"/>
          </a:xfrm>
          <a:prstGeom prst="rect">
            <a:avLst/>
          </a:prstGeom>
        </xdr:spPr>
      </xdr:pic>
      <xdr:sp macro="" textlink="">
        <xdr:nvSpPr>
          <xdr:cNvPr id="67" name="Rectángulo 66">
            <a:extLst>
              <a:ext uri="{FF2B5EF4-FFF2-40B4-BE49-F238E27FC236}">
                <a16:creationId xmlns:a16="http://schemas.microsoft.com/office/drawing/2014/main" id="{00000000-0008-0000-0600-000043000000}"/>
              </a:ext>
            </a:extLst>
          </xdr:cNvPr>
          <xdr:cNvSpPr/>
        </xdr:nvSpPr>
        <xdr:spPr>
          <a:xfrm>
            <a:off x="9833859" y="7030149"/>
            <a:ext cx="50367" cy="10577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/>
          </a:p>
        </xdr:txBody>
      </xdr:sp>
      <xdr:sp macro="" textlink="">
        <xdr:nvSpPr>
          <xdr:cNvPr id="68" name="Rectángulo 67">
            <a:extLst>
              <a:ext uri="{FF2B5EF4-FFF2-40B4-BE49-F238E27FC236}">
                <a16:creationId xmlns:a16="http://schemas.microsoft.com/office/drawing/2014/main" id="{00000000-0008-0000-0600-000044000000}"/>
              </a:ext>
            </a:extLst>
          </xdr:cNvPr>
          <xdr:cNvSpPr/>
        </xdr:nvSpPr>
        <xdr:spPr>
          <a:xfrm>
            <a:off x="9831650" y="7311408"/>
            <a:ext cx="50367" cy="107418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/>
          </a:p>
        </xdr:txBody>
      </xdr:sp>
      <xdr:sp macro="" textlink="">
        <xdr:nvSpPr>
          <xdr:cNvPr id="69" name="Rectángulo 68">
            <a:extLst>
              <a:ext uri="{FF2B5EF4-FFF2-40B4-BE49-F238E27FC236}">
                <a16:creationId xmlns:a16="http://schemas.microsoft.com/office/drawing/2014/main" id="{00000000-0008-0000-0600-000045000000}"/>
              </a:ext>
            </a:extLst>
          </xdr:cNvPr>
          <xdr:cNvSpPr/>
        </xdr:nvSpPr>
        <xdr:spPr>
          <a:xfrm>
            <a:off x="9139486" y="7311410"/>
            <a:ext cx="52282" cy="107418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/>
          </a:p>
        </xdr:txBody>
      </xdr:sp>
      <xdr:sp macro="" textlink="">
        <xdr:nvSpPr>
          <xdr:cNvPr id="70" name="Rectángulo 69">
            <a:extLst>
              <a:ext uri="{FF2B5EF4-FFF2-40B4-BE49-F238E27FC236}">
                <a16:creationId xmlns:a16="http://schemas.microsoft.com/office/drawing/2014/main" id="{00000000-0008-0000-0600-000046000000}"/>
              </a:ext>
            </a:extLst>
          </xdr:cNvPr>
          <xdr:cNvSpPr/>
        </xdr:nvSpPr>
        <xdr:spPr>
          <a:xfrm>
            <a:off x="9135827" y="7027759"/>
            <a:ext cx="52282" cy="10577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/>
          </a:p>
        </xdr:txBody>
      </xdr:sp>
    </xdr:grpSp>
    <xdr:clientData/>
  </xdr:twoCellAnchor>
  <xdr:twoCellAnchor>
    <xdr:from>
      <xdr:col>15</xdr:col>
      <xdr:colOff>703978</xdr:colOff>
      <xdr:row>10</xdr:row>
      <xdr:rowOff>10530</xdr:rowOff>
    </xdr:from>
    <xdr:to>
      <xdr:col>18</xdr:col>
      <xdr:colOff>677536</xdr:colOff>
      <xdr:row>15</xdr:row>
      <xdr:rowOff>187767</xdr:rowOff>
    </xdr:to>
    <xdr:cxnSp macro="">
      <xdr:nvCxnSpPr>
        <xdr:cNvPr id="71" name="Conector: angula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41" idx="2"/>
          <a:endCxn id="66" idx="1"/>
        </xdr:cNvCxnSpPr>
      </xdr:nvCxnSpPr>
      <xdr:spPr>
        <a:xfrm rot="16200000" flipH="1">
          <a:off x="11822588" y="1436345"/>
          <a:ext cx="1129737" cy="2259558"/>
        </a:xfrm>
        <a:prstGeom prst="bentConnector3">
          <a:avLst>
            <a:gd name="adj1" fmla="val 84568"/>
          </a:avLst>
        </a:prstGeom>
        <a:ln w="508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668010</xdr:colOff>
      <xdr:row>17</xdr:row>
      <xdr:rowOff>144343</xdr:rowOff>
    </xdr:from>
    <xdr:to>
      <xdr:col>19</xdr:col>
      <xdr:colOff>376239</xdr:colOff>
      <xdr:row>29</xdr:row>
      <xdr:rowOff>54348</xdr:rowOff>
    </xdr:to>
    <xdr:cxnSp macro="">
      <xdr:nvCxnSpPr>
        <xdr:cNvPr id="72" name="Conector: angula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/>
      </xdr:nvCxnSpPr>
      <xdr:spPr>
        <a:xfrm rot="16200000" flipH="1">
          <a:off x="12644822" y="4331456"/>
          <a:ext cx="2196005" cy="470229"/>
        </a:xfrm>
        <a:prstGeom prst="bentConnector3">
          <a:avLst>
            <a:gd name="adj1" fmla="val 50000"/>
          </a:avLst>
        </a:prstGeom>
        <a:ln w="50800">
          <a:solidFill>
            <a:srgbClr val="FF000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637216</xdr:colOff>
      <xdr:row>5</xdr:row>
      <xdr:rowOff>67235</xdr:rowOff>
    </xdr:from>
    <xdr:ext cx="601033" cy="315058"/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74" t="22098" r="21358" b="14266"/>
        <a:stretch/>
      </xdr:blipFill>
      <xdr:spPr>
        <a:xfrm>
          <a:off x="9030422" y="1109382"/>
          <a:ext cx="601033" cy="315058"/>
        </a:xfrm>
        <a:prstGeom prst="rect">
          <a:avLst/>
        </a:prstGeom>
      </xdr:spPr>
    </xdr:pic>
    <xdr:clientData/>
  </xdr:oneCellAnchor>
  <xdr:twoCellAnchor>
    <xdr:from>
      <xdr:col>12</xdr:col>
      <xdr:colOff>578676</xdr:colOff>
      <xdr:row>6</xdr:row>
      <xdr:rowOff>34263</xdr:rowOff>
    </xdr:from>
    <xdr:to>
      <xdr:col>12</xdr:col>
      <xdr:colOff>637217</xdr:colOff>
      <xdr:row>9</xdr:row>
      <xdr:rowOff>93856</xdr:rowOff>
    </xdr:to>
    <xdr:cxnSp macro="">
      <xdr:nvCxnSpPr>
        <xdr:cNvPr id="90" name="Conector: angular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CxnSpPr>
          <a:stCxn id="73" idx="1"/>
          <a:endCxn id="86" idx="1"/>
        </xdr:cNvCxnSpPr>
      </xdr:nvCxnSpPr>
      <xdr:spPr>
        <a:xfrm rot="10800000" flipV="1">
          <a:off x="8971882" y="1266910"/>
          <a:ext cx="58541" cy="631093"/>
        </a:xfrm>
        <a:prstGeom prst="bentConnector3">
          <a:avLst>
            <a:gd name="adj1" fmla="val 624489"/>
          </a:avLst>
        </a:prstGeom>
        <a:ln w="50800">
          <a:solidFill>
            <a:schemeClr val="bg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654607</xdr:colOff>
      <xdr:row>9</xdr:row>
      <xdr:rowOff>29464</xdr:rowOff>
    </xdr:from>
    <xdr:to>
      <xdr:col>12</xdr:col>
      <xdr:colOff>657227</xdr:colOff>
      <xdr:row>29</xdr:row>
      <xdr:rowOff>9525</xdr:rowOff>
    </xdr:to>
    <xdr:cxnSp macro="">
      <xdr:nvCxnSpPr>
        <xdr:cNvPr id="91" name="Conector: angula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/>
      </xdr:nvCxnSpPr>
      <xdr:spPr>
        <a:xfrm rot="16200000" flipH="1">
          <a:off x="6352311" y="3723410"/>
          <a:ext cx="3790061" cy="2620"/>
        </a:xfrm>
        <a:prstGeom prst="bentConnector3">
          <a:avLst>
            <a:gd name="adj1" fmla="val 50000"/>
          </a:avLst>
        </a:prstGeom>
        <a:ln w="508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537888</xdr:colOff>
      <xdr:row>15</xdr:row>
      <xdr:rowOff>61263</xdr:rowOff>
    </xdr:from>
    <xdr:to>
      <xdr:col>20</xdr:col>
      <xdr:colOff>657950</xdr:colOff>
      <xdr:row>17</xdr:row>
      <xdr:rowOff>149532</xdr:rowOff>
    </xdr:to>
    <xdr:grpSp>
      <xdr:nvGrpSpPr>
        <xdr:cNvPr id="92" name="Grupo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GrpSpPr/>
      </xdr:nvGrpSpPr>
      <xdr:grpSpPr>
        <a:xfrm>
          <a:off x="13469476" y="3008410"/>
          <a:ext cx="814827" cy="469269"/>
          <a:chOff x="13984944" y="3008410"/>
          <a:chExt cx="882062" cy="469269"/>
        </a:xfrm>
      </xdr:grpSpPr>
      <xdr:pic>
        <xdr:nvPicPr>
          <xdr:cNvPr id="93" name="11 Imagen">
            <a:extLst>
              <a:ext uri="{FF2B5EF4-FFF2-40B4-BE49-F238E27FC236}">
                <a16:creationId xmlns:a16="http://schemas.microsoft.com/office/drawing/2014/main" id="{00000000-0008-0000-0600-00005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 flipH="1">
            <a:off x="13984944" y="3008410"/>
            <a:ext cx="882062" cy="469269"/>
          </a:xfrm>
          <a:prstGeom prst="rect">
            <a:avLst/>
          </a:prstGeom>
        </xdr:spPr>
      </xdr:pic>
      <xdr:sp macro="" textlink="">
        <xdr:nvSpPr>
          <xdr:cNvPr id="94" name="CuadroTexto 93">
            <a:extLst>
              <a:ext uri="{FF2B5EF4-FFF2-40B4-BE49-F238E27FC236}">
                <a16:creationId xmlns:a16="http://schemas.microsoft.com/office/drawing/2014/main" id="{00000000-0008-0000-0600-00005E000000}"/>
              </a:ext>
            </a:extLst>
          </xdr:cNvPr>
          <xdr:cNvSpPr txBox="1"/>
        </xdr:nvSpPr>
        <xdr:spPr>
          <a:xfrm>
            <a:off x="14178243" y="3073213"/>
            <a:ext cx="568698" cy="3566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endParaRPr lang="es-ES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14</xdr:col>
      <xdr:colOff>58267</xdr:colOff>
      <xdr:row>4</xdr:row>
      <xdr:rowOff>32832</xdr:rowOff>
    </xdr:from>
    <xdr:to>
      <xdr:col>16</xdr:col>
      <xdr:colOff>276224</xdr:colOff>
      <xdr:row>5</xdr:row>
      <xdr:rowOff>154310</xdr:rowOff>
    </xdr:to>
    <xdr:sp macro="" textlink="">
      <xdr:nvSpPr>
        <xdr:cNvPr id="95" name="CuadroTexto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 txBox="1"/>
      </xdr:nvSpPr>
      <xdr:spPr>
        <a:xfrm>
          <a:off x="9173692" y="880557"/>
          <a:ext cx="1741957" cy="3119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PLANTA REGASIFICADORA GNL</a:t>
          </a:r>
          <a:endParaRPr lang="es-ES" sz="800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13</xdr:col>
      <xdr:colOff>123266</xdr:colOff>
      <xdr:row>7</xdr:row>
      <xdr:rowOff>18482</xdr:rowOff>
    </xdr:from>
    <xdr:ext cx="855408" cy="265329"/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 txBox="1"/>
      </xdr:nvSpPr>
      <xdr:spPr>
        <a:xfrm>
          <a:off x="8476691" y="1437707"/>
          <a:ext cx="855408" cy="2653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spAutoFit/>
        </a:bodyPr>
        <a:lstStyle/>
        <a:p>
          <a:pPr marL="0" indent="0" algn="ctr"/>
          <a:r>
            <a:rPr lang="es-ES" sz="900" b="1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TANQUE DIESEL </a:t>
          </a:r>
        </a:p>
      </xdr:txBody>
    </xdr:sp>
    <xdr:clientData/>
  </xdr:oneCellAnchor>
  <xdr:oneCellAnchor>
    <xdr:from>
      <xdr:col>7</xdr:col>
      <xdr:colOff>245011</xdr:colOff>
      <xdr:row>7</xdr:row>
      <xdr:rowOff>15688</xdr:rowOff>
    </xdr:from>
    <xdr:ext cx="601033" cy="315058"/>
    <xdr:pic>
      <xdr:nvPicPr>
        <xdr:cNvPr id="97" name="Imagen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74" t="22098" r="21358" b="14266"/>
        <a:stretch/>
      </xdr:blipFill>
      <xdr:spPr>
        <a:xfrm>
          <a:off x="5264686" y="1434913"/>
          <a:ext cx="601033" cy="315058"/>
        </a:xfrm>
        <a:prstGeom prst="rect">
          <a:avLst/>
        </a:prstGeom>
      </xdr:spPr>
    </xdr:pic>
    <xdr:clientData/>
  </xdr:oneCellAnchor>
  <xdr:twoCellAnchor>
    <xdr:from>
      <xdr:col>1</xdr:col>
      <xdr:colOff>96375</xdr:colOff>
      <xdr:row>28</xdr:row>
      <xdr:rowOff>152399</xdr:rowOff>
    </xdr:from>
    <xdr:to>
      <xdr:col>3</xdr:col>
      <xdr:colOff>104775</xdr:colOff>
      <xdr:row>30</xdr:row>
      <xdr:rowOff>63748</xdr:rowOff>
    </xdr:to>
    <xdr:sp macro="" textlink="">
      <xdr:nvSpPr>
        <xdr:cNvPr id="98" name="CuadroTexto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 txBox="1"/>
      </xdr:nvSpPr>
      <xdr:spPr>
        <a:xfrm>
          <a:off x="858375" y="5572124"/>
          <a:ext cx="1532400" cy="292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1000" b="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Electricidad al Resort</a:t>
          </a:r>
        </a:p>
      </xdr:txBody>
    </xdr:sp>
    <xdr:clientData/>
  </xdr:twoCellAnchor>
  <xdr:twoCellAnchor>
    <xdr:from>
      <xdr:col>4</xdr:col>
      <xdr:colOff>723902</xdr:colOff>
      <xdr:row>28</xdr:row>
      <xdr:rowOff>154402</xdr:rowOff>
    </xdr:from>
    <xdr:to>
      <xdr:col>6</xdr:col>
      <xdr:colOff>246529</xdr:colOff>
      <xdr:row>30</xdr:row>
      <xdr:rowOff>107576</xdr:rowOff>
    </xdr:to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 txBox="1"/>
      </xdr:nvSpPr>
      <xdr:spPr>
        <a:xfrm>
          <a:off x="3771902" y="5574127"/>
          <a:ext cx="837077" cy="334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marL="0" indent="0" algn="ctr"/>
          <a:r>
            <a:rPr lang="es-ES" sz="10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Agua Helada</a:t>
          </a:r>
        </a:p>
      </xdr:txBody>
    </xdr:sp>
    <xdr:clientData/>
  </xdr:twoCellAnchor>
  <xdr:twoCellAnchor>
    <xdr:from>
      <xdr:col>7</xdr:col>
      <xdr:colOff>285757</xdr:colOff>
      <xdr:row>28</xdr:row>
      <xdr:rowOff>174812</xdr:rowOff>
    </xdr:from>
    <xdr:to>
      <xdr:col>9</xdr:col>
      <xdr:colOff>16816</xdr:colOff>
      <xdr:row>30</xdr:row>
      <xdr:rowOff>152400</xdr:rowOff>
    </xdr:to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5410207" y="5594537"/>
          <a:ext cx="1140759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1000" b="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ACS</a:t>
          </a:r>
        </a:p>
      </xdr:txBody>
    </xdr:sp>
    <xdr:clientData/>
  </xdr:twoCellAnchor>
  <xdr:oneCellAnchor>
    <xdr:from>
      <xdr:col>5</xdr:col>
      <xdr:colOff>22545</xdr:colOff>
      <xdr:row>15</xdr:row>
      <xdr:rowOff>141192</xdr:rowOff>
    </xdr:from>
    <xdr:ext cx="832879" cy="369115"/>
    <xdr:pic>
      <xdr:nvPicPr>
        <xdr:cNvPr id="101" name="25 Imagen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32545" y="3084417"/>
          <a:ext cx="832879" cy="369115"/>
        </a:xfrm>
        <a:prstGeom prst="rect">
          <a:avLst/>
        </a:prstGeom>
      </xdr:spPr>
    </xdr:pic>
    <xdr:clientData/>
  </xdr:oneCellAnchor>
  <xdr:twoCellAnchor>
    <xdr:from>
      <xdr:col>5</xdr:col>
      <xdr:colOff>456079</xdr:colOff>
      <xdr:row>13</xdr:row>
      <xdr:rowOff>93567</xdr:rowOff>
    </xdr:from>
    <xdr:to>
      <xdr:col>7</xdr:col>
      <xdr:colOff>263898</xdr:colOff>
      <xdr:row>15</xdr:row>
      <xdr:rowOff>69203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4266079" y="2655792"/>
          <a:ext cx="1017494" cy="356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ENFRIADORAS ELÉCTRICAS</a:t>
          </a:r>
          <a:endParaRPr lang="es-ES" sz="8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95250</xdr:colOff>
      <xdr:row>15</xdr:row>
      <xdr:rowOff>79193</xdr:rowOff>
    </xdr:from>
    <xdr:to>
      <xdr:col>8</xdr:col>
      <xdr:colOff>476414</xdr:colOff>
      <xdr:row>17</xdr:row>
      <xdr:rowOff>167462</xdr:rowOff>
    </xdr:to>
    <xdr:grpSp>
      <xdr:nvGrpSpPr>
        <xdr:cNvPr id="103" name="Grupo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GrpSpPr/>
      </xdr:nvGrpSpPr>
      <xdr:grpSpPr>
        <a:xfrm>
          <a:off x="5115485" y="3026340"/>
          <a:ext cx="896635" cy="469269"/>
          <a:chOff x="13984944" y="3008410"/>
          <a:chExt cx="882062" cy="469269"/>
        </a:xfrm>
      </xdr:grpSpPr>
      <xdr:pic>
        <xdr:nvPicPr>
          <xdr:cNvPr id="104" name="11 Imagen">
            <a:extLst>
              <a:ext uri="{FF2B5EF4-FFF2-40B4-BE49-F238E27FC236}">
                <a16:creationId xmlns:a16="http://schemas.microsoft.com/office/drawing/2014/main" id="{00000000-0008-0000-0600-00006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 flipH="1">
            <a:off x="13984944" y="3008410"/>
            <a:ext cx="882062" cy="469269"/>
          </a:xfrm>
          <a:prstGeom prst="rect">
            <a:avLst/>
          </a:prstGeom>
        </xdr:spPr>
      </xdr:pic>
      <xdr:sp macro="" textlink="">
        <xdr:nvSpPr>
          <xdr:cNvPr id="105" name="CuadroTexto 104">
            <a:extLst>
              <a:ext uri="{FF2B5EF4-FFF2-40B4-BE49-F238E27FC236}">
                <a16:creationId xmlns:a16="http://schemas.microsoft.com/office/drawing/2014/main" id="{00000000-0008-0000-0600-000069000000}"/>
              </a:ext>
            </a:extLst>
          </xdr:cNvPr>
          <xdr:cNvSpPr txBox="1"/>
        </xdr:nvSpPr>
        <xdr:spPr>
          <a:xfrm>
            <a:off x="14178249" y="3073213"/>
            <a:ext cx="568699" cy="3566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endParaRPr lang="es-ES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13</xdr:col>
      <xdr:colOff>96372</xdr:colOff>
      <xdr:row>10</xdr:row>
      <xdr:rowOff>62753</xdr:rowOff>
    </xdr:from>
    <xdr:to>
      <xdr:col>14</xdr:col>
      <xdr:colOff>224118</xdr:colOff>
      <xdr:row>12</xdr:row>
      <xdr:rowOff>1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 txBox="1"/>
      </xdr:nvSpPr>
      <xdr:spPr>
        <a:xfrm>
          <a:off x="9251578" y="2057400"/>
          <a:ext cx="889746" cy="3182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GENERADORES EMERGENCIA</a:t>
          </a:r>
          <a:endParaRPr lang="es-ES" sz="800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178361</xdr:colOff>
      <xdr:row>4</xdr:row>
      <xdr:rowOff>56028</xdr:rowOff>
    </xdr:from>
    <xdr:to>
      <xdr:col>22</xdr:col>
      <xdr:colOff>235324</xdr:colOff>
      <xdr:row>4</xdr:row>
      <xdr:rowOff>62254</xdr:rowOff>
    </xdr:to>
    <xdr:cxnSp macro="">
      <xdr:nvCxnSpPr>
        <xdr:cNvPr id="108" name="Conector recto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CxnSpPr/>
      </xdr:nvCxnSpPr>
      <xdr:spPr>
        <a:xfrm flipV="1">
          <a:off x="8448302" y="907675"/>
          <a:ext cx="7531287" cy="6226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246530</xdr:colOff>
      <xdr:row>4</xdr:row>
      <xdr:rowOff>142876</xdr:rowOff>
    </xdr:from>
    <xdr:to>
      <xdr:col>22</xdr:col>
      <xdr:colOff>257736</xdr:colOff>
      <xdr:row>25</xdr:row>
      <xdr:rowOff>30816</xdr:rowOff>
    </xdr:to>
    <xdr:cxnSp macro="">
      <xdr:nvCxnSpPr>
        <xdr:cNvPr id="109" name="Conector recto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CxnSpPr/>
      </xdr:nvCxnSpPr>
      <xdr:spPr>
        <a:xfrm>
          <a:off x="15315080" y="990601"/>
          <a:ext cx="11206" cy="3888440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156883</xdr:colOff>
      <xdr:row>25</xdr:row>
      <xdr:rowOff>78441</xdr:rowOff>
    </xdr:from>
    <xdr:to>
      <xdr:col>22</xdr:col>
      <xdr:colOff>235324</xdr:colOff>
      <xdr:row>25</xdr:row>
      <xdr:rowOff>89647</xdr:rowOff>
    </xdr:to>
    <xdr:cxnSp macro="">
      <xdr:nvCxnSpPr>
        <xdr:cNvPr id="110" name="Conector recto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CxnSpPr/>
      </xdr:nvCxnSpPr>
      <xdr:spPr>
        <a:xfrm>
          <a:off x="8550089" y="4930588"/>
          <a:ext cx="7552764" cy="11206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4</xdr:row>
      <xdr:rowOff>67235</xdr:rowOff>
    </xdr:from>
    <xdr:to>
      <xdr:col>12</xdr:col>
      <xdr:colOff>168090</xdr:colOff>
      <xdr:row>13</xdr:row>
      <xdr:rowOff>180975</xdr:rowOff>
    </xdr:to>
    <xdr:cxnSp macro="">
      <xdr:nvCxnSpPr>
        <xdr:cNvPr id="111" name="Conector recto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CxnSpPr/>
      </xdr:nvCxnSpPr>
      <xdr:spPr>
        <a:xfrm flipH="1">
          <a:off x="7743825" y="914960"/>
          <a:ext cx="15690" cy="1828240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65839</xdr:colOff>
      <xdr:row>9</xdr:row>
      <xdr:rowOff>66679</xdr:rowOff>
    </xdr:from>
    <xdr:to>
      <xdr:col>8</xdr:col>
      <xdr:colOff>66678</xdr:colOff>
      <xdr:row>15</xdr:row>
      <xdr:rowOff>143997</xdr:rowOff>
    </xdr:to>
    <xdr:cxnSp macro="">
      <xdr:nvCxnSpPr>
        <xdr:cNvPr id="113" name="Conector: angula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endCxn id="105" idx="0"/>
        </xdr:cNvCxnSpPr>
      </xdr:nvCxnSpPr>
      <xdr:spPr>
        <a:xfrm rot="5400000">
          <a:off x="4990125" y="2476643"/>
          <a:ext cx="1220318" cy="839"/>
        </a:xfrm>
        <a:prstGeom prst="bentConnector3">
          <a:avLst>
            <a:gd name="adj1" fmla="val 50000"/>
          </a:avLst>
        </a:prstGeom>
        <a:ln w="50800">
          <a:solidFill>
            <a:schemeClr val="bg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8404</xdr:colOff>
      <xdr:row>29</xdr:row>
      <xdr:rowOff>123825</xdr:rowOff>
    </xdr:from>
    <xdr:to>
      <xdr:col>22</xdr:col>
      <xdr:colOff>245410</xdr:colOff>
      <xdr:row>31</xdr:row>
      <xdr:rowOff>35174</xdr:rowOff>
    </xdr:to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 txBox="1"/>
      </xdr:nvSpPr>
      <xdr:spPr>
        <a:xfrm>
          <a:off x="15210304" y="5734050"/>
          <a:ext cx="779931" cy="301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1000" b="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Térm Fijo</a:t>
          </a:r>
        </a:p>
        <a:p>
          <a:pPr algn="ctr"/>
          <a:endParaRPr lang="es-ES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14</xdr:col>
      <xdr:colOff>579344</xdr:colOff>
      <xdr:row>27</xdr:row>
      <xdr:rowOff>176240</xdr:rowOff>
    </xdr:from>
    <xdr:to>
      <xdr:col>15</xdr:col>
      <xdr:colOff>59388</xdr:colOff>
      <xdr:row>29</xdr:row>
      <xdr:rowOff>27451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044" y="5405465"/>
          <a:ext cx="242044" cy="232211"/>
        </a:xfrm>
        <a:prstGeom prst="rect">
          <a:avLst/>
        </a:prstGeom>
      </xdr:spPr>
    </xdr:pic>
    <xdr:clientData/>
  </xdr:twoCellAnchor>
  <xdr:twoCellAnchor>
    <xdr:from>
      <xdr:col>18</xdr:col>
      <xdr:colOff>46976</xdr:colOff>
      <xdr:row>13</xdr:row>
      <xdr:rowOff>123825</xdr:rowOff>
    </xdr:from>
    <xdr:to>
      <xdr:col>19</xdr:col>
      <xdr:colOff>190500</xdr:colOff>
      <xdr:row>13</xdr:row>
      <xdr:rowOff>124337</xdr:rowOff>
    </xdr:to>
    <xdr:cxnSp macro="">
      <xdr:nvCxnSpPr>
        <xdr:cNvPr id="116" name="Conector: angula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/>
      </xdr:nvCxnSpPr>
      <xdr:spPr>
        <a:xfrm rot="10800000" flipV="1">
          <a:off x="12886676" y="2686050"/>
          <a:ext cx="905524" cy="512"/>
        </a:xfrm>
        <a:prstGeom prst="bentConnector3">
          <a:avLst>
            <a:gd name="adj1" fmla="val 50000"/>
          </a:avLst>
        </a:prstGeom>
        <a:ln w="50800">
          <a:solidFill>
            <a:srgbClr val="00B0F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517711</xdr:colOff>
      <xdr:row>5</xdr:row>
      <xdr:rowOff>73398</xdr:rowOff>
    </xdr:from>
    <xdr:to>
      <xdr:col>20</xdr:col>
      <xdr:colOff>857810</xdr:colOff>
      <xdr:row>7</xdr:row>
      <xdr:rowOff>35298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8461" y="1111623"/>
          <a:ext cx="340099" cy="342900"/>
        </a:xfrm>
        <a:prstGeom prst="rect">
          <a:avLst/>
        </a:prstGeom>
      </xdr:spPr>
    </xdr:pic>
    <xdr:clientData/>
  </xdr:twoCellAnchor>
  <xdr:twoCellAnchor>
    <xdr:from>
      <xdr:col>21</xdr:col>
      <xdr:colOff>339541</xdr:colOff>
      <xdr:row>7</xdr:row>
      <xdr:rowOff>57154</xdr:rowOff>
    </xdr:from>
    <xdr:to>
      <xdr:col>21</xdr:col>
      <xdr:colOff>342900</xdr:colOff>
      <xdr:row>28</xdr:row>
      <xdr:rowOff>174814</xdr:rowOff>
    </xdr:to>
    <xdr:cxnSp macro="">
      <xdr:nvCxnSpPr>
        <xdr:cNvPr id="118" name="Conector: angular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CxnSpPr/>
      </xdr:nvCxnSpPr>
      <xdr:spPr>
        <a:xfrm rot="5400000">
          <a:off x="12807766" y="3533779"/>
          <a:ext cx="4118160" cy="3359"/>
        </a:xfrm>
        <a:prstGeom prst="bentConnector3">
          <a:avLst>
            <a:gd name="adj1" fmla="val 50000"/>
          </a:avLst>
        </a:prstGeom>
        <a:ln w="50800">
          <a:solidFill>
            <a:sysClr val="windowText" lastClr="00000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533115</xdr:colOff>
      <xdr:row>11</xdr:row>
      <xdr:rowOff>95249</xdr:rowOff>
    </xdr:from>
    <xdr:to>
      <xdr:col>18</xdr:col>
      <xdr:colOff>447676</xdr:colOff>
      <xdr:row>15</xdr:row>
      <xdr:rowOff>86845</xdr:rowOff>
    </xdr:to>
    <xdr:cxnSp macro="">
      <xdr:nvCxnSpPr>
        <xdr:cNvPr id="119" name="Conector: angula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/>
      </xdr:nvCxnSpPr>
      <xdr:spPr>
        <a:xfrm rot="10800000" flipV="1">
          <a:off x="11086815" y="2276474"/>
          <a:ext cx="2200561" cy="753596"/>
        </a:xfrm>
        <a:prstGeom prst="bentConnector2">
          <a:avLst/>
        </a:prstGeom>
        <a:ln w="50800">
          <a:solidFill>
            <a:srgbClr val="00B0F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200171</xdr:colOff>
      <xdr:row>21</xdr:row>
      <xdr:rowOff>88527</xdr:rowOff>
    </xdr:from>
    <xdr:to>
      <xdr:col>2</xdr:col>
      <xdr:colOff>442215</xdr:colOff>
      <xdr:row>22</xdr:row>
      <xdr:rowOff>130238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171" y="4174752"/>
          <a:ext cx="242044" cy="232211"/>
        </a:xfrm>
        <a:prstGeom prst="rect">
          <a:avLst/>
        </a:prstGeom>
      </xdr:spPr>
    </xdr:pic>
    <xdr:clientData/>
  </xdr:twoCellAnchor>
  <xdr:oneCellAnchor>
    <xdr:from>
      <xdr:col>1</xdr:col>
      <xdr:colOff>740709</xdr:colOff>
      <xdr:row>19</xdr:row>
      <xdr:rowOff>142875</xdr:rowOff>
    </xdr:from>
    <xdr:ext cx="659466" cy="289494"/>
    <xdr:sp macro="" textlink="">
      <xdr:nvSpPr>
        <xdr:cNvPr id="122" name="CuadroTexto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 txBox="1"/>
      </xdr:nvSpPr>
      <xdr:spPr>
        <a:xfrm>
          <a:off x="1502709" y="3848100"/>
          <a:ext cx="659466" cy="2894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pPr algn="ctr"/>
          <a:r>
            <a:rPr lang="es-ES" sz="8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Agua </a:t>
          </a:r>
          <a:endParaRPr lang="es-ES" sz="8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9</xdr:col>
      <xdr:colOff>381000</xdr:colOff>
      <xdr:row>29</xdr:row>
      <xdr:rowOff>95250</xdr:rowOff>
    </xdr:from>
    <xdr:to>
      <xdr:col>10</xdr:col>
      <xdr:colOff>412938</xdr:colOff>
      <xdr:row>31</xdr:row>
      <xdr:rowOff>6599</xdr:rowOff>
    </xdr:to>
    <xdr:sp macro="" textlink="">
      <xdr:nvSpPr>
        <xdr:cNvPr id="124" name="CuadroTexto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6562725" y="5705475"/>
          <a:ext cx="536763" cy="301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1000" b="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O&amp;M</a:t>
          </a:r>
        </a:p>
        <a:p>
          <a:pPr algn="ctr"/>
          <a:endParaRPr lang="es-ES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9</xdr:col>
      <xdr:colOff>720539</xdr:colOff>
      <xdr:row>6</xdr:row>
      <xdr:rowOff>38101</xdr:rowOff>
    </xdr:from>
    <xdr:to>
      <xdr:col>10</xdr:col>
      <xdr:colOff>339539</xdr:colOff>
      <xdr:row>8</xdr:row>
      <xdr:rowOff>1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1364" y="1266826"/>
          <a:ext cx="342900" cy="342900"/>
        </a:xfrm>
        <a:prstGeom prst="rect">
          <a:avLst/>
        </a:prstGeom>
      </xdr:spPr>
    </xdr:pic>
    <xdr:clientData/>
  </xdr:twoCellAnchor>
  <xdr:twoCellAnchor>
    <xdr:from>
      <xdr:col>10</xdr:col>
      <xdr:colOff>152403</xdr:colOff>
      <xdr:row>7</xdr:row>
      <xdr:rowOff>171451</xdr:rowOff>
    </xdr:from>
    <xdr:to>
      <xdr:col>10</xdr:col>
      <xdr:colOff>154085</xdr:colOff>
      <xdr:row>29</xdr:row>
      <xdr:rowOff>28576</xdr:rowOff>
    </xdr:to>
    <xdr:cxnSp macro="">
      <xdr:nvCxnSpPr>
        <xdr:cNvPr id="126" name="Conector: angular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CxnSpPr/>
      </xdr:nvCxnSpPr>
      <xdr:spPr>
        <a:xfrm rot="16200000" flipH="1">
          <a:off x="4815731" y="3613898"/>
          <a:ext cx="4048125" cy="1682"/>
        </a:xfrm>
        <a:prstGeom prst="bentConnector3">
          <a:avLst>
            <a:gd name="adj1" fmla="val 50000"/>
          </a:avLst>
        </a:prstGeom>
        <a:ln w="50800">
          <a:solidFill>
            <a:sysClr val="windowText" lastClr="00000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12888</xdr:colOff>
      <xdr:row>29</xdr:row>
      <xdr:rowOff>54909</xdr:rowOff>
    </xdr:from>
    <xdr:to>
      <xdr:col>17</xdr:col>
      <xdr:colOff>107430</xdr:colOff>
      <xdr:row>31</xdr:row>
      <xdr:rowOff>8083</xdr:rowOff>
    </xdr:to>
    <xdr:sp macro="" textlink="">
      <xdr:nvSpPr>
        <xdr:cNvPr id="127" name="CuadroTexto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1385738" y="5665134"/>
          <a:ext cx="856542" cy="334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marL="0" indent="0" algn="ctr"/>
          <a:r>
            <a:rPr lang="es-ES" sz="10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Agua Helada</a:t>
          </a:r>
        </a:p>
      </xdr:txBody>
    </xdr:sp>
    <xdr:clientData/>
  </xdr:twoCellAnchor>
  <xdr:twoCellAnchor>
    <xdr:from>
      <xdr:col>17</xdr:col>
      <xdr:colOff>616327</xdr:colOff>
      <xdr:row>4</xdr:row>
      <xdr:rowOff>22412</xdr:rowOff>
    </xdr:from>
    <xdr:to>
      <xdr:col>18</xdr:col>
      <xdr:colOff>392207</xdr:colOff>
      <xdr:row>12</xdr:row>
      <xdr:rowOff>112061</xdr:rowOff>
    </xdr:to>
    <xdr:cxnSp macro="">
      <xdr:nvCxnSpPr>
        <xdr:cNvPr id="128" name="Conector: angular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CxnSpPr/>
      </xdr:nvCxnSpPr>
      <xdr:spPr>
        <a:xfrm rot="5400000" flipH="1" flipV="1">
          <a:off x="12281648" y="1411944"/>
          <a:ext cx="1613649" cy="537880"/>
        </a:xfrm>
        <a:prstGeom prst="bentConnector3">
          <a:avLst>
            <a:gd name="adj1" fmla="val 50000"/>
          </a:avLst>
        </a:prstGeom>
        <a:ln w="50800">
          <a:solidFill>
            <a:schemeClr val="bg1">
              <a:lumMod val="65000"/>
            </a:schemeClr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582708</xdr:colOff>
      <xdr:row>22</xdr:row>
      <xdr:rowOff>179294</xdr:rowOff>
    </xdr:from>
    <xdr:to>
      <xdr:col>17</xdr:col>
      <xdr:colOff>324971</xdr:colOff>
      <xdr:row>22</xdr:row>
      <xdr:rowOff>179294</xdr:rowOff>
    </xdr:to>
    <xdr:cxnSp macro="">
      <xdr:nvCxnSpPr>
        <xdr:cNvPr id="129" name="Conector recto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CxnSpPr/>
      </xdr:nvCxnSpPr>
      <xdr:spPr>
        <a:xfrm>
          <a:off x="11193558" y="4456019"/>
          <a:ext cx="1266263" cy="0"/>
        </a:xfrm>
        <a:prstGeom prst="line">
          <a:avLst/>
        </a:prstGeom>
        <a:ln w="50800">
          <a:solidFill>
            <a:srgbClr val="0070C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493060</xdr:colOff>
      <xdr:row>23</xdr:row>
      <xdr:rowOff>22413</xdr:rowOff>
    </xdr:from>
    <xdr:to>
      <xdr:col>16</xdr:col>
      <xdr:colOff>493061</xdr:colOff>
      <xdr:row>29</xdr:row>
      <xdr:rowOff>67238</xdr:rowOff>
    </xdr:to>
    <xdr:cxnSp macro="">
      <xdr:nvCxnSpPr>
        <xdr:cNvPr id="130" name="Conector: angular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CxnSpPr/>
      </xdr:nvCxnSpPr>
      <xdr:spPr>
        <a:xfrm rot="5400000">
          <a:off x="11271998" y="5083550"/>
          <a:ext cx="1187825" cy="1"/>
        </a:xfrm>
        <a:prstGeom prst="bentConnector3">
          <a:avLst>
            <a:gd name="adj1" fmla="val 50000"/>
          </a:avLst>
        </a:prstGeom>
        <a:ln w="508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333375</xdr:colOff>
      <xdr:row>9</xdr:row>
      <xdr:rowOff>36978</xdr:rowOff>
    </xdr:from>
    <xdr:to>
      <xdr:col>15</xdr:col>
      <xdr:colOff>672912</xdr:colOff>
      <xdr:row>13</xdr:row>
      <xdr:rowOff>114300</xdr:rowOff>
    </xdr:to>
    <xdr:sp macro="" textlink="">
      <xdr:nvSpPr>
        <xdr:cNvPr id="131" name="CuadroTexto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 txBox="1"/>
      </xdr:nvSpPr>
      <xdr:spPr>
        <a:xfrm>
          <a:off x="9448800" y="1837203"/>
          <a:ext cx="1101537" cy="8393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GRUPOS  </a:t>
          </a:r>
        </a:p>
        <a:p>
          <a:pPr algn="ctr"/>
          <a:r>
            <a:rPr lang="es-ES" sz="8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  <a:endParaRPr lang="es-ES" sz="800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503145</xdr:colOff>
      <xdr:row>6</xdr:row>
      <xdr:rowOff>94462</xdr:rowOff>
    </xdr:from>
    <xdr:to>
      <xdr:col>18</xdr:col>
      <xdr:colOff>323851</xdr:colOff>
      <xdr:row>8</xdr:row>
      <xdr:rowOff>25440</xdr:rowOff>
    </xdr:to>
    <xdr:sp macro="" textlink="">
      <xdr:nvSpPr>
        <xdr:cNvPr id="132" name="CuadroTexto 13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SpPr txBox="1"/>
      </xdr:nvSpPr>
      <xdr:spPr>
        <a:xfrm>
          <a:off x="12580845" y="1323187"/>
          <a:ext cx="582706" cy="3119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GASES ESCAPE</a:t>
          </a:r>
          <a:endParaRPr lang="es-ES" sz="800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504825</xdr:colOff>
      <xdr:row>6</xdr:row>
      <xdr:rowOff>19050</xdr:rowOff>
    </xdr:from>
    <xdr:to>
      <xdr:col>20</xdr:col>
      <xdr:colOff>216919</xdr:colOff>
      <xdr:row>15</xdr:row>
      <xdr:rowOff>61263</xdr:rowOff>
    </xdr:to>
    <xdr:cxnSp macro="">
      <xdr:nvCxnSpPr>
        <xdr:cNvPr id="133" name="Conector angular 151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CxnSpPr/>
      </xdr:nvCxnSpPr>
      <xdr:spPr>
        <a:xfrm>
          <a:off x="11058525" y="1247775"/>
          <a:ext cx="3455419" cy="1756713"/>
        </a:xfrm>
        <a:prstGeom prst="bentConnector3">
          <a:avLst>
            <a:gd name="adj1" fmla="val 100169"/>
          </a:avLst>
        </a:prstGeom>
        <a:ln w="508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900953</xdr:colOff>
      <xdr:row>4</xdr:row>
      <xdr:rowOff>161366</xdr:rowOff>
    </xdr:from>
    <xdr:to>
      <xdr:col>22</xdr:col>
      <xdr:colOff>141755</xdr:colOff>
      <xdr:row>7</xdr:row>
      <xdr:rowOff>105335</xdr:rowOff>
    </xdr:to>
    <xdr:pic>
      <xdr:nvPicPr>
        <xdr:cNvPr id="134" name="Imagen 133" descr="Dibujo para colorear fábrica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96" b="5839"/>
        <a:stretch/>
      </xdr:blipFill>
      <xdr:spPr bwMode="auto">
        <a:xfrm>
          <a:off x="14521703" y="1009091"/>
          <a:ext cx="688602" cy="515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67236</xdr:colOff>
      <xdr:row>25</xdr:row>
      <xdr:rowOff>145678</xdr:rowOff>
    </xdr:from>
    <xdr:to>
      <xdr:col>16</xdr:col>
      <xdr:colOff>443754</xdr:colOff>
      <xdr:row>27</xdr:row>
      <xdr:rowOff>114301</xdr:rowOff>
    </xdr:to>
    <xdr:grpSp>
      <xdr:nvGrpSpPr>
        <xdr:cNvPr id="135" name="Grupo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GrpSpPr/>
      </xdr:nvGrpSpPr>
      <xdr:grpSpPr>
        <a:xfrm>
          <a:off x="10712824" y="4997825"/>
          <a:ext cx="376518" cy="349623"/>
          <a:chOff x="9894794" y="5446060"/>
          <a:chExt cx="376518" cy="349623"/>
        </a:xfrm>
      </xdr:grpSpPr>
      <xdr:sp macro="" textlink="">
        <xdr:nvSpPr>
          <xdr:cNvPr id="136" name="Elipse 135">
            <a:extLst>
              <a:ext uri="{FF2B5EF4-FFF2-40B4-BE49-F238E27FC236}">
                <a16:creationId xmlns:a16="http://schemas.microsoft.com/office/drawing/2014/main" id="{00000000-0008-0000-0600-000088000000}"/>
              </a:ext>
            </a:extLst>
          </xdr:cNvPr>
          <xdr:cNvSpPr/>
        </xdr:nvSpPr>
        <xdr:spPr>
          <a:xfrm>
            <a:off x="9894794" y="5446060"/>
            <a:ext cx="376518" cy="349623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37" name="Triángulo isósceles 136">
            <a:extLst>
              <a:ext uri="{FF2B5EF4-FFF2-40B4-BE49-F238E27FC236}">
                <a16:creationId xmlns:a16="http://schemas.microsoft.com/office/drawing/2014/main" id="{00000000-0008-0000-0600-000089000000}"/>
              </a:ext>
            </a:extLst>
          </xdr:cNvPr>
          <xdr:cNvSpPr/>
        </xdr:nvSpPr>
        <xdr:spPr>
          <a:xfrm rot="10800000">
            <a:off x="9941859" y="5535705"/>
            <a:ext cx="277906" cy="224118"/>
          </a:xfrm>
          <a:prstGeom prst="triangle">
            <a:avLst/>
          </a:prstGeom>
          <a:solidFill>
            <a:schemeClr val="tx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16</xdr:col>
      <xdr:colOff>555813</xdr:colOff>
      <xdr:row>25</xdr:row>
      <xdr:rowOff>141195</xdr:rowOff>
    </xdr:from>
    <xdr:to>
      <xdr:col>17</xdr:col>
      <xdr:colOff>170331</xdr:colOff>
      <xdr:row>27</xdr:row>
      <xdr:rowOff>109818</xdr:rowOff>
    </xdr:to>
    <xdr:grpSp>
      <xdr:nvGrpSpPr>
        <xdr:cNvPr id="138" name="Grupo 137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GrpSpPr/>
      </xdr:nvGrpSpPr>
      <xdr:grpSpPr>
        <a:xfrm>
          <a:off x="11201401" y="4993342"/>
          <a:ext cx="376518" cy="349623"/>
          <a:chOff x="9894794" y="5446060"/>
          <a:chExt cx="376518" cy="349623"/>
        </a:xfrm>
      </xdr:grpSpPr>
      <xdr:sp macro="" textlink="">
        <xdr:nvSpPr>
          <xdr:cNvPr id="139" name="Elipse 138">
            <a:extLst>
              <a:ext uri="{FF2B5EF4-FFF2-40B4-BE49-F238E27FC236}">
                <a16:creationId xmlns:a16="http://schemas.microsoft.com/office/drawing/2014/main" id="{00000000-0008-0000-0600-00008B000000}"/>
              </a:ext>
            </a:extLst>
          </xdr:cNvPr>
          <xdr:cNvSpPr/>
        </xdr:nvSpPr>
        <xdr:spPr>
          <a:xfrm>
            <a:off x="9894794" y="5446060"/>
            <a:ext cx="376518" cy="349623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40" name="Triángulo isósceles 139">
            <a:extLst>
              <a:ext uri="{FF2B5EF4-FFF2-40B4-BE49-F238E27FC236}">
                <a16:creationId xmlns:a16="http://schemas.microsoft.com/office/drawing/2014/main" id="{00000000-0008-0000-0600-00008C000000}"/>
              </a:ext>
            </a:extLst>
          </xdr:cNvPr>
          <xdr:cNvSpPr/>
        </xdr:nvSpPr>
        <xdr:spPr>
          <a:xfrm rot="10800000">
            <a:off x="9941859" y="5535705"/>
            <a:ext cx="277906" cy="224118"/>
          </a:xfrm>
          <a:prstGeom prst="triangle">
            <a:avLst/>
          </a:prstGeom>
          <a:solidFill>
            <a:schemeClr val="tx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18</xdr:col>
      <xdr:colOff>701489</xdr:colOff>
      <xdr:row>25</xdr:row>
      <xdr:rowOff>141195</xdr:rowOff>
    </xdr:from>
    <xdr:to>
      <xdr:col>19</xdr:col>
      <xdr:colOff>316007</xdr:colOff>
      <xdr:row>27</xdr:row>
      <xdr:rowOff>109818</xdr:rowOff>
    </xdr:to>
    <xdr:grpSp>
      <xdr:nvGrpSpPr>
        <xdr:cNvPr id="141" name="Grupo 140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GrpSpPr/>
      </xdr:nvGrpSpPr>
      <xdr:grpSpPr>
        <a:xfrm>
          <a:off x="12871077" y="4993342"/>
          <a:ext cx="376518" cy="349623"/>
          <a:chOff x="9894794" y="5446060"/>
          <a:chExt cx="376518" cy="349623"/>
        </a:xfrm>
      </xdr:grpSpPr>
      <xdr:sp macro="" textlink="">
        <xdr:nvSpPr>
          <xdr:cNvPr id="142" name="Elipse 141">
            <a:extLst>
              <a:ext uri="{FF2B5EF4-FFF2-40B4-BE49-F238E27FC236}">
                <a16:creationId xmlns:a16="http://schemas.microsoft.com/office/drawing/2014/main" id="{00000000-0008-0000-0600-00008E000000}"/>
              </a:ext>
            </a:extLst>
          </xdr:cNvPr>
          <xdr:cNvSpPr/>
        </xdr:nvSpPr>
        <xdr:spPr>
          <a:xfrm>
            <a:off x="9894794" y="5446060"/>
            <a:ext cx="376518" cy="349623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43" name="Triángulo isósceles 142">
            <a:extLst>
              <a:ext uri="{FF2B5EF4-FFF2-40B4-BE49-F238E27FC236}">
                <a16:creationId xmlns:a16="http://schemas.microsoft.com/office/drawing/2014/main" id="{00000000-0008-0000-0600-00008F000000}"/>
              </a:ext>
            </a:extLst>
          </xdr:cNvPr>
          <xdr:cNvSpPr/>
        </xdr:nvSpPr>
        <xdr:spPr>
          <a:xfrm rot="10800000">
            <a:off x="9941859" y="5535705"/>
            <a:ext cx="277906" cy="224118"/>
          </a:xfrm>
          <a:prstGeom prst="triangle">
            <a:avLst/>
          </a:prstGeom>
          <a:solidFill>
            <a:schemeClr val="tx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19</xdr:col>
      <xdr:colOff>450478</xdr:colOff>
      <xdr:row>25</xdr:row>
      <xdr:rowOff>159124</xdr:rowOff>
    </xdr:from>
    <xdr:to>
      <xdr:col>20</xdr:col>
      <xdr:colOff>132231</xdr:colOff>
      <xdr:row>27</xdr:row>
      <xdr:rowOff>127747</xdr:rowOff>
    </xdr:to>
    <xdr:grpSp>
      <xdr:nvGrpSpPr>
        <xdr:cNvPr id="144" name="Grupo 143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GrpSpPr/>
      </xdr:nvGrpSpPr>
      <xdr:grpSpPr>
        <a:xfrm>
          <a:off x="13382066" y="5011271"/>
          <a:ext cx="376518" cy="349623"/>
          <a:chOff x="9894794" y="5446060"/>
          <a:chExt cx="376518" cy="349623"/>
        </a:xfrm>
      </xdr:grpSpPr>
      <xdr:sp macro="" textlink="">
        <xdr:nvSpPr>
          <xdr:cNvPr id="145" name="Elipse 144">
            <a:extLst>
              <a:ext uri="{FF2B5EF4-FFF2-40B4-BE49-F238E27FC236}">
                <a16:creationId xmlns:a16="http://schemas.microsoft.com/office/drawing/2014/main" id="{00000000-0008-0000-0600-000091000000}"/>
              </a:ext>
            </a:extLst>
          </xdr:cNvPr>
          <xdr:cNvSpPr/>
        </xdr:nvSpPr>
        <xdr:spPr>
          <a:xfrm>
            <a:off x="9894794" y="5446060"/>
            <a:ext cx="376518" cy="349623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46" name="Triángulo isósceles 145">
            <a:extLst>
              <a:ext uri="{FF2B5EF4-FFF2-40B4-BE49-F238E27FC236}">
                <a16:creationId xmlns:a16="http://schemas.microsoft.com/office/drawing/2014/main" id="{00000000-0008-0000-0600-000092000000}"/>
              </a:ext>
            </a:extLst>
          </xdr:cNvPr>
          <xdr:cNvSpPr/>
        </xdr:nvSpPr>
        <xdr:spPr>
          <a:xfrm rot="10800000">
            <a:off x="9941859" y="5535705"/>
            <a:ext cx="277906" cy="224118"/>
          </a:xfrm>
          <a:prstGeom prst="triangle">
            <a:avLst/>
          </a:prstGeom>
          <a:solidFill>
            <a:schemeClr val="tx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17</xdr:col>
      <xdr:colOff>414618</xdr:colOff>
      <xdr:row>4</xdr:row>
      <xdr:rowOff>0</xdr:rowOff>
    </xdr:from>
    <xdr:to>
      <xdr:col>17</xdr:col>
      <xdr:colOff>419474</xdr:colOff>
      <xdr:row>7</xdr:row>
      <xdr:rowOff>62380</xdr:rowOff>
    </xdr:to>
    <xdr:cxnSp macro="">
      <xdr:nvCxnSpPr>
        <xdr:cNvPr id="147" name="Conector: angular 146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CxnSpPr/>
      </xdr:nvCxnSpPr>
      <xdr:spPr>
        <a:xfrm rot="16200000" flipV="1">
          <a:off x="12303312" y="1166159"/>
          <a:ext cx="633880" cy="4856"/>
        </a:xfrm>
        <a:prstGeom prst="bentConnector3">
          <a:avLst>
            <a:gd name="adj1" fmla="val 50000"/>
          </a:avLst>
        </a:prstGeom>
        <a:ln w="50800">
          <a:solidFill>
            <a:schemeClr val="bg1">
              <a:lumMod val="65000"/>
            </a:schemeClr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581187</xdr:colOff>
      <xdr:row>9</xdr:row>
      <xdr:rowOff>33617</xdr:rowOff>
    </xdr:from>
    <xdr:ext cx="601033" cy="315058"/>
    <xdr:pic>
      <xdr:nvPicPr>
        <xdr:cNvPr id="148" name="Imagen 147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74" t="22098" r="21358" b="14266"/>
        <a:stretch/>
      </xdr:blipFill>
      <xdr:spPr>
        <a:xfrm>
          <a:off x="1343187" y="1833842"/>
          <a:ext cx="601033" cy="315058"/>
        </a:xfrm>
        <a:prstGeom prst="rect">
          <a:avLst/>
        </a:prstGeom>
      </xdr:spPr>
    </xdr:pic>
    <xdr:clientData/>
  </xdr:oneCellAnchor>
  <xdr:twoCellAnchor>
    <xdr:from>
      <xdr:col>1</xdr:col>
      <xdr:colOff>581186</xdr:colOff>
      <xdr:row>10</xdr:row>
      <xdr:rowOff>646</xdr:rowOff>
    </xdr:from>
    <xdr:to>
      <xdr:col>1</xdr:col>
      <xdr:colOff>701939</xdr:colOff>
      <xdr:row>13</xdr:row>
      <xdr:rowOff>4210</xdr:rowOff>
    </xdr:to>
    <xdr:cxnSp macro="">
      <xdr:nvCxnSpPr>
        <xdr:cNvPr id="149" name="Conector: angular 148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CxnSpPr>
          <a:stCxn id="148" idx="1"/>
        </xdr:cNvCxnSpPr>
      </xdr:nvCxnSpPr>
      <xdr:spPr>
        <a:xfrm rot="10800000" flipH="1" flipV="1">
          <a:off x="1343186" y="1991371"/>
          <a:ext cx="120753" cy="575064"/>
        </a:xfrm>
        <a:prstGeom prst="bentConnector3">
          <a:avLst>
            <a:gd name="adj1" fmla="val -189312"/>
          </a:avLst>
        </a:prstGeom>
        <a:ln w="50800">
          <a:solidFill>
            <a:schemeClr val="bg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435350</xdr:colOff>
      <xdr:row>7</xdr:row>
      <xdr:rowOff>140066</xdr:rowOff>
    </xdr:from>
    <xdr:ext cx="855408" cy="265329"/>
    <xdr:sp macro="" textlink="">
      <xdr:nvSpPr>
        <xdr:cNvPr id="150" name="CuadroTexto 149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SpPr txBox="1"/>
      </xdr:nvSpPr>
      <xdr:spPr>
        <a:xfrm>
          <a:off x="1197350" y="1559291"/>
          <a:ext cx="855408" cy="2653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spAutoFit/>
        </a:bodyPr>
        <a:lstStyle/>
        <a:p>
          <a:pPr marL="0" indent="0" algn="ctr"/>
          <a:r>
            <a:rPr lang="es-ES" sz="900" b="1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TANQUE DIESEL </a:t>
          </a:r>
        </a:p>
      </xdr:txBody>
    </xdr:sp>
    <xdr:clientData/>
  </xdr:oneCellAnchor>
  <xdr:twoCellAnchor>
    <xdr:from>
      <xdr:col>1</xdr:col>
      <xdr:colOff>705971</xdr:colOff>
      <xdr:row>13</xdr:row>
      <xdr:rowOff>91888</xdr:rowOff>
    </xdr:from>
    <xdr:to>
      <xdr:col>3</xdr:col>
      <xdr:colOff>129988</xdr:colOff>
      <xdr:row>15</xdr:row>
      <xdr:rowOff>29136</xdr:rowOff>
    </xdr:to>
    <xdr:sp macro="" textlink="">
      <xdr:nvSpPr>
        <xdr:cNvPr id="167" name="CuadroTexto 166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SpPr txBox="1"/>
      </xdr:nvSpPr>
      <xdr:spPr>
        <a:xfrm>
          <a:off x="1467971" y="2658035"/>
          <a:ext cx="948017" cy="3182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GENERADORES EMERGENCIA</a:t>
          </a:r>
          <a:endParaRPr lang="es-ES" sz="800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722816</xdr:colOff>
      <xdr:row>10</xdr:row>
      <xdr:rowOff>47625</xdr:rowOff>
    </xdr:from>
    <xdr:to>
      <xdr:col>3</xdr:col>
      <xdr:colOff>695325</xdr:colOff>
      <xdr:row>12</xdr:row>
      <xdr:rowOff>145701</xdr:rowOff>
    </xdr:to>
    <xdr:cxnSp macro="">
      <xdr:nvCxnSpPr>
        <xdr:cNvPr id="168" name="Conector: angular 167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CxnSpPr/>
      </xdr:nvCxnSpPr>
      <xdr:spPr>
        <a:xfrm flipV="1">
          <a:off x="2246816" y="2038350"/>
          <a:ext cx="734509" cy="479076"/>
        </a:xfrm>
        <a:prstGeom prst="bentConnector3">
          <a:avLst>
            <a:gd name="adj1" fmla="val 50000"/>
          </a:avLst>
        </a:prstGeom>
        <a:ln w="508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257736</xdr:colOff>
      <xdr:row>17</xdr:row>
      <xdr:rowOff>123264</xdr:rowOff>
    </xdr:from>
    <xdr:to>
      <xdr:col>21</xdr:col>
      <xdr:colOff>35700</xdr:colOff>
      <xdr:row>19</xdr:row>
      <xdr:rowOff>189334</xdr:rowOff>
    </xdr:to>
    <xdr:sp macro="" textlink="">
      <xdr:nvSpPr>
        <xdr:cNvPr id="205" name="CuadroTexto 204"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SpPr txBox="1"/>
      </xdr:nvSpPr>
      <xdr:spPr>
        <a:xfrm>
          <a:off x="14679707" y="3451411"/>
          <a:ext cx="685640" cy="4470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CALDERAS</a:t>
          </a:r>
          <a:endParaRPr lang="es-ES" sz="8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262778</xdr:colOff>
      <xdr:row>13</xdr:row>
      <xdr:rowOff>172569</xdr:rowOff>
    </xdr:from>
    <xdr:to>
      <xdr:col>9</xdr:col>
      <xdr:colOff>447676</xdr:colOff>
      <xdr:row>15</xdr:row>
      <xdr:rowOff>148205</xdr:rowOff>
    </xdr:to>
    <xdr:sp macro="" textlink="">
      <xdr:nvSpPr>
        <xdr:cNvPr id="210" name="CuadroTexto 209">
          <a:extLst>
            <a:ext uri="{FF2B5EF4-FFF2-40B4-BE49-F238E27FC236}">
              <a16:creationId xmlns:a16="http://schemas.microsoft.com/office/drawing/2014/main" id="{00000000-0008-0000-0600-0000D2000000}"/>
            </a:ext>
          </a:extLst>
        </xdr:cNvPr>
        <xdr:cNvSpPr txBox="1"/>
      </xdr:nvSpPr>
      <xdr:spPr>
        <a:xfrm>
          <a:off x="5796803" y="2734794"/>
          <a:ext cx="832598" cy="356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CALDERAS GLP</a:t>
          </a:r>
          <a:endParaRPr lang="es-ES" sz="8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9</xdr:col>
      <xdr:colOff>638734</xdr:colOff>
      <xdr:row>47</xdr:row>
      <xdr:rowOff>56029</xdr:rowOff>
    </xdr:from>
    <xdr:to>
      <xdr:col>12</xdr:col>
      <xdr:colOff>678438</xdr:colOff>
      <xdr:row>49</xdr:row>
      <xdr:rowOff>3116</xdr:rowOff>
    </xdr:to>
    <xdr:sp macro="" textlink="">
      <xdr:nvSpPr>
        <xdr:cNvPr id="212" name="CuadroTexto 211">
          <a:extLst>
            <a:ext uri="{FF2B5EF4-FFF2-40B4-BE49-F238E27FC236}">
              <a16:creationId xmlns:a16="http://schemas.microsoft.com/office/drawing/2014/main" id="{00000000-0008-0000-0600-0000D4000000}"/>
            </a:ext>
          </a:extLst>
        </xdr:cNvPr>
        <xdr:cNvSpPr txBox="1"/>
      </xdr:nvSpPr>
      <xdr:spPr>
        <a:xfrm>
          <a:off x="7238999" y="9110382"/>
          <a:ext cx="1709380" cy="3280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r>
            <a:rPr lang="es-ES" sz="1200" b="1">
              <a:solidFill>
                <a:sysClr val="windowText" lastClr="000000"/>
              </a:solidFill>
            </a:rPr>
            <a:t>SCOPE</a:t>
          </a:r>
          <a:r>
            <a:rPr lang="es-ES" sz="1200" b="1" baseline="0">
              <a:solidFill>
                <a:sysClr val="windowText" lastClr="000000"/>
              </a:solidFill>
            </a:rPr>
            <a:t> CHP LIMITS</a:t>
          </a:r>
          <a:endParaRPr lang="es-ES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11206</xdr:colOff>
      <xdr:row>48</xdr:row>
      <xdr:rowOff>33617</xdr:rowOff>
    </xdr:from>
    <xdr:to>
      <xdr:col>9</xdr:col>
      <xdr:colOff>571500</xdr:colOff>
      <xdr:row>48</xdr:row>
      <xdr:rowOff>44823</xdr:rowOff>
    </xdr:to>
    <xdr:cxnSp macro="">
      <xdr:nvCxnSpPr>
        <xdr:cNvPr id="213" name="Conector recto 212">
          <a:extLst>
            <a:ext uri="{FF2B5EF4-FFF2-40B4-BE49-F238E27FC236}">
              <a16:creationId xmlns:a16="http://schemas.microsoft.com/office/drawing/2014/main" id="{00000000-0008-0000-0600-0000D5000000}"/>
            </a:ext>
          </a:extLst>
        </xdr:cNvPr>
        <xdr:cNvCxnSpPr/>
      </xdr:nvCxnSpPr>
      <xdr:spPr>
        <a:xfrm flipV="1">
          <a:off x="6611471" y="9278470"/>
          <a:ext cx="560294" cy="11206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593912</xdr:colOff>
      <xdr:row>36</xdr:row>
      <xdr:rowOff>100853</xdr:rowOff>
    </xdr:from>
    <xdr:to>
      <xdr:col>9</xdr:col>
      <xdr:colOff>619420</xdr:colOff>
      <xdr:row>36</xdr:row>
      <xdr:rowOff>100853</xdr:rowOff>
    </xdr:to>
    <xdr:cxnSp macro="">
      <xdr:nvCxnSpPr>
        <xdr:cNvPr id="219" name="Conector recto de flecha 218">
          <a:extLst>
            <a:ext uri="{FF2B5EF4-FFF2-40B4-BE49-F238E27FC236}">
              <a16:creationId xmlns:a16="http://schemas.microsoft.com/office/drawing/2014/main" id="{00000000-0008-0000-0600-0000DB000000}"/>
            </a:ext>
          </a:extLst>
        </xdr:cNvPr>
        <xdr:cNvCxnSpPr/>
      </xdr:nvCxnSpPr>
      <xdr:spPr>
        <a:xfrm>
          <a:off x="6544236" y="7059706"/>
          <a:ext cx="675449" cy="0"/>
        </a:xfrm>
        <a:prstGeom prst="straightConnector1">
          <a:avLst/>
        </a:prstGeom>
        <a:ln w="5080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18504</xdr:colOff>
      <xdr:row>46</xdr:row>
      <xdr:rowOff>73753</xdr:rowOff>
    </xdr:from>
    <xdr:to>
      <xdr:col>9</xdr:col>
      <xdr:colOff>583301</xdr:colOff>
      <xdr:row>46</xdr:row>
      <xdr:rowOff>73753</xdr:rowOff>
    </xdr:to>
    <xdr:cxnSp macro="">
      <xdr:nvCxnSpPr>
        <xdr:cNvPr id="221" name="Conector recto de flecha 220">
          <a:extLst>
            <a:ext uri="{FF2B5EF4-FFF2-40B4-BE49-F238E27FC236}">
              <a16:creationId xmlns:a16="http://schemas.microsoft.com/office/drawing/2014/main" id="{00000000-0008-0000-0600-0000DD000000}"/>
            </a:ext>
          </a:extLst>
        </xdr:cNvPr>
        <xdr:cNvCxnSpPr/>
      </xdr:nvCxnSpPr>
      <xdr:spPr>
        <a:xfrm>
          <a:off x="6618769" y="8937606"/>
          <a:ext cx="564797" cy="0"/>
        </a:xfrm>
        <a:prstGeom prst="straightConnector1">
          <a:avLst/>
        </a:prstGeom>
        <a:ln w="50800">
          <a:solidFill>
            <a:srgbClr val="00B0F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645457</xdr:colOff>
      <xdr:row>45</xdr:row>
      <xdr:rowOff>107576</xdr:rowOff>
    </xdr:from>
    <xdr:to>
      <xdr:col>12</xdr:col>
      <xdr:colOff>685161</xdr:colOff>
      <xdr:row>47</xdr:row>
      <xdr:rowOff>54663</xdr:rowOff>
    </xdr:to>
    <xdr:sp macro="" textlink="">
      <xdr:nvSpPr>
        <xdr:cNvPr id="222" name="CuadroTexto 221">
          <a:extLst>
            <a:ext uri="{FF2B5EF4-FFF2-40B4-BE49-F238E27FC236}">
              <a16:creationId xmlns:a16="http://schemas.microsoft.com/office/drawing/2014/main" id="{00000000-0008-0000-0600-0000DE000000}"/>
            </a:ext>
          </a:extLst>
        </xdr:cNvPr>
        <xdr:cNvSpPr txBox="1"/>
      </xdr:nvSpPr>
      <xdr:spPr>
        <a:xfrm>
          <a:off x="7245722" y="8780929"/>
          <a:ext cx="1709380" cy="3280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r>
            <a:rPr lang="es-ES" sz="1200" b="1">
              <a:solidFill>
                <a:sysClr val="windowText" lastClr="000000"/>
              </a:solidFill>
            </a:rPr>
            <a:t>POTABLE WATER</a:t>
          </a:r>
        </a:p>
      </xdr:txBody>
    </xdr:sp>
    <xdr:clientData/>
  </xdr:twoCellAnchor>
  <xdr:twoCellAnchor>
    <xdr:from>
      <xdr:col>1</xdr:col>
      <xdr:colOff>268941</xdr:colOff>
      <xdr:row>25</xdr:row>
      <xdr:rowOff>100853</xdr:rowOff>
    </xdr:from>
    <xdr:to>
      <xdr:col>10</xdr:col>
      <xdr:colOff>549088</xdr:colOff>
      <xdr:row>25</xdr:row>
      <xdr:rowOff>112059</xdr:rowOff>
    </xdr:to>
    <xdr:cxnSp macro="">
      <xdr:nvCxnSpPr>
        <xdr:cNvPr id="235" name="Conector recto 234">
          <a:extLst>
            <a:ext uri="{FF2B5EF4-FFF2-40B4-BE49-F238E27FC236}">
              <a16:creationId xmlns:a16="http://schemas.microsoft.com/office/drawing/2014/main" id="{00000000-0008-0000-0600-0000EB000000}"/>
            </a:ext>
          </a:extLst>
        </xdr:cNvPr>
        <xdr:cNvCxnSpPr/>
      </xdr:nvCxnSpPr>
      <xdr:spPr>
        <a:xfrm>
          <a:off x="1030941" y="4949078"/>
          <a:ext cx="6204697" cy="11206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526676</xdr:colOff>
      <xdr:row>4</xdr:row>
      <xdr:rowOff>22412</xdr:rowOff>
    </xdr:from>
    <xdr:to>
      <xdr:col>10</xdr:col>
      <xdr:colOff>544605</xdr:colOff>
      <xdr:row>25</xdr:row>
      <xdr:rowOff>107577</xdr:rowOff>
    </xdr:to>
    <xdr:cxnSp macro="">
      <xdr:nvCxnSpPr>
        <xdr:cNvPr id="237" name="Conector recto 236">
          <a:extLst>
            <a:ext uri="{FF2B5EF4-FFF2-40B4-BE49-F238E27FC236}">
              <a16:creationId xmlns:a16="http://schemas.microsoft.com/office/drawing/2014/main" id="{00000000-0008-0000-0600-0000ED000000}"/>
            </a:ext>
          </a:extLst>
        </xdr:cNvPr>
        <xdr:cNvCxnSpPr/>
      </xdr:nvCxnSpPr>
      <xdr:spPr>
        <a:xfrm>
          <a:off x="7888941" y="874059"/>
          <a:ext cx="17929" cy="4085665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212912</xdr:colOff>
      <xdr:row>4</xdr:row>
      <xdr:rowOff>11206</xdr:rowOff>
    </xdr:from>
    <xdr:to>
      <xdr:col>10</xdr:col>
      <xdr:colOff>522194</xdr:colOff>
      <xdr:row>4</xdr:row>
      <xdr:rowOff>17930</xdr:rowOff>
    </xdr:to>
    <xdr:cxnSp macro="">
      <xdr:nvCxnSpPr>
        <xdr:cNvPr id="240" name="Conector recto 239">
          <a:extLst>
            <a:ext uri="{FF2B5EF4-FFF2-40B4-BE49-F238E27FC236}">
              <a16:creationId xmlns:a16="http://schemas.microsoft.com/office/drawing/2014/main" id="{00000000-0008-0000-0600-0000F0000000}"/>
            </a:ext>
          </a:extLst>
        </xdr:cNvPr>
        <xdr:cNvCxnSpPr/>
      </xdr:nvCxnSpPr>
      <xdr:spPr>
        <a:xfrm>
          <a:off x="974912" y="862853"/>
          <a:ext cx="6909547" cy="6724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230841</xdr:colOff>
      <xdr:row>4</xdr:row>
      <xdr:rowOff>29135</xdr:rowOff>
    </xdr:from>
    <xdr:to>
      <xdr:col>1</xdr:col>
      <xdr:colOff>248770</xdr:colOff>
      <xdr:row>25</xdr:row>
      <xdr:rowOff>114300</xdr:rowOff>
    </xdr:to>
    <xdr:cxnSp macro="">
      <xdr:nvCxnSpPr>
        <xdr:cNvPr id="243" name="Conector recto 242">
          <a:extLst>
            <a:ext uri="{FF2B5EF4-FFF2-40B4-BE49-F238E27FC236}">
              <a16:creationId xmlns:a16="http://schemas.microsoft.com/office/drawing/2014/main" id="{00000000-0008-0000-0600-0000F3000000}"/>
            </a:ext>
          </a:extLst>
        </xdr:cNvPr>
        <xdr:cNvCxnSpPr/>
      </xdr:nvCxnSpPr>
      <xdr:spPr>
        <a:xfrm>
          <a:off x="992841" y="880782"/>
          <a:ext cx="17929" cy="4085665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145678</xdr:colOff>
      <xdr:row>14</xdr:row>
      <xdr:rowOff>14561</xdr:rowOff>
    </xdr:from>
    <xdr:to>
      <xdr:col>14</xdr:col>
      <xdr:colOff>235324</xdr:colOff>
      <xdr:row>17</xdr:row>
      <xdr:rowOff>100758</xdr:rowOff>
    </xdr:to>
    <xdr:pic>
      <xdr:nvPicPr>
        <xdr:cNvPr id="245" name="Imagen 244">
          <a:extLst>
            <a:ext uri="{FF2B5EF4-FFF2-40B4-BE49-F238E27FC236}">
              <a16:creationId xmlns:a16="http://schemas.microsoft.com/office/drawing/2014/main" id="{00000000-0008-0000-0600-0000F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7799"/>
        <a:stretch/>
      </xdr:blipFill>
      <xdr:spPr>
        <a:xfrm>
          <a:off x="9177619" y="2771208"/>
          <a:ext cx="851646" cy="657697"/>
        </a:xfrm>
        <a:prstGeom prst="rect">
          <a:avLst/>
        </a:prstGeom>
      </xdr:spPr>
    </xdr:pic>
    <xdr:clientData/>
  </xdr:twoCellAnchor>
  <xdr:twoCellAnchor>
    <xdr:from>
      <xdr:col>13</xdr:col>
      <xdr:colOff>145676</xdr:colOff>
      <xdr:row>17</xdr:row>
      <xdr:rowOff>67236</xdr:rowOff>
    </xdr:from>
    <xdr:to>
      <xdr:col>14</xdr:col>
      <xdr:colOff>210111</xdr:colOff>
      <xdr:row>19</xdr:row>
      <xdr:rowOff>42872</xdr:rowOff>
    </xdr:to>
    <xdr:sp macro="" textlink="">
      <xdr:nvSpPr>
        <xdr:cNvPr id="251" name="CuadroTexto 250">
          <a:extLst>
            <a:ext uri="{FF2B5EF4-FFF2-40B4-BE49-F238E27FC236}">
              <a16:creationId xmlns:a16="http://schemas.microsoft.com/office/drawing/2014/main" id="{00000000-0008-0000-0600-0000FB000000}"/>
            </a:ext>
          </a:extLst>
        </xdr:cNvPr>
        <xdr:cNvSpPr txBox="1"/>
      </xdr:nvSpPr>
      <xdr:spPr>
        <a:xfrm>
          <a:off x="9177617" y="3395383"/>
          <a:ext cx="826435" cy="356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FOTOVOLTAICA</a:t>
          </a:r>
          <a:endParaRPr lang="es-ES" sz="8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140634</xdr:colOff>
      <xdr:row>22</xdr:row>
      <xdr:rowOff>56028</xdr:rowOff>
    </xdr:from>
    <xdr:to>
      <xdr:col>14</xdr:col>
      <xdr:colOff>700927</xdr:colOff>
      <xdr:row>27</xdr:row>
      <xdr:rowOff>56032</xdr:rowOff>
    </xdr:to>
    <xdr:cxnSp macro="">
      <xdr:nvCxnSpPr>
        <xdr:cNvPr id="255" name="Conector: angular 254"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CxnSpPr/>
      </xdr:nvCxnSpPr>
      <xdr:spPr>
        <a:xfrm rot="16200000" flipH="1">
          <a:off x="9736229" y="4528858"/>
          <a:ext cx="952504" cy="560293"/>
        </a:xfrm>
        <a:prstGeom prst="bentConnector3">
          <a:avLst>
            <a:gd name="adj1" fmla="val 1765"/>
          </a:avLst>
        </a:prstGeom>
        <a:ln w="50800">
          <a:solidFill>
            <a:srgbClr val="00B0F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228786</xdr:colOff>
      <xdr:row>23</xdr:row>
      <xdr:rowOff>105523</xdr:rowOff>
    </xdr:from>
    <xdr:to>
      <xdr:col>14</xdr:col>
      <xdr:colOff>611281</xdr:colOff>
      <xdr:row>25</xdr:row>
      <xdr:rowOff>81159</xdr:rowOff>
    </xdr:to>
    <xdr:sp macro="" textlink="">
      <xdr:nvSpPr>
        <xdr:cNvPr id="262" name="CuadroTexto 261"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SpPr txBox="1"/>
      </xdr:nvSpPr>
      <xdr:spPr>
        <a:xfrm>
          <a:off x="9258486" y="4572748"/>
          <a:ext cx="1144495" cy="356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DESALINIZADORA</a:t>
          </a:r>
          <a:endParaRPr lang="es-ES" sz="8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186017</xdr:colOff>
      <xdr:row>23</xdr:row>
      <xdr:rowOff>186017</xdr:rowOff>
    </xdr:from>
    <xdr:to>
      <xdr:col>19</xdr:col>
      <xdr:colOff>371397</xdr:colOff>
      <xdr:row>25</xdr:row>
      <xdr:rowOff>133104</xdr:rowOff>
    </xdr:to>
    <xdr:sp macro="" textlink="">
      <xdr:nvSpPr>
        <xdr:cNvPr id="264" name="CuadroTexto 263">
          <a:extLst>
            <a:ext uri="{FF2B5EF4-FFF2-40B4-BE49-F238E27FC236}">
              <a16:creationId xmlns:a16="http://schemas.microsoft.com/office/drawing/2014/main" id="{00000000-0008-0000-0600-000008010000}"/>
            </a:ext>
          </a:extLst>
        </xdr:cNvPr>
        <xdr:cNvSpPr txBox="1"/>
      </xdr:nvSpPr>
      <xdr:spPr>
        <a:xfrm>
          <a:off x="12265958" y="4657164"/>
          <a:ext cx="1709380" cy="3280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r>
            <a:rPr lang="es-ES" sz="1200" b="1">
              <a:solidFill>
                <a:sysClr val="windowText" lastClr="000000"/>
              </a:solidFill>
            </a:rPr>
            <a:t>ALCANCE - LIMITES</a:t>
          </a:r>
          <a:r>
            <a:rPr lang="es-ES" sz="1200" b="1" baseline="0">
              <a:solidFill>
                <a:sysClr val="windowText" lastClr="000000"/>
              </a:solidFill>
            </a:rPr>
            <a:t> CHP</a:t>
          </a:r>
          <a:endParaRPr lang="es-ES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35119</xdr:colOff>
      <xdr:row>12</xdr:row>
      <xdr:rowOff>1117</xdr:rowOff>
    </xdr:from>
    <xdr:to>
      <xdr:col>3</xdr:col>
      <xdr:colOff>120369</xdr:colOff>
      <xdr:row>13</xdr:row>
      <xdr:rowOff>63368</xdr:rowOff>
    </xdr:to>
    <xdr:grpSp>
      <xdr:nvGrpSpPr>
        <xdr:cNvPr id="151" name="Grupo 150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GrpSpPr>
          <a:grpSpLocks noChangeAspect="1"/>
        </xdr:cNvGrpSpPr>
      </xdr:nvGrpSpPr>
      <xdr:grpSpPr>
        <a:xfrm>
          <a:off x="1559119" y="2376764"/>
          <a:ext cx="847250" cy="252751"/>
          <a:chOff x="17838246" y="10474592"/>
          <a:chExt cx="3142650" cy="1132224"/>
        </a:xfrm>
      </xdr:grpSpPr>
      <xdr:pic>
        <xdr:nvPicPr>
          <xdr:cNvPr id="152" name="38 Imagen">
            <a:extLst>
              <a:ext uri="{FF2B5EF4-FFF2-40B4-BE49-F238E27FC236}">
                <a16:creationId xmlns:a16="http://schemas.microsoft.com/office/drawing/2014/main" id="{00000000-0008-0000-0600-00009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0" b="96528" l="1120" r="9972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17838246" y="10474592"/>
            <a:ext cx="3142650" cy="1132224"/>
          </a:xfrm>
          <a:prstGeom prst="rect">
            <a:avLst/>
          </a:prstGeom>
        </xdr:spPr>
      </xdr:pic>
      <xdr:sp macro="" textlink="">
        <xdr:nvSpPr>
          <xdr:cNvPr id="153" name="Rectángulo 152">
            <a:extLst>
              <a:ext uri="{FF2B5EF4-FFF2-40B4-BE49-F238E27FC236}">
                <a16:creationId xmlns:a16="http://schemas.microsoft.com/office/drawing/2014/main" id="{00000000-0008-0000-0600-000099000000}"/>
              </a:ext>
            </a:extLst>
          </xdr:cNvPr>
          <xdr:cNvSpPr/>
        </xdr:nvSpPr>
        <xdr:spPr>
          <a:xfrm>
            <a:off x="20612692" y="10498359"/>
            <a:ext cx="111840" cy="168231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54" name="Rectángulo 153">
            <a:extLst>
              <a:ext uri="{FF2B5EF4-FFF2-40B4-BE49-F238E27FC236}">
                <a16:creationId xmlns:a16="http://schemas.microsoft.com/office/drawing/2014/main" id="{00000000-0008-0000-0600-00009A000000}"/>
              </a:ext>
            </a:extLst>
          </xdr:cNvPr>
          <xdr:cNvSpPr/>
        </xdr:nvSpPr>
        <xdr:spPr>
          <a:xfrm>
            <a:off x="19282014" y="10604662"/>
            <a:ext cx="173788" cy="68050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55" name="Rectángulo 154">
            <a:extLst>
              <a:ext uri="{FF2B5EF4-FFF2-40B4-BE49-F238E27FC236}">
                <a16:creationId xmlns:a16="http://schemas.microsoft.com/office/drawing/2014/main" id="{00000000-0008-0000-0600-00009B000000}"/>
              </a:ext>
            </a:extLst>
          </xdr:cNvPr>
          <xdr:cNvSpPr/>
        </xdr:nvSpPr>
        <xdr:spPr>
          <a:xfrm>
            <a:off x="18955239" y="10603982"/>
            <a:ext cx="175318" cy="68050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56" name="Rectángulo 155">
            <a:extLst>
              <a:ext uri="{FF2B5EF4-FFF2-40B4-BE49-F238E27FC236}">
                <a16:creationId xmlns:a16="http://schemas.microsoft.com/office/drawing/2014/main" id="{00000000-0008-0000-0600-00009C000000}"/>
              </a:ext>
            </a:extLst>
          </xdr:cNvPr>
          <xdr:cNvSpPr/>
        </xdr:nvSpPr>
        <xdr:spPr>
          <a:xfrm>
            <a:off x="18954519" y="11491243"/>
            <a:ext cx="175318" cy="67355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57" name="Rectángulo 156">
            <a:extLst>
              <a:ext uri="{FF2B5EF4-FFF2-40B4-BE49-F238E27FC236}">
                <a16:creationId xmlns:a16="http://schemas.microsoft.com/office/drawing/2014/main" id="{00000000-0008-0000-0600-00009D000000}"/>
              </a:ext>
            </a:extLst>
          </xdr:cNvPr>
          <xdr:cNvSpPr/>
        </xdr:nvSpPr>
        <xdr:spPr>
          <a:xfrm>
            <a:off x="19279853" y="11497366"/>
            <a:ext cx="173788" cy="67355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58" name="Rectángulo 157">
            <a:extLst>
              <a:ext uri="{FF2B5EF4-FFF2-40B4-BE49-F238E27FC236}">
                <a16:creationId xmlns:a16="http://schemas.microsoft.com/office/drawing/2014/main" id="{00000000-0008-0000-0600-00009E000000}"/>
              </a:ext>
            </a:extLst>
          </xdr:cNvPr>
          <xdr:cNvSpPr/>
        </xdr:nvSpPr>
        <xdr:spPr>
          <a:xfrm>
            <a:off x="20293666" y="11493284"/>
            <a:ext cx="173788" cy="67355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59" name="Rectángulo 158">
            <a:extLst>
              <a:ext uri="{FF2B5EF4-FFF2-40B4-BE49-F238E27FC236}">
                <a16:creationId xmlns:a16="http://schemas.microsoft.com/office/drawing/2014/main" id="{00000000-0008-0000-0600-00009F000000}"/>
              </a:ext>
            </a:extLst>
          </xdr:cNvPr>
          <xdr:cNvSpPr/>
        </xdr:nvSpPr>
        <xdr:spPr>
          <a:xfrm>
            <a:off x="20621071" y="11489202"/>
            <a:ext cx="173789" cy="67355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60" name="Rectángulo 159">
            <a:extLst>
              <a:ext uri="{FF2B5EF4-FFF2-40B4-BE49-F238E27FC236}">
                <a16:creationId xmlns:a16="http://schemas.microsoft.com/office/drawing/2014/main" id="{00000000-0008-0000-0600-0000A0000000}"/>
              </a:ext>
            </a:extLst>
          </xdr:cNvPr>
          <xdr:cNvSpPr/>
        </xdr:nvSpPr>
        <xdr:spPr>
          <a:xfrm>
            <a:off x="18801810" y="10673394"/>
            <a:ext cx="2117225" cy="812407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61" name="Rectángulo 160">
            <a:extLst>
              <a:ext uri="{FF2B5EF4-FFF2-40B4-BE49-F238E27FC236}">
                <a16:creationId xmlns:a16="http://schemas.microsoft.com/office/drawing/2014/main" id="{00000000-0008-0000-0600-0000A1000000}"/>
              </a:ext>
            </a:extLst>
          </xdr:cNvPr>
          <xdr:cNvSpPr/>
        </xdr:nvSpPr>
        <xdr:spPr>
          <a:xfrm>
            <a:off x="18110892" y="10617591"/>
            <a:ext cx="409613" cy="140847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62" name="Rectángulo 161">
            <a:extLst>
              <a:ext uri="{FF2B5EF4-FFF2-40B4-BE49-F238E27FC236}">
                <a16:creationId xmlns:a16="http://schemas.microsoft.com/office/drawing/2014/main" id="{00000000-0008-0000-0600-0000A2000000}"/>
              </a:ext>
            </a:extLst>
          </xdr:cNvPr>
          <xdr:cNvSpPr/>
        </xdr:nvSpPr>
        <xdr:spPr>
          <a:xfrm>
            <a:off x="17893885" y="10887042"/>
            <a:ext cx="62669" cy="380348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63" name="Rectángulo 162">
            <a:extLst>
              <a:ext uri="{FF2B5EF4-FFF2-40B4-BE49-F238E27FC236}">
                <a16:creationId xmlns:a16="http://schemas.microsoft.com/office/drawing/2014/main" id="{00000000-0008-0000-0600-0000A3000000}"/>
              </a:ext>
            </a:extLst>
          </xdr:cNvPr>
          <xdr:cNvSpPr/>
        </xdr:nvSpPr>
        <xdr:spPr>
          <a:xfrm>
            <a:off x="17967359" y="10761840"/>
            <a:ext cx="704604" cy="617809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64" name="CuadroTexto 163">
            <a:extLst>
              <a:ext uri="{FF2B5EF4-FFF2-40B4-BE49-F238E27FC236}">
                <a16:creationId xmlns:a16="http://schemas.microsoft.com/office/drawing/2014/main" id="{00000000-0008-0000-0600-0000A4000000}"/>
              </a:ext>
            </a:extLst>
          </xdr:cNvPr>
          <xdr:cNvSpPr txBox="1"/>
        </xdr:nvSpPr>
        <xdr:spPr>
          <a:xfrm>
            <a:off x="19101421" y="11258680"/>
            <a:ext cx="200179" cy="20959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/>
          <a:lstStyle/>
          <a:p>
            <a:r>
              <a:rPr lang="es-ES" sz="1000">
                <a:latin typeface="Arial" panose="020B0604020202020204" pitchFamily="34" charset="0"/>
                <a:cs typeface="Arial" panose="020B0604020202020204" pitchFamily="34" charset="0"/>
              </a:rPr>
              <a:t>LT</a:t>
            </a:r>
          </a:p>
        </xdr:txBody>
      </xdr:sp>
      <xdr:sp macro="" textlink="">
        <xdr:nvSpPr>
          <xdr:cNvPr id="165" name="CuadroTexto 164">
            <a:extLst>
              <a:ext uri="{FF2B5EF4-FFF2-40B4-BE49-F238E27FC236}">
                <a16:creationId xmlns:a16="http://schemas.microsoft.com/office/drawing/2014/main" id="{00000000-0008-0000-0600-0000A5000000}"/>
              </a:ext>
            </a:extLst>
          </xdr:cNvPr>
          <xdr:cNvSpPr txBox="1"/>
        </xdr:nvSpPr>
        <xdr:spPr>
          <a:xfrm>
            <a:off x="20404488" y="11262992"/>
            <a:ext cx="258216" cy="20528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/>
          <a:lstStyle/>
          <a:p>
            <a:r>
              <a:rPr lang="es-ES" sz="1000">
                <a:latin typeface="Arial" panose="020B0604020202020204" pitchFamily="34" charset="0"/>
                <a:cs typeface="Arial" panose="020B0604020202020204" pitchFamily="34" charset="0"/>
              </a:rPr>
              <a:t>HT</a:t>
            </a:r>
          </a:p>
        </xdr:txBody>
      </xdr:sp>
      <xdr:sp macro="" textlink="">
        <xdr:nvSpPr>
          <xdr:cNvPr id="166" name="CuadroTexto 165">
            <a:extLst>
              <a:ext uri="{FF2B5EF4-FFF2-40B4-BE49-F238E27FC236}">
                <a16:creationId xmlns:a16="http://schemas.microsoft.com/office/drawing/2014/main" id="{00000000-0008-0000-0600-0000A6000000}"/>
              </a:ext>
            </a:extLst>
          </xdr:cNvPr>
          <xdr:cNvSpPr txBox="1"/>
        </xdr:nvSpPr>
        <xdr:spPr>
          <a:xfrm>
            <a:off x="19133017" y="10694653"/>
            <a:ext cx="190499" cy="13761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/>
          <a:lstStyle/>
          <a:p>
            <a:r>
              <a:rPr lang="es-ES" sz="1000">
                <a:latin typeface="Arial" panose="020B0604020202020204" pitchFamily="34" charset="0"/>
                <a:cs typeface="Arial" panose="020B0604020202020204" pitchFamily="34" charset="0"/>
              </a:rPr>
              <a:t>LO</a:t>
            </a:r>
          </a:p>
        </xdr:txBody>
      </xdr:sp>
    </xdr:grpSp>
    <xdr:clientData/>
  </xdr:twoCellAnchor>
  <xdr:twoCellAnchor>
    <xdr:from>
      <xdr:col>3</xdr:col>
      <xdr:colOff>664301</xdr:colOff>
      <xdr:row>16</xdr:row>
      <xdr:rowOff>40000</xdr:rowOff>
    </xdr:from>
    <xdr:to>
      <xdr:col>5</xdr:col>
      <xdr:colOff>3498</xdr:colOff>
      <xdr:row>19</xdr:row>
      <xdr:rowOff>154332</xdr:rowOff>
    </xdr:to>
    <xdr:cxnSp macro="">
      <xdr:nvCxnSpPr>
        <xdr:cNvPr id="196" name="Conector: angular 195">
          <a:extLst>
            <a:ext uri="{FF2B5EF4-FFF2-40B4-BE49-F238E27FC236}">
              <a16:creationId xmlns:a16="http://schemas.microsoft.com/office/drawing/2014/main" id="{00000000-0008-0000-0600-0000C4000000}"/>
            </a:ext>
          </a:extLst>
        </xdr:cNvPr>
        <xdr:cNvCxnSpPr>
          <a:endCxn id="197" idx="0"/>
        </xdr:cNvCxnSpPr>
      </xdr:nvCxnSpPr>
      <xdr:spPr>
        <a:xfrm rot="10800000" flipV="1">
          <a:off x="2950301" y="3173725"/>
          <a:ext cx="863197" cy="685832"/>
        </a:xfrm>
        <a:prstGeom prst="bentConnector2">
          <a:avLst/>
        </a:prstGeom>
        <a:ln w="50800">
          <a:solidFill>
            <a:srgbClr val="00B0F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366575</xdr:colOff>
      <xdr:row>19</xdr:row>
      <xdr:rowOff>154332</xdr:rowOff>
    </xdr:from>
    <xdr:to>
      <xdr:col>4</xdr:col>
      <xdr:colOff>200024</xdr:colOff>
      <xdr:row>22</xdr:row>
      <xdr:rowOff>184160</xdr:rowOff>
    </xdr:to>
    <xdr:pic>
      <xdr:nvPicPr>
        <xdr:cNvPr id="197" name="26 Imagen">
          <a:extLst>
            <a:ext uri="{FF2B5EF4-FFF2-40B4-BE49-F238E27FC236}">
              <a16:creationId xmlns:a16="http://schemas.microsoft.com/office/drawing/2014/main" id="{00000000-0008-0000-06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52575" y="3859557"/>
          <a:ext cx="595449" cy="601328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22</xdr:row>
      <xdr:rowOff>26862</xdr:rowOff>
    </xdr:from>
    <xdr:to>
      <xdr:col>3</xdr:col>
      <xdr:colOff>416496</xdr:colOff>
      <xdr:row>22</xdr:row>
      <xdr:rowOff>28575</xdr:rowOff>
    </xdr:to>
    <xdr:cxnSp macro="">
      <xdr:nvCxnSpPr>
        <xdr:cNvPr id="198" name="Conector: angular 197">
          <a:extLst>
            <a:ext uri="{FF2B5EF4-FFF2-40B4-BE49-F238E27FC236}">
              <a16:creationId xmlns:a16="http://schemas.microsoft.com/office/drawing/2014/main" id="{00000000-0008-0000-0600-0000C6000000}"/>
            </a:ext>
          </a:extLst>
        </xdr:cNvPr>
        <xdr:cNvCxnSpPr/>
      </xdr:nvCxnSpPr>
      <xdr:spPr>
        <a:xfrm flipV="1">
          <a:off x="2028825" y="4303587"/>
          <a:ext cx="673671" cy="1713"/>
        </a:xfrm>
        <a:prstGeom prst="bentConnector3">
          <a:avLst>
            <a:gd name="adj1" fmla="val 50000"/>
          </a:avLst>
        </a:prstGeom>
        <a:ln w="50800">
          <a:solidFill>
            <a:srgbClr val="00B0F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200024</xdr:colOff>
      <xdr:row>16</xdr:row>
      <xdr:rowOff>135250</xdr:rowOff>
    </xdr:from>
    <xdr:to>
      <xdr:col>5</xdr:col>
      <xdr:colOff>22545</xdr:colOff>
      <xdr:row>21</xdr:row>
      <xdr:rowOff>73996</xdr:rowOff>
    </xdr:to>
    <xdr:cxnSp macro="">
      <xdr:nvCxnSpPr>
        <xdr:cNvPr id="199" name="Conector: angular 198"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CxnSpPr>
          <a:stCxn id="197" idx="3"/>
          <a:endCxn id="101" idx="1"/>
        </xdr:cNvCxnSpPr>
      </xdr:nvCxnSpPr>
      <xdr:spPr>
        <a:xfrm flipV="1">
          <a:off x="3248024" y="3268975"/>
          <a:ext cx="584521" cy="891246"/>
        </a:xfrm>
        <a:prstGeom prst="bentConnector3">
          <a:avLst>
            <a:gd name="adj1" fmla="val 50000"/>
          </a:avLst>
        </a:prstGeom>
        <a:ln w="50800">
          <a:solidFill>
            <a:srgbClr val="00B0F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94129</xdr:colOff>
      <xdr:row>22</xdr:row>
      <xdr:rowOff>188817</xdr:rowOff>
    </xdr:from>
    <xdr:to>
      <xdr:col>4</xdr:col>
      <xdr:colOff>521073</xdr:colOff>
      <xdr:row>24</xdr:row>
      <xdr:rowOff>164453</xdr:rowOff>
    </xdr:to>
    <xdr:sp macro="" textlink="">
      <xdr:nvSpPr>
        <xdr:cNvPr id="211" name="CuadroTexto 210">
          <a:extLst>
            <a:ext uri="{FF2B5EF4-FFF2-40B4-BE49-F238E27FC236}">
              <a16:creationId xmlns:a16="http://schemas.microsoft.com/office/drawing/2014/main" id="{00000000-0008-0000-0600-0000D3000000}"/>
            </a:ext>
          </a:extLst>
        </xdr:cNvPr>
        <xdr:cNvSpPr txBox="1"/>
      </xdr:nvSpPr>
      <xdr:spPr>
        <a:xfrm>
          <a:off x="2380129" y="4465542"/>
          <a:ext cx="1188944" cy="356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TORRES REFRIGERACIÓN</a:t>
          </a:r>
          <a:endParaRPr lang="es-ES" sz="8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543866</xdr:colOff>
      <xdr:row>8</xdr:row>
      <xdr:rowOff>151275</xdr:rowOff>
    </xdr:from>
    <xdr:to>
      <xdr:col>13</xdr:col>
      <xdr:colOff>629116</xdr:colOff>
      <xdr:row>10</xdr:row>
      <xdr:rowOff>23026</xdr:rowOff>
    </xdr:to>
    <xdr:grpSp>
      <xdr:nvGrpSpPr>
        <xdr:cNvPr id="74" name="Grup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GrpSpPr>
          <a:grpSpLocks noChangeAspect="1"/>
        </xdr:cNvGrpSpPr>
      </xdr:nvGrpSpPr>
      <xdr:grpSpPr>
        <a:xfrm>
          <a:off x="8141454" y="1764922"/>
          <a:ext cx="847250" cy="252751"/>
          <a:chOff x="17838246" y="10474592"/>
          <a:chExt cx="3142650" cy="1132224"/>
        </a:xfrm>
      </xdr:grpSpPr>
      <xdr:sp macro="" textlink="">
        <xdr:nvSpPr>
          <xdr:cNvPr id="76" name="Rectángulo 75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SpPr/>
        </xdr:nvSpPr>
        <xdr:spPr>
          <a:xfrm>
            <a:off x="20612692" y="10498359"/>
            <a:ext cx="111840" cy="168231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77" name="Rectángulo 76">
            <a:extLst>
              <a:ext uri="{FF2B5EF4-FFF2-40B4-BE49-F238E27FC236}">
                <a16:creationId xmlns:a16="http://schemas.microsoft.com/office/drawing/2014/main" id="{00000000-0008-0000-0600-00004D000000}"/>
              </a:ext>
            </a:extLst>
          </xdr:cNvPr>
          <xdr:cNvSpPr/>
        </xdr:nvSpPr>
        <xdr:spPr>
          <a:xfrm>
            <a:off x="19282014" y="10604662"/>
            <a:ext cx="173788" cy="68050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78" name="Rectángulo 77">
            <a:extLst>
              <a:ext uri="{FF2B5EF4-FFF2-40B4-BE49-F238E27FC236}">
                <a16:creationId xmlns:a16="http://schemas.microsoft.com/office/drawing/2014/main" id="{00000000-0008-0000-0600-00004E000000}"/>
              </a:ext>
            </a:extLst>
          </xdr:cNvPr>
          <xdr:cNvSpPr/>
        </xdr:nvSpPr>
        <xdr:spPr>
          <a:xfrm>
            <a:off x="18955239" y="10603982"/>
            <a:ext cx="175318" cy="68050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79" name="Rectángulo 78">
            <a:extLst>
              <a:ext uri="{FF2B5EF4-FFF2-40B4-BE49-F238E27FC236}">
                <a16:creationId xmlns:a16="http://schemas.microsoft.com/office/drawing/2014/main" id="{00000000-0008-0000-0600-00004F000000}"/>
              </a:ext>
            </a:extLst>
          </xdr:cNvPr>
          <xdr:cNvSpPr/>
        </xdr:nvSpPr>
        <xdr:spPr>
          <a:xfrm>
            <a:off x="18954519" y="11491243"/>
            <a:ext cx="175318" cy="67355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80" name="Rectángulo 79">
            <a:extLst>
              <a:ext uri="{FF2B5EF4-FFF2-40B4-BE49-F238E27FC236}">
                <a16:creationId xmlns:a16="http://schemas.microsoft.com/office/drawing/2014/main" id="{00000000-0008-0000-0600-000050000000}"/>
              </a:ext>
            </a:extLst>
          </xdr:cNvPr>
          <xdr:cNvSpPr/>
        </xdr:nvSpPr>
        <xdr:spPr>
          <a:xfrm>
            <a:off x="19279853" y="11497366"/>
            <a:ext cx="173788" cy="67355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81" name="Rectángulo 80">
            <a:extLst>
              <a:ext uri="{FF2B5EF4-FFF2-40B4-BE49-F238E27FC236}">
                <a16:creationId xmlns:a16="http://schemas.microsoft.com/office/drawing/2014/main" id="{00000000-0008-0000-0600-000051000000}"/>
              </a:ext>
            </a:extLst>
          </xdr:cNvPr>
          <xdr:cNvSpPr/>
        </xdr:nvSpPr>
        <xdr:spPr>
          <a:xfrm>
            <a:off x="20293666" y="11493284"/>
            <a:ext cx="173788" cy="67355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82" name="Rectángulo 81">
            <a:extLst>
              <a:ext uri="{FF2B5EF4-FFF2-40B4-BE49-F238E27FC236}">
                <a16:creationId xmlns:a16="http://schemas.microsoft.com/office/drawing/2014/main" id="{00000000-0008-0000-0600-000052000000}"/>
              </a:ext>
            </a:extLst>
          </xdr:cNvPr>
          <xdr:cNvSpPr/>
        </xdr:nvSpPr>
        <xdr:spPr>
          <a:xfrm>
            <a:off x="20621071" y="11489202"/>
            <a:ext cx="173789" cy="67355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83" name="Rectángulo 82">
            <a:extLst>
              <a:ext uri="{FF2B5EF4-FFF2-40B4-BE49-F238E27FC236}">
                <a16:creationId xmlns:a16="http://schemas.microsoft.com/office/drawing/2014/main" id="{00000000-0008-0000-0600-000053000000}"/>
              </a:ext>
            </a:extLst>
          </xdr:cNvPr>
          <xdr:cNvSpPr/>
        </xdr:nvSpPr>
        <xdr:spPr>
          <a:xfrm>
            <a:off x="18801810" y="10673394"/>
            <a:ext cx="2117225" cy="812407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84" name="Rectángulo 83">
            <a:extLst>
              <a:ext uri="{FF2B5EF4-FFF2-40B4-BE49-F238E27FC236}">
                <a16:creationId xmlns:a16="http://schemas.microsoft.com/office/drawing/2014/main" id="{00000000-0008-0000-0600-000054000000}"/>
              </a:ext>
            </a:extLst>
          </xdr:cNvPr>
          <xdr:cNvSpPr/>
        </xdr:nvSpPr>
        <xdr:spPr>
          <a:xfrm>
            <a:off x="18110892" y="10617591"/>
            <a:ext cx="409613" cy="140847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85" name="Rectángulo 84">
            <a:extLst>
              <a:ext uri="{FF2B5EF4-FFF2-40B4-BE49-F238E27FC236}">
                <a16:creationId xmlns:a16="http://schemas.microsoft.com/office/drawing/2014/main" id="{00000000-0008-0000-0600-000055000000}"/>
              </a:ext>
            </a:extLst>
          </xdr:cNvPr>
          <xdr:cNvSpPr/>
        </xdr:nvSpPr>
        <xdr:spPr>
          <a:xfrm>
            <a:off x="17893885" y="10887042"/>
            <a:ext cx="62669" cy="380348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86" name="Rectángulo 85">
            <a:extLst>
              <a:ext uri="{FF2B5EF4-FFF2-40B4-BE49-F238E27FC236}">
                <a16:creationId xmlns:a16="http://schemas.microsoft.com/office/drawing/2014/main" id="{00000000-0008-0000-0600-000056000000}"/>
              </a:ext>
            </a:extLst>
          </xdr:cNvPr>
          <xdr:cNvSpPr/>
        </xdr:nvSpPr>
        <xdr:spPr>
          <a:xfrm>
            <a:off x="17967359" y="10761840"/>
            <a:ext cx="704604" cy="617809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87" name="CuadroTexto 86">
            <a:extLst>
              <a:ext uri="{FF2B5EF4-FFF2-40B4-BE49-F238E27FC236}">
                <a16:creationId xmlns:a16="http://schemas.microsoft.com/office/drawing/2014/main" id="{00000000-0008-0000-0600-000057000000}"/>
              </a:ext>
            </a:extLst>
          </xdr:cNvPr>
          <xdr:cNvSpPr txBox="1"/>
        </xdr:nvSpPr>
        <xdr:spPr>
          <a:xfrm>
            <a:off x="19101421" y="11258680"/>
            <a:ext cx="200179" cy="20959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/>
          <a:lstStyle/>
          <a:p>
            <a:r>
              <a:rPr lang="es-ES" sz="1000">
                <a:latin typeface="Arial" panose="020B0604020202020204" pitchFamily="34" charset="0"/>
                <a:cs typeface="Arial" panose="020B0604020202020204" pitchFamily="34" charset="0"/>
              </a:rPr>
              <a:t>LT</a:t>
            </a:r>
          </a:p>
        </xdr:txBody>
      </xdr:sp>
      <xdr:sp macro="" textlink="">
        <xdr:nvSpPr>
          <xdr:cNvPr id="88" name="CuadroTexto 87">
            <a:extLst>
              <a:ext uri="{FF2B5EF4-FFF2-40B4-BE49-F238E27FC236}">
                <a16:creationId xmlns:a16="http://schemas.microsoft.com/office/drawing/2014/main" id="{00000000-0008-0000-0600-000058000000}"/>
              </a:ext>
            </a:extLst>
          </xdr:cNvPr>
          <xdr:cNvSpPr txBox="1"/>
        </xdr:nvSpPr>
        <xdr:spPr>
          <a:xfrm>
            <a:off x="20404488" y="11262992"/>
            <a:ext cx="258216" cy="20528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/>
          <a:lstStyle/>
          <a:p>
            <a:r>
              <a:rPr lang="es-ES" sz="1000">
                <a:latin typeface="Arial" panose="020B0604020202020204" pitchFamily="34" charset="0"/>
                <a:cs typeface="Arial" panose="020B0604020202020204" pitchFamily="34" charset="0"/>
              </a:rPr>
              <a:t>HT</a:t>
            </a:r>
          </a:p>
        </xdr:txBody>
      </xdr:sp>
      <xdr:sp macro="" textlink="">
        <xdr:nvSpPr>
          <xdr:cNvPr id="89" name="CuadroTexto 88">
            <a:extLst>
              <a:ext uri="{FF2B5EF4-FFF2-40B4-BE49-F238E27FC236}">
                <a16:creationId xmlns:a16="http://schemas.microsoft.com/office/drawing/2014/main" id="{00000000-0008-0000-0600-000059000000}"/>
              </a:ext>
            </a:extLst>
          </xdr:cNvPr>
          <xdr:cNvSpPr txBox="1"/>
        </xdr:nvSpPr>
        <xdr:spPr>
          <a:xfrm>
            <a:off x="19133017" y="10694653"/>
            <a:ext cx="190499" cy="13761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/>
          <a:lstStyle/>
          <a:p>
            <a:r>
              <a:rPr lang="es-ES" sz="1000">
                <a:latin typeface="Arial" panose="020B0604020202020204" pitchFamily="34" charset="0"/>
                <a:cs typeface="Arial" panose="020B0604020202020204" pitchFamily="34" charset="0"/>
              </a:rPr>
              <a:t>LO</a:t>
            </a:r>
          </a:p>
        </xdr:txBody>
      </xdr:sp>
      <xdr:pic>
        <xdr:nvPicPr>
          <xdr:cNvPr id="75" name="38 Imagen">
            <a:extLst>
              <a:ext uri="{FF2B5EF4-FFF2-40B4-BE49-F238E27FC236}">
                <a16:creationId xmlns:a16="http://schemas.microsoft.com/office/drawing/2014/main" id="{00000000-0008-0000-0600-00004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0" b="96528" l="1120" r="9972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17838246" y="10474592"/>
            <a:ext cx="3142650" cy="1132224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194422</xdr:colOff>
      <xdr:row>12</xdr:row>
      <xdr:rowOff>150719</xdr:rowOff>
    </xdr:from>
    <xdr:to>
      <xdr:col>19</xdr:col>
      <xdr:colOff>531998</xdr:colOff>
      <xdr:row>14</xdr:row>
      <xdr:rowOff>105193</xdr:rowOff>
    </xdr:to>
    <xdr:grpSp>
      <xdr:nvGrpSpPr>
        <xdr:cNvPr id="274" name="Grupo 273">
          <a:extLst>
            <a:ext uri="{FF2B5EF4-FFF2-40B4-BE49-F238E27FC236}">
              <a16:creationId xmlns:a16="http://schemas.microsoft.com/office/drawing/2014/main" id="{00000000-0008-0000-0600-000012010000}"/>
            </a:ext>
          </a:extLst>
        </xdr:cNvPr>
        <xdr:cNvGrpSpPr/>
      </xdr:nvGrpSpPr>
      <xdr:grpSpPr>
        <a:xfrm>
          <a:off x="13126010" y="2526366"/>
          <a:ext cx="337576" cy="335474"/>
          <a:chOff x="9109517" y="6801776"/>
          <a:chExt cx="820738" cy="848716"/>
        </a:xfrm>
      </xdr:grpSpPr>
      <xdr:pic>
        <xdr:nvPicPr>
          <xdr:cNvPr id="275" name="28 Imagen">
            <a:extLst>
              <a:ext uri="{FF2B5EF4-FFF2-40B4-BE49-F238E27FC236}">
                <a16:creationId xmlns:a16="http://schemas.microsoft.com/office/drawing/2014/main" id="{00000000-0008-0000-0600-000013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109517" y="6801776"/>
            <a:ext cx="820738" cy="848716"/>
          </a:xfrm>
          <a:prstGeom prst="rect">
            <a:avLst/>
          </a:prstGeom>
        </xdr:spPr>
      </xdr:pic>
      <xdr:sp macro="" textlink="">
        <xdr:nvSpPr>
          <xdr:cNvPr id="276" name="Rectángulo 275">
            <a:extLst>
              <a:ext uri="{FF2B5EF4-FFF2-40B4-BE49-F238E27FC236}">
                <a16:creationId xmlns:a16="http://schemas.microsoft.com/office/drawing/2014/main" id="{00000000-0008-0000-0600-000014010000}"/>
              </a:ext>
            </a:extLst>
          </xdr:cNvPr>
          <xdr:cNvSpPr/>
        </xdr:nvSpPr>
        <xdr:spPr>
          <a:xfrm>
            <a:off x="9833859" y="7030149"/>
            <a:ext cx="50367" cy="10577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/>
          </a:p>
        </xdr:txBody>
      </xdr:sp>
      <xdr:sp macro="" textlink="">
        <xdr:nvSpPr>
          <xdr:cNvPr id="277" name="Rectángulo 276">
            <a:extLst>
              <a:ext uri="{FF2B5EF4-FFF2-40B4-BE49-F238E27FC236}">
                <a16:creationId xmlns:a16="http://schemas.microsoft.com/office/drawing/2014/main" id="{00000000-0008-0000-0600-000015010000}"/>
              </a:ext>
            </a:extLst>
          </xdr:cNvPr>
          <xdr:cNvSpPr/>
        </xdr:nvSpPr>
        <xdr:spPr>
          <a:xfrm>
            <a:off x="9831650" y="7311408"/>
            <a:ext cx="50367" cy="107418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/>
          </a:p>
        </xdr:txBody>
      </xdr:sp>
      <xdr:sp macro="" textlink="">
        <xdr:nvSpPr>
          <xdr:cNvPr id="278" name="Rectángulo 277">
            <a:extLst>
              <a:ext uri="{FF2B5EF4-FFF2-40B4-BE49-F238E27FC236}">
                <a16:creationId xmlns:a16="http://schemas.microsoft.com/office/drawing/2014/main" id="{00000000-0008-0000-0600-000016010000}"/>
              </a:ext>
            </a:extLst>
          </xdr:cNvPr>
          <xdr:cNvSpPr/>
        </xdr:nvSpPr>
        <xdr:spPr>
          <a:xfrm>
            <a:off x="9139486" y="7311410"/>
            <a:ext cx="52282" cy="107418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/>
          </a:p>
        </xdr:txBody>
      </xdr:sp>
      <xdr:sp macro="" textlink="">
        <xdr:nvSpPr>
          <xdr:cNvPr id="279" name="Rectángulo 278">
            <a:extLst>
              <a:ext uri="{FF2B5EF4-FFF2-40B4-BE49-F238E27FC236}">
                <a16:creationId xmlns:a16="http://schemas.microsoft.com/office/drawing/2014/main" id="{00000000-0008-0000-0600-000017010000}"/>
              </a:ext>
            </a:extLst>
          </xdr:cNvPr>
          <xdr:cNvSpPr/>
        </xdr:nvSpPr>
        <xdr:spPr>
          <a:xfrm>
            <a:off x="9135827" y="7027759"/>
            <a:ext cx="52282" cy="10577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/>
          </a:p>
        </xdr:txBody>
      </xdr:sp>
    </xdr:grpSp>
    <xdr:clientData/>
  </xdr:twoCellAnchor>
  <xdr:oneCellAnchor>
    <xdr:from>
      <xdr:col>20</xdr:col>
      <xdr:colOff>590550</xdr:colOff>
      <xdr:row>12</xdr:row>
      <xdr:rowOff>186424</xdr:rowOff>
    </xdr:from>
    <xdr:ext cx="485775" cy="265329"/>
    <xdr:sp macro="" textlink="">
      <xdr:nvSpPr>
        <xdr:cNvPr id="290" name="CuadroTexto 289">
          <a:extLst>
            <a:ext uri="{FF2B5EF4-FFF2-40B4-BE49-F238E27FC236}">
              <a16:creationId xmlns:a16="http://schemas.microsoft.com/office/drawing/2014/main" id="{00000000-0008-0000-0600-000022010000}"/>
            </a:ext>
          </a:extLst>
        </xdr:cNvPr>
        <xdr:cNvSpPr txBox="1"/>
      </xdr:nvSpPr>
      <xdr:spPr>
        <a:xfrm>
          <a:off x="14211300" y="2558149"/>
          <a:ext cx="485775" cy="2653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spAutoFit/>
        </a:bodyPr>
        <a:lstStyle/>
        <a:p>
          <a:pPr algn="ctr"/>
          <a:r>
            <a:rPr lang="es-ES" sz="9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Agua de mar</a:t>
          </a:r>
        </a:p>
      </xdr:txBody>
    </xdr:sp>
    <xdr:clientData/>
  </xdr:oneCellAnchor>
  <xdr:twoCellAnchor>
    <xdr:from>
      <xdr:col>18</xdr:col>
      <xdr:colOff>428626</xdr:colOff>
      <xdr:row>11</xdr:row>
      <xdr:rowOff>76200</xdr:rowOff>
    </xdr:from>
    <xdr:to>
      <xdr:col>18</xdr:col>
      <xdr:colOff>428629</xdr:colOff>
      <xdr:row>13</xdr:row>
      <xdr:rowOff>104775</xdr:rowOff>
    </xdr:to>
    <xdr:cxnSp macro="">
      <xdr:nvCxnSpPr>
        <xdr:cNvPr id="309" name="Conector: angular 308">
          <a:extLst>
            <a:ext uri="{FF2B5EF4-FFF2-40B4-BE49-F238E27FC236}">
              <a16:creationId xmlns:a16="http://schemas.microsoft.com/office/drawing/2014/main" id="{00000000-0008-0000-0600-000035010000}"/>
            </a:ext>
          </a:extLst>
        </xdr:cNvPr>
        <xdr:cNvCxnSpPr/>
      </xdr:nvCxnSpPr>
      <xdr:spPr>
        <a:xfrm rot="16200000" flipV="1">
          <a:off x="13063540" y="2462211"/>
          <a:ext cx="409575" cy="3"/>
        </a:xfrm>
        <a:prstGeom prst="bentConnector3">
          <a:avLst>
            <a:gd name="adj1" fmla="val 50000"/>
          </a:avLst>
        </a:prstGeom>
        <a:ln w="50800">
          <a:solidFill>
            <a:srgbClr val="00B0F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116674</xdr:colOff>
      <xdr:row>15</xdr:row>
      <xdr:rowOff>86845</xdr:rowOff>
    </xdr:from>
    <xdr:ext cx="832879" cy="369115"/>
    <xdr:pic>
      <xdr:nvPicPr>
        <xdr:cNvPr id="27" name="25 Imagen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70374" y="3030070"/>
          <a:ext cx="832879" cy="369115"/>
        </a:xfrm>
        <a:prstGeom prst="rect">
          <a:avLst/>
        </a:prstGeom>
      </xdr:spPr>
    </xdr:pic>
    <xdr:clientData/>
  </xdr:oneCellAnchor>
  <xdr:twoCellAnchor>
    <xdr:from>
      <xdr:col>12</xdr:col>
      <xdr:colOff>657225</xdr:colOff>
      <xdr:row>22</xdr:row>
      <xdr:rowOff>47625</xdr:rowOff>
    </xdr:from>
    <xdr:to>
      <xdr:col>13</xdr:col>
      <xdr:colOff>333375</xdr:colOff>
      <xdr:row>22</xdr:row>
      <xdr:rowOff>47626</xdr:rowOff>
    </xdr:to>
    <xdr:cxnSp macro="">
      <xdr:nvCxnSpPr>
        <xdr:cNvPr id="331" name="Conector: angular 330">
          <a:extLst>
            <a:ext uri="{FF2B5EF4-FFF2-40B4-BE49-F238E27FC236}">
              <a16:creationId xmlns:a16="http://schemas.microsoft.com/office/drawing/2014/main" id="{00000000-0008-0000-0600-00004B010000}"/>
            </a:ext>
          </a:extLst>
        </xdr:cNvPr>
        <xdr:cNvCxnSpPr/>
      </xdr:nvCxnSpPr>
      <xdr:spPr>
        <a:xfrm>
          <a:off x="8924925" y="4324350"/>
          <a:ext cx="438150" cy="1"/>
        </a:xfrm>
        <a:prstGeom prst="bentConnector3">
          <a:avLst>
            <a:gd name="adj1" fmla="val 50000"/>
          </a:avLst>
        </a:prstGeom>
        <a:ln w="508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297516</xdr:colOff>
      <xdr:row>20</xdr:row>
      <xdr:rowOff>112059</xdr:rowOff>
    </xdr:from>
    <xdr:to>
      <xdr:col>14</xdr:col>
      <xdr:colOff>521634</xdr:colOff>
      <xdr:row>23</xdr:row>
      <xdr:rowOff>179295</xdr:rowOff>
    </xdr:to>
    <xdr:pic>
      <xdr:nvPicPr>
        <xdr:cNvPr id="261" name="Imagen 260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8871" t="34197" r="557" b="4890"/>
        <a:stretch/>
      </xdr:blipFill>
      <xdr:spPr>
        <a:xfrm>
          <a:off x="9327216" y="4007784"/>
          <a:ext cx="986118" cy="638736"/>
        </a:xfrm>
        <a:prstGeom prst="rect">
          <a:avLst/>
        </a:prstGeom>
      </xdr:spPr>
    </xdr:pic>
    <xdr:clientData/>
  </xdr:twoCellAnchor>
  <xdr:twoCellAnchor>
    <xdr:from>
      <xdr:col>14</xdr:col>
      <xdr:colOff>494654</xdr:colOff>
      <xdr:row>21</xdr:row>
      <xdr:rowOff>57150</xdr:rowOff>
    </xdr:from>
    <xdr:to>
      <xdr:col>15</xdr:col>
      <xdr:colOff>209551</xdr:colOff>
      <xdr:row>21</xdr:row>
      <xdr:rowOff>57662</xdr:rowOff>
    </xdr:to>
    <xdr:cxnSp macro="">
      <xdr:nvCxnSpPr>
        <xdr:cNvPr id="341" name="Conector: angular 340">
          <a:extLst>
            <a:ext uri="{FF2B5EF4-FFF2-40B4-BE49-F238E27FC236}">
              <a16:creationId xmlns:a16="http://schemas.microsoft.com/office/drawing/2014/main" id="{00000000-0008-0000-0600-000055010000}"/>
            </a:ext>
          </a:extLst>
        </xdr:cNvPr>
        <xdr:cNvCxnSpPr/>
      </xdr:nvCxnSpPr>
      <xdr:spPr>
        <a:xfrm rot="10800000" flipV="1">
          <a:off x="10286354" y="4143375"/>
          <a:ext cx="476897" cy="512"/>
        </a:xfrm>
        <a:prstGeom prst="bentConnector3">
          <a:avLst>
            <a:gd name="adj1" fmla="val 50000"/>
          </a:avLst>
        </a:prstGeom>
        <a:ln w="50800">
          <a:solidFill>
            <a:srgbClr val="00B0F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257175</xdr:colOff>
      <xdr:row>20</xdr:row>
      <xdr:rowOff>176899</xdr:rowOff>
    </xdr:from>
    <xdr:ext cx="485775" cy="265329"/>
    <xdr:sp macro="" textlink="">
      <xdr:nvSpPr>
        <xdr:cNvPr id="342" name="CuadroTexto 341">
          <a:extLst>
            <a:ext uri="{FF2B5EF4-FFF2-40B4-BE49-F238E27FC236}">
              <a16:creationId xmlns:a16="http://schemas.microsoft.com/office/drawing/2014/main" id="{00000000-0008-0000-0600-000056010000}"/>
            </a:ext>
          </a:extLst>
        </xdr:cNvPr>
        <xdr:cNvSpPr txBox="1"/>
      </xdr:nvSpPr>
      <xdr:spPr>
        <a:xfrm>
          <a:off x="10134600" y="4072624"/>
          <a:ext cx="485775" cy="2653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spAutoFit/>
        </a:bodyPr>
        <a:lstStyle/>
        <a:p>
          <a:pPr algn="ctr"/>
          <a:r>
            <a:rPr lang="es-ES" sz="9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Agua de mar</a:t>
          </a:r>
        </a:p>
      </xdr:txBody>
    </xdr:sp>
    <xdr:clientData/>
  </xdr:oneCellAnchor>
  <xdr:twoCellAnchor>
    <xdr:from>
      <xdr:col>14</xdr:col>
      <xdr:colOff>178735</xdr:colOff>
      <xdr:row>29</xdr:row>
      <xdr:rowOff>59390</xdr:rowOff>
    </xdr:from>
    <xdr:to>
      <xdr:col>15</xdr:col>
      <xdr:colOff>525488</xdr:colOff>
      <xdr:row>30</xdr:row>
      <xdr:rowOff>161239</xdr:rowOff>
    </xdr:to>
    <xdr:sp macro="" textlink="">
      <xdr:nvSpPr>
        <xdr:cNvPr id="348" name="CuadroTexto 347">
          <a:extLst>
            <a:ext uri="{FF2B5EF4-FFF2-40B4-BE49-F238E27FC236}">
              <a16:creationId xmlns:a16="http://schemas.microsoft.com/office/drawing/2014/main" id="{00000000-0008-0000-0600-00005C010000}"/>
            </a:ext>
          </a:extLst>
        </xdr:cNvPr>
        <xdr:cNvSpPr txBox="1"/>
      </xdr:nvSpPr>
      <xdr:spPr>
        <a:xfrm>
          <a:off x="9970435" y="5669615"/>
          <a:ext cx="1108753" cy="292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1000" b="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Agua Potable</a:t>
          </a:r>
        </a:p>
      </xdr:txBody>
    </xdr:sp>
    <xdr:clientData/>
  </xdr:twoCellAnchor>
  <xdr:twoCellAnchor>
    <xdr:from>
      <xdr:col>12</xdr:col>
      <xdr:colOff>158564</xdr:colOff>
      <xdr:row>13</xdr:row>
      <xdr:rowOff>149038</xdr:rowOff>
    </xdr:from>
    <xdr:to>
      <xdr:col>14</xdr:col>
      <xdr:colOff>390525</xdr:colOff>
      <xdr:row>13</xdr:row>
      <xdr:rowOff>152400</xdr:rowOff>
    </xdr:to>
    <xdr:cxnSp macro="">
      <xdr:nvCxnSpPr>
        <xdr:cNvPr id="202" name="Conector rect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CxnSpPr/>
      </xdr:nvCxnSpPr>
      <xdr:spPr>
        <a:xfrm>
          <a:off x="7749989" y="2711263"/>
          <a:ext cx="1755961" cy="3362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400050</xdr:colOff>
      <xdr:row>13</xdr:row>
      <xdr:rowOff>171450</xdr:rowOff>
    </xdr:from>
    <xdr:to>
      <xdr:col>14</xdr:col>
      <xdr:colOff>409575</xdr:colOff>
      <xdr:row>18</xdr:row>
      <xdr:rowOff>152400</xdr:rowOff>
    </xdr:to>
    <xdr:cxnSp macro="">
      <xdr:nvCxnSpPr>
        <xdr:cNvPr id="204" name="Conector recto 203"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CxnSpPr/>
      </xdr:nvCxnSpPr>
      <xdr:spPr>
        <a:xfrm>
          <a:off x="9515475" y="2733675"/>
          <a:ext cx="9525" cy="933450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161925</xdr:colOff>
      <xdr:row>18</xdr:row>
      <xdr:rowOff>142875</xdr:rowOff>
    </xdr:from>
    <xdr:to>
      <xdr:col>14</xdr:col>
      <xdr:colOff>419100</xdr:colOff>
      <xdr:row>18</xdr:row>
      <xdr:rowOff>152401</xdr:rowOff>
    </xdr:to>
    <xdr:cxnSp macro="">
      <xdr:nvCxnSpPr>
        <xdr:cNvPr id="206" name="Conector recto 205">
          <a:extLst>
            <a:ext uri="{FF2B5EF4-FFF2-40B4-BE49-F238E27FC236}">
              <a16:creationId xmlns:a16="http://schemas.microsoft.com/office/drawing/2014/main" id="{00000000-0008-0000-0600-0000CE000000}"/>
            </a:ext>
          </a:extLst>
        </xdr:cNvPr>
        <xdr:cNvCxnSpPr/>
      </xdr:nvCxnSpPr>
      <xdr:spPr>
        <a:xfrm>
          <a:off x="7753350" y="3657600"/>
          <a:ext cx="1781175" cy="9526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161925</xdr:colOff>
      <xdr:row>18</xdr:row>
      <xdr:rowOff>152400</xdr:rowOff>
    </xdr:from>
    <xdr:to>
      <xdr:col>12</xdr:col>
      <xdr:colOff>161925</xdr:colOff>
      <xdr:row>25</xdr:row>
      <xdr:rowOff>114300</xdr:rowOff>
    </xdr:to>
    <xdr:cxnSp macro="">
      <xdr:nvCxnSpPr>
        <xdr:cNvPr id="207" name="Conector recto 206">
          <a:extLst>
            <a:ext uri="{FF2B5EF4-FFF2-40B4-BE49-F238E27FC236}">
              <a16:creationId xmlns:a16="http://schemas.microsoft.com/office/drawing/2014/main" id="{00000000-0008-0000-0600-0000CF000000}"/>
            </a:ext>
          </a:extLst>
        </xdr:cNvPr>
        <xdr:cNvCxnSpPr/>
      </xdr:nvCxnSpPr>
      <xdr:spPr>
        <a:xfrm>
          <a:off x="7753350" y="3667125"/>
          <a:ext cx="0" cy="1295400"/>
        </a:xfrm>
        <a:prstGeom prst="line">
          <a:avLst/>
        </a:prstGeom>
        <a:ln w="19050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9</xdr:row>
      <xdr:rowOff>0</xdr:rowOff>
    </xdr:from>
    <xdr:to>
      <xdr:col>5</xdr:col>
      <xdr:colOff>114300</xdr:colOff>
      <xdr:row>9</xdr:row>
      <xdr:rowOff>2</xdr:rowOff>
    </xdr:to>
    <xdr:cxnSp macro="">
      <xdr:nvCxnSpPr>
        <xdr:cNvPr id="215" name="Conector: angular 214">
          <a:extLst>
            <a:ext uri="{FF2B5EF4-FFF2-40B4-BE49-F238E27FC236}">
              <a16:creationId xmlns:a16="http://schemas.microsoft.com/office/drawing/2014/main" id="{00000000-0008-0000-0600-0000D7000000}"/>
            </a:ext>
          </a:extLst>
        </xdr:cNvPr>
        <xdr:cNvCxnSpPr/>
      </xdr:nvCxnSpPr>
      <xdr:spPr>
        <a:xfrm rot="10800000" flipV="1">
          <a:off x="2933700" y="1800225"/>
          <a:ext cx="990600" cy="2"/>
        </a:xfrm>
        <a:prstGeom prst="bentConnector3">
          <a:avLst>
            <a:gd name="adj1" fmla="val 50000"/>
          </a:avLst>
        </a:prstGeom>
        <a:ln w="508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390525</xdr:colOff>
      <xdr:row>6</xdr:row>
      <xdr:rowOff>171450</xdr:rowOff>
    </xdr:from>
    <xdr:to>
      <xdr:col>5</xdr:col>
      <xdr:colOff>480171</xdr:colOff>
      <xdr:row>10</xdr:row>
      <xdr:rowOff>67147</xdr:rowOff>
    </xdr:to>
    <xdr:pic>
      <xdr:nvPicPr>
        <xdr:cNvPr id="214" name="Imagen 213">
          <a:extLst>
            <a:ext uri="{FF2B5EF4-FFF2-40B4-BE49-F238E27FC236}">
              <a16:creationId xmlns:a16="http://schemas.microsoft.com/office/drawing/2014/main" id="{00000000-0008-0000-0600-0000D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7799"/>
        <a:stretch/>
      </xdr:blipFill>
      <xdr:spPr>
        <a:xfrm>
          <a:off x="3438525" y="1400175"/>
          <a:ext cx="851646" cy="657697"/>
        </a:xfrm>
        <a:prstGeom prst="rect">
          <a:avLst/>
        </a:prstGeom>
      </xdr:spPr>
    </xdr:pic>
    <xdr:clientData/>
  </xdr:twoCellAnchor>
  <xdr:twoCellAnchor>
    <xdr:from>
      <xdr:col>4</xdr:col>
      <xdr:colOff>405092</xdr:colOff>
      <xdr:row>5</xdr:row>
      <xdr:rowOff>109258</xdr:rowOff>
    </xdr:from>
    <xdr:to>
      <xdr:col>5</xdr:col>
      <xdr:colOff>469527</xdr:colOff>
      <xdr:row>7</xdr:row>
      <xdr:rowOff>84894</xdr:rowOff>
    </xdr:to>
    <xdr:sp macro="" textlink="">
      <xdr:nvSpPr>
        <xdr:cNvPr id="218" name="CuadroTexto 217">
          <a:extLst>
            <a:ext uri="{FF2B5EF4-FFF2-40B4-BE49-F238E27FC236}">
              <a16:creationId xmlns:a16="http://schemas.microsoft.com/office/drawing/2014/main" id="{00000000-0008-0000-0600-0000DA000000}"/>
            </a:ext>
          </a:extLst>
        </xdr:cNvPr>
        <xdr:cNvSpPr txBox="1"/>
      </xdr:nvSpPr>
      <xdr:spPr>
        <a:xfrm>
          <a:off x="3453092" y="1147483"/>
          <a:ext cx="826435" cy="356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s-ES" sz="8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FOTOVOLTAICA</a:t>
          </a:r>
          <a:endParaRPr lang="es-ES" sz="8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38</xdr:row>
      <xdr:rowOff>38100</xdr:rowOff>
    </xdr:from>
    <xdr:to>
      <xdr:col>16</xdr:col>
      <xdr:colOff>428625</xdr:colOff>
      <xdr:row>46</xdr:row>
      <xdr:rowOff>19050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>
        <a:xfrm flipV="1">
          <a:off x="4610100" y="7943850"/>
          <a:ext cx="5362575" cy="150495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466725</xdr:colOff>
      <xdr:row>38</xdr:row>
      <xdr:rowOff>0</xdr:rowOff>
    </xdr:from>
    <xdr:to>
      <xdr:col>16</xdr:col>
      <xdr:colOff>447675</xdr:colOff>
      <xdr:row>46</xdr:row>
      <xdr:rowOff>28575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>
        <a:xfrm>
          <a:off x="4724400" y="7905750"/>
          <a:ext cx="5267325" cy="1552575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236</xdr:row>
      <xdr:rowOff>0</xdr:rowOff>
    </xdr:from>
    <xdr:to>
      <xdr:col>3</xdr:col>
      <xdr:colOff>238125</xdr:colOff>
      <xdr:row>237</xdr:row>
      <xdr:rowOff>28575</xdr:rowOff>
    </xdr:to>
    <xdr:pic>
      <xdr:nvPicPr>
        <xdr:cNvPr id="2" name="Picture 47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743200" y="38004750"/>
          <a:ext cx="1000125" cy="19050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142875</xdr:colOff>
          <xdr:row>5</xdr:row>
          <xdr:rowOff>76200</xdr:rowOff>
        </xdr:from>
        <xdr:to>
          <xdr:col>5</xdr:col>
          <xdr:colOff>714375</xdr:colOff>
          <xdr:row>7</xdr:row>
          <xdr:rowOff>66675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0E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161925</xdr:colOff>
          <xdr:row>9</xdr:row>
          <xdr:rowOff>142875</xdr:rowOff>
        </xdr:from>
        <xdr:to>
          <xdr:col>4</xdr:col>
          <xdr:colOff>542925</xdr:colOff>
          <xdr:row>11</xdr:row>
          <xdr:rowOff>114300</xdr:rowOff>
        </xdr:to>
        <xdr:sp macro="" textlink="">
          <xdr:nvSpPr>
            <xdr:cNvPr id="24578" name="Object 2" hidden="1">
              <a:extLst>
                <a:ext uri="{63B3BB69-23CF-44E3-9099-C40C66FF867C}">
                  <a14:compatExt spid="_x0000_s24578"/>
                </a:ext>
                <a:ext uri="{FF2B5EF4-FFF2-40B4-BE49-F238E27FC236}">
                  <a16:creationId xmlns:a16="http://schemas.microsoft.com/office/drawing/2014/main" id="{00000000-0008-0000-0E00-00000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190500</xdr:colOff>
          <xdr:row>13</xdr:row>
          <xdr:rowOff>133350</xdr:rowOff>
        </xdr:from>
        <xdr:to>
          <xdr:col>4</xdr:col>
          <xdr:colOff>542925</xdr:colOff>
          <xdr:row>15</xdr:row>
          <xdr:rowOff>66675</xdr:rowOff>
        </xdr:to>
        <xdr:sp macro="" textlink="">
          <xdr:nvSpPr>
            <xdr:cNvPr id="24579" name="Object 3" hidden="1">
              <a:extLst>
                <a:ext uri="{63B3BB69-23CF-44E3-9099-C40C66FF867C}">
                  <a14:compatExt spid="_x0000_s24579"/>
                </a:ext>
                <a:ext uri="{FF2B5EF4-FFF2-40B4-BE49-F238E27FC236}">
                  <a16:creationId xmlns:a16="http://schemas.microsoft.com/office/drawing/2014/main" id="{00000000-0008-0000-0E00-000003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82</xdr:row>
          <xdr:rowOff>133350</xdr:rowOff>
        </xdr:from>
        <xdr:to>
          <xdr:col>5</xdr:col>
          <xdr:colOff>657225</xdr:colOff>
          <xdr:row>88</xdr:row>
          <xdr:rowOff>38100</xdr:rowOff>
        </xdr:to>
        <xdr:sp macro="" textlink="">
          <xdr:nvSpPr>
            <xdr:cNvPr id="24580" name="Object 4" hidden="1">
              <a:extLst>
                <a:ext uri="{63B3BB69-23CF-44E3-9099-C40C66FF867C}">
                  <a14:compatExt spid="_x0000_s24580"/>
                </a:ext>
                <a:ext uri="{FF2B5EF4-FFF2-40B4-BE49-F238E27FC236}">
                  <a16:creationId xmlns:a16="http://schemas.microsoft.com/office/drawing/2014/main" id="{00000000-0008-0000-0E00-000004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91</xdr:row>
          <xdr:rowOff>76200</xdr:rowOff>
        </xdr:from>
        <xdr:to>
          <xdr:col>4</xdr:col>
          <xdr:colOff>466725</xdr:colOff>
          <xdr:row>93</xdr:row>
          <xdr:rowOff>76200</xdr:rowOff>
        </xdr:to>
        <xdr:sp macro="" textlink="">
          <xdr:nvSpPr>
            <xdr:cNvPr id="24581" name="Object 5" hidden="1">
              <a:extLst>
                <a:ext uri="{63B3BB69-23CF-44E3-9099-C40C66FF867C}">
                  <a14:compatExt spid="_x0000_s24581"/>
                </a:ext>
                <a:ext uri="{FF2B5EF4-FFF2-40B4-BE49-F238E27FC236}">
                  <a16:creationId xmlns:a16="http://schemas.microsoft.com/office/drawing/2014/main" id="{00000000-0008-0000-0E00-00000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96</xdr:row>
          <xdr:rowOff>47625</xdr:rowOff>
        </xdr:from>
        <xdr:to>
          <xdr:col>4</xdr:col>
          <xdr:colOff>381000</xdr:colOff>
          <xdr:row>101</xdr:row>
          <xdr:rowOff>47625</xdr:rowOff>
        </xdr:to>
        <xdr:sp macro="" textlink="">
          <xdr:nvSpPr>
            <xdr:cNvPr id="24582" name="Object 6" hidden="1">
              <a:extLst>
                <a:ext uri="{63B3BB69-23CF-44E3-9099-C40C66FF867C}">
                  <a14:compatExt spid="_x0000_s24582"/>
                </a:ext>
                <a:ext uri="{FF2B5EF4-FFF2-40B4-BE49-F238E27FC236}">
                  <a16:creationId xmlns:a16="http://schemas.microsoft.com/office/drawing/2014/main" id="{00000000-0008-0000-0E00-00000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428625</xdr:colOff>
          <xdr:row>219</xdr:row>
          <xdr:rowOff>19050</xdr:rowOff>
        </xdr:from>
        <xdr:to>
          <xdr:col>10</xdr:col>
          <xdr:colOff>304800</xdr:colOff>
          <xdr:row>221</xdr:row>
          <xdr:rowOff>123825</xdr:rowOff>
        </xdr:to>
        <xdr:sp macro="" textlink="">
          <xdr:nvSpPr>
            <xdr:cNvPr id="24583" name="Object 7" hidden="1">
              <a:extLst>
                <a:ext uri="{63B3BB69-23CF-44E3-9099-C40C66FF867C}">
                  <a14:compatExt spid="_x0000_s24583"/>
                </a:ext>
                <a:ext uri="{FF2B5EF4-FFF2-40B4-BE49-F238E27FC236}">
                  <a16:creationId xmlns:a16="http://schemas.microsoft.com/office/drawing/2014/main" id="{00000000-0008-0000-0E00-000007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229</xdr:row>
          <xdr:rowOff>9525</xdr:rowOff>
        </xdr:from>
        <xdr:to>
          <xdr:col>10</xdr:col>
          <xdr:colOff>381000</xdr:colOff>
          <xdr:row>231</xdr:row>
          <xdr:rowOff>123825</xdr:rowOff>
        </xdr:to>
        <xdr:sp macro="" textlink="">
          <xdr:nvSpPr>
            <xdr:cNvPr id="24584" name="Object 8" hidden="1">
              <a:extLst>
                <a:ext uri="{63B3BB69-23CF-44E3-9099-C40C66FF867C}">
                  <a14:compatExt spid="_x0000_s24584"/>
                </a:ext>
                <a:ext uri="{FF2B5EF4-FFF2-40B4-BE49-F238E27FC236}">
                  <a16:creationId xmlns:a16="http://schemas.microsoft.com/office/drawing/2014/main" id="{00000000-0008-0000-0E00-00000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219</xdr:row>
          <xdr:rowOff>38100</xdr:rowOff>
        </xdr:from>
        <xdr:to>
          <xdr:col>5</xdr:col>
          <xdr:colOff>609600</xdr:colOff>
          <xdr:row>221</xdr:row>
          <xdr:rowOff>152400</xdr:rowOff>
        </xdr:to>
        <xdr:sp macro="" textlink="">
          <xdr:nvSpPr>
            <xdr:cNvPr id="24585" name="Object 9" hidden="1">
              <a:extLst>
                <a:ext uri="{63B3BB69-23CF-44E3-9099-C40C66FF867C}">
                  <a14:compatExt spid="_x0000_s24585"/>
                </a:ext>
                <a:ext uri="{FF2B5EF4-FFF2-40B4-BE49-F238E27FC236}">
                  <a16:creationId xmlns:a16="http://schemas.microsoft.com/office/drawing/2014/main" id="{00000000-0008-0000-0E00-000009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676275</xdr:colOff>
          <xdr:row>228</xdr:row>
          <xdr:rowOff>152400</xdr:rowOff>
        </xdr:from>
        <xdr:to>
          <xdr:col>5</xdr:col>
          <xdr:colOff>733425</xdr:colOff>
          <xdr:row>231</xdr:row>
          <xdr:rowOff>152400</xdr:rowOff>
        </xdr:to>
        <xdr:sp macro="" textlink="">
          <xdr:nvSpPr>
            <xdr:cNvPr id="24586" name="Object 10" hidden="1">
              <a:extLst>
                <a:ext uri="{63B3BB69-23CF-44E3-9099-C40C66FF867C}">
                  <a14:compatExt spid="_x0000_s24586"/>
                </a:ext>
                <a:ext uri="{FF2B5EF4-FFF2-40B4-BE49-F238E27FC236}">
                  <a16:creationId xmlns:a16="http://schemas.microsoft.com/office/drawing/2014/main" id="{00000000-0008-0000-0E00-00000A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228600</xdr:colOff>
          <xdr:row>229</xdr:row>
          <xdr:rowOff>9525</xdr:rowOff>
        </xdr:from>
        <xdr:to>
          <xdr:col>15</xdr:col>
          <xdr:colOff>409575</xdr:colOff>
          <xdr:row>232</xdr:row>
          <xdr:rowOff>28575</xdr:rowOff>
        </xdr:to>
        <xdr:sp macro="" textlink="">
          <xdr:nvSpPr>
            <xdr:cNvPr id="24587" name="Object 11" hidden="1">
              <a:extLst>
                <a:ext uri="{63B3BB69-23CF-44E3-9099-C40C66FF867C}">
                  <a14:compatExt spid="_x0000_s24587"/>
                </a:ext>
                <a:ext uri="{FF2B5EF4-FFF2-40B4-BE49-F238E27FC236}">
                  <a16:creationId xmlns:a16="http://schemas.microsoft.com/office/drawing/2014/main" id="{00000000-0008-0000-0E00-00000B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219075</xdr:colOff>
          <xdr:row>197</xdr:row>
          <xdr:rowOff>28575</xdr:rowOff>
        </xdr:from>
        <xdr:to>
          <xdr:col>10</xdr:col>
          <xdr:colOff>581025</xdr:colOff>
          <xdr:row>199</xdr:row>
          <xdr:rowOff>133350</xdr:rowOff>
        </xdr:to>
        <xdr:sp macro="" textlink="">
          <xdr:nvSpPr>
            <xdr:cNvPr id="24588" name="Object 12" hidden="1">
              <a:extLst>
                <a:ext uri="{63B3BB69-23CF-44E3-9099-C40C66FF867C}">
                  <a14:compatExt spid="_x0000_s24588"/>
                </a:ext>
                <a:ext uri="{FF2B5EF4-FFF2-40B4-BE49-F238E27FC236}">
                  <a16:creationId xmlns:a16="http://schemas.microsoft.com/office/drawing/2014/main" id="{00000000-0008-0000-0E00-00000C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152400</xdr:colOff>
          <xdr:row>201</xdr:row>
          <xdr:rowOff>161925</xdr:rowOff>
        </xdr:from>
        <xdr:to>
          <xdr:col>6</xdr:col>
          <xdr:colOff>552450</xdr:colOff>
          <xdr:row>204</xdr:row>
          <xdr:rowOff>95250</xdr:rowOff>
        </xdr:to>
        <xdr:sp macro="" textlink="">
          <xdr:nvSpPr>
            <xdr:cNvPr id="24589" name="Object 13" hidden="1">
              <a:extLst>
                <a:ext uri="{63B3BB69-23CF-44E3-9099-C40C66FF867C}">
                  <a14:compatExt spid="_x0000_s24589"/>
                </a:ext>
                <a:ext uri="{FF2B5EF4-FFF2-40B4-BE49-F238E27FC236}">
                  <a16:creationId xmlns:a16="http://schemas.microsoft.com/office/drawing/2014/main" id="{00000000-0008-0000-0E00-00000D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206</xdr:row>
          <xdr:rowOff>152400</xdr:rowOff>
        </xdr:from>
        <xdr:to>
          <xdr:col>6</xdr:col>
          <xdr:colOff>628650</xdr:colOff>
          <xdr:row>209</xdr:row>
          <xdr:rowOff>142875</xdr:rowOff>
        </xdr:to>
        <xdr:sp macro="" textlink="">
          <xdr:nvSpPr>
            <xdr:cNvPr id="24590" name="Object 14" hidden="1">
              <a:extLst>
                <a:ext uri="{63B3BB69-23CF-44E3-9099-C40C66FF867C}">
                  <a14:compatExt spid="_x0000_s24590"/>
                </a:ext>
                <a:ext uri="{FF2B5EF4-FFF2-40B4-BE49-F238E27FC236}">
                  <a16:creationId xmlns:a16="http://schemas.microsoft.com/office/drawing/2014/main" id="{00000000-0008-0000-0E00-00000E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247650</xdr:colOff>
          <xdr:row>207</xdr:row>
          <xdr:rowOff>0</xdr:rowOff>
        </xdr:from>
        <xdr:to>
          <xdr:col>10</xdr:col>
          <xdr:colOff>523875</xdr:colOff>
          <xdr:row>210</xdr:row>
          <xdr:rowOff>0</xdr:rowOff>
        </xdr:to>
        <xdr:sp macro="" textlink="">
          <xdr:nvSpPr>
            <xdr:cNvPr id="24591" name="Object 15" hidden="1">
              <a:extLst>
                <a:ext uri="{63B3BB69-23CF-44E3-9099-C40C66FF867C}">
                  <a14:compatExt spid="_x0000_s24591"/>
                </a:ext>
                <a:ext uri="{FF2B5EF4-FFF2-40B4-BE49-F238E27FC236}">
                  <a16:creationId xmlns:a16="http://schemas.microsoft.com/office/drawing/2014/main" id="{00000000-0008-0000-0E00-00000F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323850</xdr:colOff>
          <xdr:row>219</xdr:row>
          <xdr:rowOff>0</xdr:rowOff>
        </xdr:from>
        <xdr:to>
          <xdr:col>15</xdr:col>
          <xdr:colOff>314325</xdr:colOff>
          <xdr:row>221</xdr:row>
          <xdr:rowOff>104775</xdr:rowOff>
        </xdr:to>
        <xdr:sp macro="" textlink="">
          <xdr:nvSpPr>
            <xdr:cNvPr id="24592" name="Object 16" hidden="1">
              <a:extLst>
                <a:ext uri="{63B3BB69-23CF-44E3-9099-C40C66FF867C}">
                  <a14:compatExt spid="_x0000_s24592"/>
                </a:ext>
                <a:ext uri="{FF2B5EF4-FFF2-40B4-BE49-F238E27FC236}">
                  <a16:creationId xmlns:a16="http://schemas.microsoft.com/office/drawing/2014/main" id="{00000000-0008-0000-0E00-000010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224</xdr:row>
          <xdr:rowOff>19050</xdr:rowOff>
        </xdr:from>
        <xdr:to>
          <xdr:col>5</xdr:col>
          <xdr:colOff>742950</xdr:colOff>
          <xdr:row>226</xdr:row>
          <xdr:rowOff>142875</xdr:rowOff>
        </xdr:to>
        <xdr:sp macro="" textlink="">
          <xdr:nvSpPr>
            <xdr:cNvPr id="24593" name="Object 17" hidden="1">
              <a:extLst>
                <a:ext uri="{63B3BB69-23CF-44E3-9099-C40C66FF867C}">
                  <a14:compatExt spid="_x0000_s24593"/>
                </a:ext>
                <a:ext uri="{FF2B5EF4-FFF2-40B4-BE49-F238E27FC236}">
                  <a16:creationId xmlns:a16="http://schemas.microsoft.com/office/drawing/2014/main" id="{00000000-0008-0000-0E00-00001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247650</xdr:colOff>
          <xdr:row>224</xdr:row>
          <xdr:rowOff>9525</xdr:rowOff>
        </xdr:from>
        <xdr:to>
          <xdr:col>16</xdr:col>
          <xdr:colOff>0</xdr:colOff>
          <xdr:row>226</xdr:row>
          <xdr:rowOff>142875</xdr:rowOff>
        </xdr:to>
        <xdr:sp macro="" textlink="">
          <xdr:nvSpPr>
            <xdr:cNvPr id="24594" name="Object 18" hidden="1">
              <a:extLst>
                <a:ext uri="{63B3BB69-23CF-44E3-9099-C40C66FF867C}">
                  <a14:compatExt spid="_x0000_s24594"/>
                </a:ext>
                <a:ext uri="{FF2B5EF4-FFF2-40B4-BE49-F238E27FC236}">
                  <a16:creationId xmlns:a16="http://schemas.microsoft.com/office/drawing/2014/main" id="{00000000-0008-0000-0E00-00001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304800</xdr:colOff>
          <xdr:row>197</xdr:row>
          <xdr:rowOff>9525</xdr:rowOff>
        </xdr:from>
        <xdr:to>
          <xdr:col>7</xdr:col>
          <xdr:colOff>600075</xdr:colOff>
          <xdr:row>199</xdr:row>
          <xdr:rowOff>114300</xdr:rowOff>
        </xdr:to>
        <xdr:sp macro="" textlink="">
          <xdr:nvSpPr>
            <xdr:cNvPr id="24595" name="Object 19" hidden="1">
              <a:extLst>
                <a:ext uri="{63B3BB69-23CF-44E3-9099-C40C66FF867C}">
                  <a14:compatExt spid="_x0000_s24595"/>
                </a:ext>
                <a:ext uri="{FF2B5EF4-FFF2-40B4-BE49-F238E27FC236}">
                  <a16:creationId xmlns:a16="http://schemas.microsoft.com/office/drawing/2014/main" id="{00000000-0008-0000-0E00-000013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285750</xdr:colOff>
          <xdr:row>196</xdr:row>
          <xdr:rowOff>161925</xdr:rowOff>
        </xdr:from>
        <xdr:to>
          <xdr:col>17</xdr:col>
          <xdr:colOff>228600</xdr:colOff>
          <xdr:row>199</xdr:row>
          <xdr:rowOff>95250</xdr:rowOff>
        </xdr:to>
        <xdr:sp macro="" textlink="">
          <xdr:nvSpPr>
            <xdr:cNvPr id="24596" name="Object 20" hidden="1">
              <a:extLst>
                <a:ext uri="{63B3BB69-23CF-44E3-9099-C40C66FF867C}">
                  <a14:compatExt spid="_x0000_s24596"/>
                </a:ext>
                <a:ext uri="{FF2B5EF4-FFF2-40B4-BE49-F238E27FC236}">
                  <a16:creationId xmlns:a16="http://schemas.microsoft.com/office/drawing/2014/main" id="{00000000-0008-0000-0E00-000014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209550</xdr:colOff>
          <xdr:row>202</xdr:row>
          <xdr:rowOff>9525</xdr:rowOff>
        </xdr:from>
        <xdr:to>
          <xdr:col>16</xdr:col>
          <xdr:colOff>1028700</xdr:colOff>
          <xdr:row>204</xdr:row>
          <xdr:rowOff>152400</xdr:rowOff>
        </xdr:to>
        <xdr:sp macro="" textlink="">
          <xdr:nvSpPr>
            <xdr:cNvPr id="24597" name="Object 21" hidden="1">
              <a:extLst>
                <a:ext uri="{63B3BB69-23CF-44E3-9099-C40C66FF867C}">
                  <a14:compatExt spid="_x0000_s24597"/>
                </a:ext>
                <a:ext uri="{FF2B5EF4-FFF2-40B4-BE49-F238E27FC236}">
                  <a16:creationId xmlns:a16="http://schemas.microsoft.com/office/drawing/2014/main" id="{00000000-0008-0000-0E00-00001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133350</xdr:colOff>
          <xdr:row>206</xdr:row>
          <xdr:rowOff>123825</xdr:rowOff>
        </xdr:from>
        <xdr:to>
          <xdr:col>17</xdr:col>
          <xdr:colOff>571500</xdr:colOff>
          <xdr:row>209</xdr:row>
          <xdr:rowOff>85725</xdr:rowOff>
        </xdr:to>
        <xdr:sp macro="" textlink="">
          <xdr:nvSpPr>
            <xdr:cNvPr id="24598" name="Object 22" hidden="1">
              <a:extLst>
                <a:ext uri="{63B3BB69-23CF-44E3-9099-C40C66FF867C}">
                  <a14:compatExt spid="_x0000_s24598"/>
                </a:ext>
                <a:ext uri="{FF2B5EF4-FFF2-40B4-BE49-F238E27FC236}">
                  <a16:creationId xmlns:a16="http://schemas.microsoft.com/office/drawing/2014/main" id="{00000000-0008-0000-0E00-00001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0</xdr:col>
      <xdr:colOff>942975</xdr:colOff>
      <xdr:row>107</xdr:row>
      <xdr:rowOff>133350</xdr:rowOff>
    </xdr:from>
    <xdr:to>
      <xdr:col>11</xdr:col>
      <xdr:colOff>66675</xdr:colOff>
      <xdr:row>131</xdr:row>
      <xdr:rowOff>38100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CxnSpPr/>
      </xdr:nvCxnSpPr>
      <xdr:spPr>
        <a:xfrm>
          <a:off x="942975" y="17687925"/>
          <a:ext cx="8458200" cy="37909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723900</xdr:colOff>
      <xdr:row>109</xdr:row>
      <xdr:rowOff>104775</xdr:rowOff>
    </xdr:from>
    <xdr:to>
      <xdr:col>9</xdr:col>
      <xdr:colOff>57150</xdr:colOff>
      <xdr:row>130</xdr:row>
      <xdr:rowOff>142875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CxnSpPr/>
      </xdr:nvCxnSpPr>
      <xdr:spPr>
        <a:xfrm flipH="1">
          <a:off x="2333625" y="17983200"/>
          <a:ext cx="5495925" cy="34385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425825</xdr:colOff>
      <xdr:row>17</xdr:row>
      <xdr:rowOff>114019</xdr:rowOff>
    </xdr:from>
    <xdr:to>
      <xdr:col>19</xdr:col>
      <xdr:colOff>16250</xdr:colOff>
      <xdr:row>33</xdr:row>
      <xdr:rowOff>40901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93010</xdr:colOff>
      <xdr:row>30</xdr:row>
      <xdr:rowOff>78441</xdr:rowOff>
    </xdr:from>
    <xdr:to>
      <xdr:col>10</xdr:col>
      <xdr:colOff>712135</xdr:colOff>
      <xdr:row>46</xdr:row>
      <xdr:rowOff>65554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414617</xdr:colOff>
      <xdr:row>36</xdr:row>
      <xdr:rowOff>44824</xdr:rowOff>
    </xdr:from>
    <xdr:to>
      <xdr:col>19</xdr:col>
      <xdr:colOff>0</xdr:colOff>
      <xdr:row>52</xdr:row>
      <xdr:rowOff>67236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421344</xdr:colOff>
      <xdr:row>1</xdr:row>
      <xdr:rowOff>90766</xdr:rowOff>
    </xdr:from>
    <xdr:to>
      <xdr:col>19</xdr:col>
      <xdr:colOff>11769</xdr:colOff>
      <xdr:row>16</xdr:row>
      <xdr:rowOff>162204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629479</xdr:colOff>
      <xdr:row>46</xdr:row>
      <xdr:rowOff>152400</xdr:rowOff>
    </xdr:from>
    <xdr:to>
      <xdr:col>9</xdr:col>
      <xdr:colOff>546653</xdr:colOff>
      <xdr:row>61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554935</xdr:colOff>
      <xdr:row>10</xdr:row>
      <xdr:rowOff>94422</xdr:rowOff>
    </xdr:from>
    <xdr:to>
      <xdr:col>23</xdr:col>
      <xdr:colOff>530087</xdr:colOff>
      <xdr:row>29</xdr:row>
      <xdr:rowOff>57979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394247</xdr:colOff>
      <xdr:row>15</xdr:row>
      <xdr:rowOff>115658</xdr:rowOff>
    </xdr:from>
    <xdr:to>
      <xdr:col>7</xdr:col>
      <xdr:colOff>750995</xdr:colOff>
      <xdr:row>18</xdr:row>
      <xdr:rowOff>25692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 txBox="1"/>
      </xdr:nvSpPr>
      <xdr:spPr>
        <a:xfrm rot="19765710">
          <a:off x="1918247" y="3068408"/>
          <a:ext cx="8071998" cy="496188"/>
        </a:xfrm>
        <a:prstGeom prst="rect">
          <a:avLst/>
        </a:prstGeom>
        <a:noFill/>
        <a:ln w="9525" cmpd="sng">
          <a:solidFill>
            <a:srgbClr val="FF9999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800">
              <a:solidFill>
                <a:srgbClr val="FFC9C9"/>
              </a:solidFill>
            </a:rPr>
            <a:t>SOLO</a:t>
          </a:r>
          <a:r>
            <a:rPr lang="es-ES" sz="2800" baseline="0">
              <a:solidFill>
                <a:srgbClr val="FFC9C9"/>
              </a:solidFill>
            </a:rPr>
            <a:t> VER CUANDO NO HAY TÉRMINOS FIJOS PARA BP</a:t>
          </a:r>
          <a:endParaRPr lang="es-ES" sz="2800">
            <a:solidFill>
              <a:srgbClr val="FFC9C9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rchiviato\G35\G35\stabilimento%20di%20Arco\allegato%204%2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IACOM"/>
      <sheetName val="energia"/>
    </sheetNames>
    <sheetDataSet>
      <sheetData sheetId="0" refreshError="1">
        <row r="8">
          <cell r="E8">
            <v>9.3375048284681856</v>
          </cell>
        </row>
        <row r="9">
          <cell r="E9">
            <v>12.227684894422625</v>
          </cell>
        </row>
        <row r="10">
          <cell r="E10">
            <v>16.585187147707778</v>
          </cell>
        </row>
        <row r="11">
          <cell r="E11">
            <v>18.408223804694423</v>
          </cell>
        </row>
        <row r="12">
          <cell r="E12">
            <v>20.008938918146114</v>
          </cell>
        </row>
        <row r="13">
          <cell r="E13">
            <v>20.720367857457976</v>
          </cell>
        </row>
        <row r="14">
          <cell r="E14">
            <v>21.431796796769838</v>
          </cell>
        </row>
        <row r="15">
          <cell r="E15">
            <v>22.721261749272589</v>
          </cell>
        </row>
        <row r="16">
          <cell r="E16">
            <v>24.010726701775337</v>
          </cell>
        </row>
      </sheetData>
      <sheetData sheetId="1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" connectionId="1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" connectionId="2" xr16:uid="{00000000-0016-0000-03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20.emf"/><Relationship Id="rId26" Type="http://schemas.openxmlformats.org/officeDocument/2006/relationships/image" Target="../media/image24.emf"/><Relationship Id="rId39" Type="http://schemas.openxmlformats.org/officeDocument/2006/relationships/oleObject" Target="../embeddings/oleObject19.bin"/><Relationship Id="rId21" Type="http://schemas.openxmlformats.org/officeDocument/2006/relationships/oleObject" Target="../embeddings/oleObject10.bin"/><Relationship Id="rId34" Type="http://schemas.openxmlformats.org/officeDocument/2006/relationships/image" Target="../media/image28.emf"/><Relationship Id="rId42" Type="http://schemas.openxmlformats.org/officeDocument/2006/relationships/image" Target="../media/image32.emf"/><Relationship Id="rId7" Type="http://schemas.openxmlformats.org/officeDocument/2006/relationships/image" Target="../media/image15.emf"/><Relationship Id="rId2" Type="http://schemas.openxmlformats.org/officeDocument/2006/relationships/drawing" Target="../drawings/drawing7.xml"/><Relationship Id="rId16" Type="http://schemas.openxmlformats.org/officeDocument/2006/relationships/image" Target="../media/image19.emf"/><Relationship Id="rId29" Type="http://schemas.openxmlformats.org/officeDocument/2006/relationships/oleObject" Target="../embeddings/oleObject14.bin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17.emf"/><Relationship Id="rId24" Type="http://schemas.openxmlformats.org/officeDocument/2006/relationships/image" Target="../media/image23.emf"/><Relationship Id="rId32" Type="http://schemas.openxmlformats.org/officeDocument/2006/relationships/image" Target="../media/image27.emf"/><Relationship Id="rId37" Type="http://schemas.openxmlformats.org/officeDocument/2006/relationships/oleObject" Target="../embeddings/oleObject18.bin"/><Relationship Id="rId40" Type="http://schemas.openxmlformats.org/officeDocument/2006/relationships/image" Target="../media/image31.emf"/><Relationship Id="rId45" Type="http://schemas.openxmlformats.org/officeDocument/2006/relationships/oleObject" Target="../embeddings/oleObject22.bin"/><Relationship Id="rId5" Type="http://schemas.openxmlformats.org/officeDocument/2006/relationships/image" Target="../media/image14.emf"/><Relationship Id="rId15" Type="http://schemas.openxmlformats.org/officeDocument/2006/relationships/oleObject" Target="../embeddings/oleObject7.bin"/><Relationship Id="rId23" Type="http://schemas.openxmlformats.org/officeDocument/2006/relationships/oleObject" Target="../embeddings/oleObject11.bin"/><Relationship Id="rId28" Type="http://schemas.openxmlformats.org/officeDocument/2006/relationships/image" Target="../media/image25.emf"/><Relationship Id="rId36" Type="http://schemas.openxmlformats.org/officeDocument/2006/relationships/image" Target="../media/image29.emf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9.bin"/><Relationship Id="rId31" Type="http://schemas.openxmlformats.org/officeDocument/2006/relationships/oleObject" Target="../embeddings/oleObject15.bin"/><Relationship Id="rId44" Type="http://schemas.openxmlformats.org/officeDocument/2006/relationships/image" Target="../media/image33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16.emf"/><Relationship Id="rId14" Type="http://schemas.openxmlformats.org/officeDocument/2006/relationships/image" Target="../media/image18.emf"/><Relationship Id="rId22" Type="http://schemas.openxmlformats.org/officeDocument/2006/relationships/image" Target="../media/image22.emf"/><Relationship Id="rId27" Type="http://schemas.openxmlformats.org/officeDocument/2006/relationships/oleObject" Target="../embeddings/oleObject13.bin"/><Relationship Id="rId30" Type="http://schemas.openxmlformats.org/officeDocument/2006/relationships/image" Target="../media/image26.emf"/><Relationship Id="rId35" Type="http://schemas.openxmlformats.org/officeDocument/2006/relationships/oleObject" Target="../embeddings/oleObject17.bin"/><Relationship Id="rId43" Type="http://schemas.openxmlformats.org/officeDocument/2006/relationships/oleObject" Target="../embeddings/oleObject21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4.vml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8.bin"/><Relationship Id="rId25" Type="http://schemas.openxmlformats.org/officeDocument/2006/relationships/oleObject" Target="../embeddings/oleObject12.bin"/><Relationship Id="rId33" Type="http://schemas.openxmlformats.org/officeDocument/2006/relationships/oleObject" Target="../embeddings/oleObject16.bin"/><Relationship Id="rId38" Type="http://schemas.openxmlformats.org/officeDocument/2006/relationships/image" Target="../media/image30.emf"/><Relationship Id="rId46" Type="http://schemas.openxmlformats.org/officeDocument/2006/relationships/image" Target="../media/image34.emf"/><Relationship Id="rId20" Type="http://schemas.openxmlformats.org/officeDocument/2006/relationships/image" Target="../media/image21.emf"/><Relationship Id="rId41" Type="http://schemas.openxmlformats.org/officeDocument/2006/relationships/oleObject" Target="../embeddings/oleObject20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55"/>
  <sheetViews>
    <sheetView workbookViewId="0">
      <pane ySplit="1" topLeftCell="A2" activePane="bottomLeft" state="frozen"/>
      <selection pane="bottomLeft" activeCell="J7" sqref="J7"/>
    </sheetView>
  </sheetViews>
  <sheetFormatPr baseColWidth="10" defaultColWidth="9.140625" defaultRowHeight="15" x14ac:dyDescent="0.25"/>
  <cols>
    <col min="1" max="1" width="12.42578125" style="8" bestFit="1" customWidth="1"/>
    <col min="2" max="2" width="21.7109375" customWidth="1"/>
    <col min="3" max="3" width="22.5703125" customWidth="1"/>
    <col min="4" max="4" width="17.85546875" customWidth="1"/>
  </cols>
  <sheetData>
    <row r="1" spans="1:13" x14ac:dyDescent="0.25">
      <c r="A1" s="8" t="s">
        <v>47</v>
      </c>
      <c r="B1" t="s">
        <v>48</v>
      </c>
      <c r="C1" t="s">
        <v>49</v>
      </c>
      <c r="D1" t="s">
        <v>50</v>
      </c>
      <c r="E1" s="34">
        <f>+MIN(E2:E755)</f>
        <v>0.35607299804687526</v>
      </c>
      <c r="F1" s="6">
        <f>+MAX(E2:E755)</f>
        <v>0.97596679687499999</v>
      </c>
    </row>
    <row r="2" spans="1:13" x14ac:dyDescent="0.25">
      <c r="A2" s="8">
        <v>42474.614583333336</v>
      </c>
      <c r="B2" s="7">
        <v>64.236114501953097</v>
      </c>
      <c r="C2" s="7">
        <v>48.104747772216797</v>
      </c>
      <c r="D2" s="7">
        <v>743.34490966796898</v>
      </c>
      <c r="E2" s="5">
        <f>+D2/850</f>
        <v>0.87452342313878706</v>
      </c>
    </row>
    <row r="3" spans="1:13" x14ac:dyDescent="0.25">
      <c r="A3" s="8">
        <v>42474.625</v>
      </c>
      <c r="B3" s="7">
        <v>65.972221374511705</v>
      </c>
      <c r="C3" s="7">
        <v>47.699653625488303</v>
      </c>
      <c r="D3" s="7">
        <v>787.326416015625</v>
      </c>
      <c r="E3" s="5">
        <f t="shared" ref="E3:E66" si="0">+D3/850</f>
        <v>0.92626637178308824</v>
      </c>
    </row>
    <row r="4" spans="1:13" x14ac:dyDescent="0.25">
      <c r="A4" s="8">
        <v>42474.635416666664</v>
      </c>
      <c r="B4" s="7">
        <v>67.853012084960895</v>
      </c>
      <c r="C4" s="7">
        <v>47.497108459472699</v>
      </c>
      <c r="D4" s="7">
        <v>770.254638671875</v>
      </c>
      <c r="E4" s="5">
        <f t="shared" si="0"/>
        <v>0.90618192784926466</v>
      </c>
    </row>
    <row r="5" spans="1:13" x14ac:dyDescent="0.25">
      <c r="A5" s="8">
        <v>42474.645833333336</v>
      </c>
      <c r="B5" s="7">
        <v>68.865737915039105</v>
      </c>
      <c r="C5" s="7">
        <v>47.092014312744098</v>
      </c>
      <c r="D5" s="7">
        <v>777.48840332031295</v>
      </c>
      <c r="E5" s="5">
        <f t="shared" si="0"/>
        <v>0.91469223920036813</v>
      </c>
    </row>
    <row r="6" spans="1:13" x14ac:dyDescent="0.25">
      <c r="A6" s="8">
        <v>42474.65625</v>
      </c>
      <c r="B6" s="7">
        <v>70.3125</v>
      </c>
      <c r="C6" s="7">
        <v>46.686920166015597</v>
      </c>
      <c r="D6" s="7">
        <v>767.361083984375</v>
      </c>
      <c r="E6" s="5">
        <f t="shared" si="0"/>
        <v>0.90277774586397064</v>
      </c>
      <c r="G6" s="671" t="s">
        <v>70</v>
      </c>
      <c r="H6" s="672"/>
      <c r="I6" s="72" t="s">
        <v>68</v>
      </c>
      <c r="J6" s="73" t="s">
        <v>69</v>
      </c>
      <c r="M6" t="s">
        <v>119</v>
      </c>
    </row>
    <row r="7" spans="1:13" x14ac:dyDescent="0.25">
      <c r="A7" s="8">
        <v>42474.666666666664</v>
      </c>
      <c r="B7" s="7">
        <v>70.891204833984403</v>
      </c>
      <c r="C7" s="7">
        <v>46.585647583007798</v>
      </c>
      <c r="D7" s="7">
        <v>787.326416015625</v>
      </c>
      <c r="E7" s="5">
        <f t="shared" si="0"/>
        <v>0.92626637178308824</v>
      </c>
      <c r="G7" s="94">
        <v>0.95</v>
      </c>
      <c r="H7" s="101">
        <v>1</v>
      </c>
      <c r="I7" s="113">
        <f>+AVERAGEIFS($B$2:$B$755,$E$2:$E$755,"&gt;95%",$E$2:$E$755,"&lt;=100%")</f>
        <v>416.83201199486149</v>
      </c>
      <c r="J7" s="96">
        <f>+AVERAGEIFS($C$2:$C$755,$E$2:$E$755,"&gt;95%",$E$2:$E$755,"&lt;=100%")</f>
        <v>139.05526787894109</v>
      </c>
      <c r="M7">
        <v>425</v>
      </c>
    </row>
    <row r="8" spans="1:13" x14ac:dyDescent="0.25">
      <c r="A8" s="8">
        <v>42474.677083333336</v>
      </c>
      <c r="B8" s="7">
        <v>71.903938293457003</v>
      </c>
      <c r="C8" s="7">
        <v>46.281829833984403</v>
      </c>
      <c r="D8" s="7">
        <v>797.45367431640602</v>
      </c>
      <c r="E8" s="5">
        <f t="shared" si="0"/>
        <v>0.93818079331341886</v>
      </c>
      <c r="G8" s="94">
        <v>0.88</v>
      </c>
      <c r="H8" s="102">
        <v>0.9</v>
      </c>
      <c r="I8" s="95">
        <f>+AVERAGEIFS($B$2:$B$755,$E$2:$E$755,"&gt;88%",$E$2:$E$755,"&lt;=90%")</f>
        <v>424.29240070689815</v>
      </c>
      <c r="J8" s="96">
        <f>+AVERAGEIFS($C$2:$C$755,$E$2:$E$755,"&gt;88%",$E$2:$E$755,"&lt;=90%")</f>
        <v>137.97269717129797</v>
      </c>
      <c r="L8" s="5">
        <f>+(I7-I8)/I7</f>
        <v>-1.7897830534495101E-2</v>
      </c>
      <c r="M8" s="40">
        <f>+$M$7*(1-L8)</f>
        <v>432.60657797716038</v>
      </c>
    </row>
    <row r="9" spans="1:13" x14ac:dyDescent="0.25">
      <c r="A9" s="8">
        <v>42474.6875</v>
      </c>
      <c r="B9" s="7">
        <v>72.916664123535199</v>
      </c>
      <c r="C9" s="7">
        <v>46.0792846679688</v>
      </c>
      <c r="D9" s="7">
        <v>780.38195800781295</v>
      </c>
      <c r="E9" s="5">
        <f t="shared" si="0"/>
        <v>0.91809642118566226</v>
      </c>
      <c r="G9" s="94">
        <v>0.74</v>
      </c>
      <c r="H9" s="102">
        <v>0.76</v>
      </c>
      <c r="I9" s="95">
        <f>+AVERAGEIFS($B$2:$B$755,$E$2:$E$755,"&gt;74%",$E$2:$E$755,"&lt;=76%")</f>
        <v>431.09808858235687</v>
      </c>
      <c r="J9" s="97">
        <v>139</v>
      </c>
      <c r="L9" s="5">
        <f>+(I7-I9)/I7</f>
        <v>-3.4225002343800895E-2</v>
      </c>
      <c r="M9" s="40">
        <f>+$M$7*(1-L9)</f>
        <v>439.54562599611535</v>
      </c>
    </row>
    <row r="10" spans="1:13" x14ac:dyDescent="0.25">
      <c r="A10" s="8">
        <v>42474.697916666664</v>
      </c>
      <c r="B10" s="7">
        <v>72.916664123535199</v>
      </c>
      <c r="C10" s="7">
        <v>46.0792846679688</v>
      </c>
      <c r="D10" s="7">
        <v>757.23376464843795</v>
      </c>
      <c r="E10" s="5">
        <f t="shared" si="0"/>
        <v>0.89086325252757403</v>
      </c>
      <c r="G10" s="98">
        <v>0.48</v>
      </c>
      <c r="H10" s="103">
        <v>0.5</v>
      </c>
      <c r="I10" s="99">
        <f>+AVERAGEIFS($B$2:$B$755,$E$2:$E$755,"&gt;48%",$E$2:$E$755,"&lt;=58%")</f>
        <v>442.85299682617199</v>
      </c>
      <c r="J10" s="100">
        <f>+AVERAGEIFS($C$2:$C$755,$E$2:$E$755,"&gt;48%",$E$2:$E$755,"&lt;=58%")</f>
        <v>138.744216918945</v>
      </c>
      <c r="L10" s="5">
        <f>+(I7-I10)/I7</f>
        <v>-6.2425591323420897E-2</v>
      </c>
      <c r="M10" s="40">
        <f>+$M$7*(1-L10)</f>
        <v>451.53087631245387</v>
      </c>
    </row>
    <row r="11" spans="1:13" x14ac:dyDescent="0.25">
      <c r="A11" s="8">
        <v>42474.708333333336</v>
      </c>
      <c r="B11" s="7">
        <v>73.061340332031307</v>
      </c>
      <c r="C11" s="7">
        <v>45.674190521240199</v>
      </c>
      <c r="D11" s="7">
        <v>792.53472900390602</v>
      </c>
      <c r="E11" s="5">
        <f t="shared" si="0"/>
        <v>0.93239379882812479</v>
      </c>
    </row>
    <row r="12" spans="1:13" x14ac:dyDescent="0.25">
      <c r="A12" s="8">
        <v>42474.71875</v>
      </c>
      <c r="B12" s="7">
        <v>74.508102416992202</v>
      </c>
      <c r="C12" s="7">
        <v>45.572917938232401</v>
      </c>
      <c r="D12" s="7">
        <v>810.47454833984398</v>
      </c>
      <c r="E12" s="5">
        <f t="shared" si="0"/>
        <v>0.95349946863511059</v>
      </c>
    </row>
    <row r="13" spans="1:13" x14ac:dyDescent="0.25">
      <c r="A13" s="8">
        <v>42474.729166666664</v>
      </c>
      <c r="B13" s="7">
        <v>324.21875</v>
      </c>
      <c r="C13" s="7">
        <v>54.079860687255902</v>
      </c>
      <c r="D13" s="7">
        <v>818.576416015625</v>
      </c>
      <c r="E13" s="5">
        <f t="shared" si="0"/>
        <v>0.96303107766544116</v>
      </c>
    </row>
    <row r="14" spans="1:13" x14ac:dyDescent="0.25">
      <c r="A14" s="8">
        <v>42474.739583333336</v>
      </c>
      <c r="B14" s="7">
        <v>400.89700317382801</v>
      </c>
      <c r="C14" s="7">
        <v>96.817131042480497</v>
      </c>
      <c r="D14" s="7">
        <v>817.70831298828102</v>
      </c>
      <c r="E14" s="5">
        <f t="shared" si="0"/>
        <v>0.96200977998621295</v>
      </c>
    </row>
    <row r="15" spans="1:13" x14ac:dyDescent="0.25">
      <c r="A15" s="8">
        <v>42474.75</v>
      </c>
      <c r="B15" s="7">
        <v>418.83679199218801</v>
      </c>
      <c r="C15" s="7">
        <v>126.49016571044901</v>
      </c>
      <c r="D15" s="7">
        <v>812.78936767578102</v>
      </c>
      <c r="E15" s="5">
        <f t="shared" si="0"/>
        <v>0.95622278550091888</v>
      </c>
    </row>
    <row r="16" spans="1:13" x14ac:dyDescent="0.25">
      <c r="A16" s="8">
        <v>42474.760416666664</v>
      </c>
      <c r="B16" s="7">
        <v>423.46643066406301</v>
      </c>
      <c r="C16" s="7">
        <v>137.63020324707</v>
      </c>
      <c r="D16" s="7">
        <v>823.495361328125</v>
      </c>
      <c r="E16" s="5">
        <f t="shared" si="0"/>
        <v>0.96881807215073534</v>
      </c>
    </row>
    <row r="17" spans="1:5" x14ac:dyDescent="0.25">
      <c r="A17" s="8">
        <v>42474.770833333336</v>
      </c>
      <c r="B17" s="7">
        <v>415.79861450195301</v>
      </c>
      <c r="C17" s="7">
        <v>133.275466918945</v>
      </c>
      <c r="D17" s="7">
        <v>821.75927734375</v>
      </c>
      <c r="E17" s="5">
        <f t="shared" si="0"/>
        <v>0.96677562040441178</v>
      </c>
    </row>
    <row r="18" spans="1:5" x14ac:dyDescent="0.25">
      <c r="A18" s="8">
        <v>42474.78125</v>
      </c>
      <c r="B18" s="7">
        <v>424.91320800781301</v>
      </c>
      <c r="C18" s="7">
        <v>140.97222900390599</v>
      </c>
      <c r="D18" s="7">
        <v>818.576416015625</v>
      </c>
      <c r="E18" s="5">
        <f t="shared" si="0"/>
        <v>0.96303107766544116</v>
      </c>
    </row>
    <row r="19" spans="1:5" x14ac:dyDescent="0.25">
      <c r="A19" s="8">
        <v>42474.791666666664</v>
      </c>
      <c r="B19" s="7">
        <v>427.51736450195301</v>
      </c>
      <c r="C19" s="7">
        <v>144.31423950195301</v>
      </c>
      <c r="D19" s="7">
        <v>811.63195800781295</v>
      </c>
      <c r="E19" s="5">
        <f t="shared" si="0"/>
        <v>0.95486112706801529</v>
      </c>
    </row>
    <row r="20" spans="1:5" x14ac:dyDescent="0.25">
      <c r="A20" s="8">
        <v>42474.802083333336</v>
      </c>
      <c r="B20" s="7">
        <v>428.09606933593801</v>
      </c>
      <c r="C20" s="7">
        <v>145.42823791503901</v>
      </c>
      <c r="D20" s="7">
        <v>803.53009033203102</v>
      </c>
      <c r="E20" s="5">
        <f t="shared" si="0"/>
        <v>0.9453295180376835</v>
      </c>
    </row>
    <row r="21" spans="1:5" x14ac:dyDescent="0.25">
      <c r="A21" s="8">
        <v>42474.8125</v>
      </c>
      <c r="B21" s="7">
        <v>428.09606933593801</v>
      </c>
      <c r="C21" s="7">
        <v>146.035888671875</v>
      </c>
      <c r="D21" s="7">
        <v>803.53009033203102</v>
      </c>
      <c r="E21" s="5">
        <f t="shared" si="0"/>
        <v>0.9453295180376835</v>
      </c>
    </row>
    <row r="22" spans="1:5" x14ac:dyDescent="0.25">
      <c r="A22" s="8">
        <v>42474.822916666664</v>
      </c>
      <c r="B22" s="7">
        <v>428.09606933593801</v>
      </c>
      <c r="C22" s="7">
        <v>146.035888671875</v>
      </c>
      <c r="D22" s="7">
        <v>801.504638671875</v>
      </c>
      <c r="E22" s="5">
        <f t="shared" si="0"/>
        <v>0.94294663373161769</v>
      </c>
    </row>
    <row r="23" spans="1:5" x14ac:dyDescent="0.25">
      <c r="A23" s="8">
        <v>42474.833333333336</v>
      </c>
      <c r="B23" s="7">
        <v>428.38540649414102</v>
      </c>
      <c r="C23" s="7">
        <v>146.035888671875</v>
      </c>
      <c r="D23" s="7">
        <v>807.00231933593795</v>
      </c>
      <c r="E23" s="5">
        <f t="shared" si="0"/>
        <v>0.9494144933363976</v>
      </c>
    </row>
    <row r="24" spans="1:5" x14ac:dyDescent="0.25">
      <c r="A24" s="8">
        <v>42474.84375</v>
      </c>
      <c r="B24" s="7">
        <v>428.964111328125</v>
      </c>
      <c r="C24" s="7">
        <v>146.035888671875</v>
      </c>
      <c r="D24" s="7">
        <v>797.45367431640602</v>
      </c>
      <c r="E24" s="5">
        <f t="shared" si="0"/>
        <v>0.93818079331341886</v>
      </c>
    </row>
    <row r="25" spans="1:5" x14ac:dyDescent="0.25">
      <c r="A25" s="8">
        <v>42474.854166666664</v>
      </c>
      <c r="B25" s="7">
        <v>429.10879516601602</v>
      </c>
      <c r="C25" s="7">
        <v>146.44097900390599</v>
      </c>
      <c r="D25" s="7">
        <v>803.53009033203102</v>
      </c>
      <c r="E25" s="5">
        <f t="shared" si="0"/>
        <v>0.9453295180376835</v>
      </c>
    </row>
    <row r="26" spans="1:5" x14ac:dyDescent="0.25">
      <c r="A26" s="8">
        <v>42474.864583333336</v>
      </c>
      <c r="B26" s="7">
        <v>429.54281616210898</v>
      </c>
      <c r="C26" s="7">
        <v>146.33970642089801</v>
      </c>
      <c r="D26" s="7">
        <v>799.76849365234398</v>
      </c>
      <c r="E26" s="5">
        <f t="shared" si="0"/>
        <v>0.94090411017922826</v>
      </c>
    </row>
    <row r="27" spans="1:5" x14ac:dyDescent="0.25">
      <c r="A27" s="8">
        <v>42474.875</v>
      </c>
      <c r="B27" s="7">
        <v>428.964111328125</v>
      </c>
      <c r="C27" s="7">
        <v>146.33970642089801</v>
      </c>
      <c r="D27" s="7">
        <v>800.34722900390602</v>
      </c>
      <c r="E27" s="5">
        <f t="shared" si="0"/>
        <v>0.94158497529871299</v>
      </c>
    </row>
    <row r="28" spans="1:5" x14ac:dyDescent="0.25">
      <c r="A28" s="8">
        <v>42474.885416666664</v>
      </c>
      <c r="B28" s="7">
        <v>436.776611328125</v>
      </c>
      <c r="C28" s="7">
        <v>142.49131774902301</v>
      </c>
      <c r="D28" s="7">
        <v>642.93981933593795</v>
      </c>
      <c r="E28" s="5">
        <f t="shared" si="0"/>
        <v>0.75639978745404468</v>
      </c>
    </row>
    <row r="29" spans="1:5" x14ac:dyDescent="0.25">
      <c r="A29" s="8">
        <v>42474.895833333336</v>
      </c>
      <c r="B29" s="7">
        <v>433.30438232421898</v>
      </c>
      <c r="C29" s="7">
        <v>142.99768066406301</v>
      </c>
      <c r="D29" s="7">
        <v>750.57867431640602</v>
      </c>
      <c r="E29" s="5">
        <f t="shared" si="0"/>
        <v>0.88303373448988942</v>
      </c>
    </row>
    <row r="30" spans="1:5" x14ac:dyDescent="0.25">
      <c r="A30" s="8">
        <v>42474.90625</v>
      </c>
      <c r="B30" s="7">
        <v>433.15972900390602</v>
      </c>
      <c r="C30" s="7">
        <v>142.896408081055</v>
      </c>
      <c r="D30" s="7">
        <v>751.15740966796898</v>
      </c>
      <c r="E30" s="5">
        <f t="shared" si="0"/>
        <v>0.88371459960937526</v>
      </c>
    </row>
    <row r="31" spans="1:5" x14ac:dyDescent="0.25">
      <c r="A31" s="8">
        <v>42474.916666666664</v>
      </c>
      <c r="B31" s="7">
        <v>432.72570800781301</v>
      </c>
      <c r="C31" s="7">
        <v>142.79513549804699</v>
      </c>
      <c r="D31" s="7">
        <v>748.263916015625</v>
      </c>
      <c r="E31" s="5">
        <f t="shared" si="0"/>
        <v>0.88031048943014711</v>
      </c>
    </row>
    <row r="32" spans="1:5" x14ac:dyDescent="0.25">
      <c r="A32" s="8">
        <v>42474.927083333336</v>
      </c>
      <c r="B32" s="7">
        <v>434.89584350585898</v>
      </c>
      <c r="C32" s="7">
        <v>141.37731933593801</v>
      </c>
      <c r="D32" s="7">
        <v>705.15045166015602</v>
      </c>
      <c r="E32" s="5">
        <f t="shared" si="0"/>
        <v>0.82958876665900705</v>
      </c>
    </row>
    <row r="33" spans="1:5" x14ac:dyDescent="0.25">
      <c r="A33" s="8">
        <v>42474.9375</v>
      </c>
      <c r="B33" s="7">
        <v>436.34259033203102</v>
      </c>
      <c r="C33" s="7">
        <v>140.162033081055</v>
      </c>
      <c r="D33" s="7">
        <v>684.02777099609398</v>
      </c>
      <c r="E33" s="5">
        <f t="shared" si="0"/>
        <v>0.80473855411305173</v>
      </c>
    </row>
    <row r="34" spans="1:5" x14ac:dyDescent="0.25">
      <c r="A34" s="8">
        <v>42474.947916666664</v>
      </c>
      <c r="B34" s="7">
        <v>437.06597900390602</v>
      </c>
      <c r="C34" s="7">
        <v>138.84548950195301</v>
      </c>
      <c r="D34" s="7">
        <v>679.10876464843795</v>
      </c>
      <c r="E34" s="5">
        <f t="shared" si="0"/>
        <v>0.79895148782169167</v>
      </c>
    </row>
    <row r="35" spans="1:5" x14ac:dyDescent="0.25">
      <c r="A35" s="8">
        <v>42474.958333333336</v>
      </c>
      <c r="B35" s="7">
        <v>439.38079833984398</v>
      </c>
      <c r="C35" s="7">
        <v>136.82002258300801</v>
      </c>
      <c r="D35" s="7">
        <v>646.701416015625</v>
      </c>
      <c r="E35" s="5">
        <f t="shared" si="0"/>
        <v>0.76082519531250004</v>
      </c>
    </row>
    <row r="36" spans="1:5" x14ac:dyDescent="0.25">
      <c r="A36" s="8">
        <v>42474.96875</v>
      </c>
      <c r="B36" s="7">
        <v>441.84027099609398</v>
      </c>
      <c r="C36" s="7">
        <v>134.18692016601599</v>
      </c>
      <c r="D36" s="7">
        <v>596.64349365234398</v>
      </c>
      <c r="E36" s="5">
        <f t="shared" si="0"/>
        <v>0.7019335219439341</v>
      </c>
    </row>
    <row r="37" spans="1:5" x14ac:dyDescent="0.25">
      <c r="A37" s="8">
        <v>42474.979166666664</v>
      </c>
      <c r="B37" s="7">
        <v>442.85299682617199</v>
      </c>
      <c r="C37" s="7">
        <v>132.56655883789099</v>
      </c>
      <c r="D37" s="7">
        <v>584.49072265625</v>
      </c>
      <c r="E37" s="5">
        <f t="shared" si="0"/>
        <v>0.68763614430147058</v>
      </c>
    </row>
    <row r="38" spans="1:5" x14ac:dyDescent="0.25">
      <c r="A38" s="8">
        <v>42474.989583333336</v>
      </c>
      <c r="B38" s="7">
        <v>442.99768066406301</v>
      </c>
      <c r="C38" s="7">
        <v>131.35127258300801</v>
      </c>
      <c r="D38" s="7">
        <v>581.59722900390602</v>
      </c>
      <c r="E38" s="5">
        <f t="shared" si="0"/>
        <v>0.68423203412224243</v>
      </c>
    </row>
    <row r="39" spans="1:5" x14ac:dyDescent="0.25">
      <c r="A39" s="8">
        <v>42475</v>
      </c>
      <c r="B39" s="7">
        <v>442.70834350585898</v>
      </c>
      <c r="C39" s="7">
        <v>131.04745483398401</v>
      </c>
      <c r="D39" s="7">
        <v>597.51159667968795</v>
      </c>
      <c r="E39" s="5">
        <f t="shared" si="0"/>
        <v>0.70295481962316231</v>
      </c>
    </row>
    <row r="40" spans="1:5" x14ac:dyDescent="0.25">
      <c r="A40" s="8">
        <v>42475.010416666664</v>
      </c>
      <c r="B40" s="7">
        <v>442.99768066406301</v>
      </c>
      <c r="C40" s="7">
        <v>131.14872741699199</v>
      </c>
      <c r="D40" s="7">
        <v>578.41436767578102</v>
      </c>
      <c r="E40" s="5">
        <f t="shared" si="0"/>
        <v>0.6804874913832718</v>
      </c>
    </row>
    <row r="41" spans="1:5" x14ac:dyDescent="0.25">
      <c r="A41" s="8">
        <v>42475.020833333336</v>
      </c>
      <c r="B41" s="7">
        <v>442.99768066406301</v>
      </c>
      <c r="C41" s="7">
        <v>131.14872741699199</v>
      </c>
      <c r="D41" s="7">
        <v>584.49072265625</v>
      </c>
      <c r="E41" s="5">
        <f t="shared" si="0"/>
        <v>0.68763614430147058</v>
      </c>
    </row>
    <row r="42" spans="1:5" x14ac:dyDescent="0.25">
      <c r="A42" s="8">
        <v>42475.03125</v>
      </c>
      <c r="B42" s="7">
        <v>444.29977416992199</v>
      </c>
      <c r="C42" s="7">
        <v>129.629638671875</v>
      </c>
      <c r="D42" s="7">
        <v>565.39349365234398</v>
      </c>
      <c r="E42" s="5">
        <f t="shared" si="0"/>
        <v>0.66516881606158118</v>
      </c>
    </row>
    <row r="43" spans="1:5" x14ac:dyDescent="0.25">
      <c r="A43" s="8">
        <v>42475.041666666664</v>
      </c>
      <c r="B43" s="7">
        <v>444.29977416992199</v>
      </c>
      <c r="C43" s="7">
        <v>128.81944274902301</v>
      </c>
      <c r="D43" s="7">
        <v>556.13427734375</v>
      </c>
      <c r="E43" s="5">
        <f t="shared" si="0"/>
        <v>0.65427562040441178</v>
      </c>
    </row>
    <row r="44" spans="1:5" x14ac:dyDescent="0.25">
      <c r="A44" s="8">
        <v>42475.052083333336</v>
      </c>
      <c r="B44" s="7">
        <v>444.44445800781301</v>
      </c>
      <c r="C44" s="7">
        <v>128.61689758300801</v>
      </c>
      <c r="D44" s="7">
        <v>557.29168701171898</v>
      </c>
      <c r="E44" s="5">
        <f t="shared" si="0"/>
        <v>0.65563727883731648</v>
      </c>
    </row>
    <row r="45" spans="1:5" x14ac:dyDescent="0.25">
      <c r="A45" s="8">
        <v>42475.0625</v>
      </c>
      <c r="B45" s="7">
        <v>444.73379516601602</v>
      </c>
      <c r="C45" s="7">
        <v>128.31307983398401</v>
      </c>
      <c r="D45" s="7">
        <v>554.39813232421898</v>
      </c>
      <c r="E45" s="5">
        <f t="shared" si="0"/>
        <v>0.65223309685202235</v>
      </c>
    </row>
    <row r="46" spans="1:5" x14ac:dyDescent="0.25">
      <c r="A46" s="8">
        <v>42475.072916666664</v>
      </c>
      <c r="B46" s="7">
        <v>444.44445800781301</v>
      </c>
      <c r="C46" s="7">
        <v>128.00926208496099</v>
      </c>
      <c r="D46" s="7">
        <v>565.39349365234398</v>
      </c>
      <c r="E46" s="5">
        <f t="shared" si="0"/>
        <v>0.66516881606158118</v>
      </c>
    </row>
    <row r="47" spans="1:5" x14ac:dyDescent="0.25">
      <c r="A47" s="8">
        <v>42475.083333333336</v>
      </c>
      <c r="B47" s="7">
        <v>444.73379516601602</v>
      </c>
      <c r="C47" s="7">
        <v>128.11053466796901</v>
      </c>
      <c r="D47" s="7">
        <v>555.55554199218795</v>
      </c>
      <c r="E47" s="5">
        <f t="shared" si="0"/>
        <v>0.65359475528492705</v>
      </c>
    </row>
    <row r="48" spans="1:5" x14ac:dyDescent="0.25">
      <c r="A48" s="8">
        <v>42475.09375</v>
      </c>
      <c r="B48" s="7">
        <v>444.87847900390602</v>
      </c>
      <c r="C48" s="7">
        <v>127.502891540527</v>
      </c>
      <c r="D48" s="7">
        <v>548.32177734375</v>
      </c>
      <c r="E48" s="5">
        <f t="shared" si="0"/>
        <v>0.64508444393382358</v>
      </c>
    </row>
    <row r="49" spans="1:5" x14ac:dyDescent="0.25">
      <c r="A49" s="8">
        <v>42475.104166666664</v>
      </c>
      <c r="B49" s="7">
        <v>444.87847900390602</v>
      </c>
      <c r="C49" s="7">
        <v>127.60417175293</v>
      </c>
      <c r="D49" s="7">
        <v>541.37731933593795</v>
      </c>
      <c r="E49" s="5">
        <f t="shared" si="0"/>
        <v>0.6369144933363976</v>
      </c>
    </row>
    <row r="50" spans="1:5" x14ac:dyDescent="0.25">
      <c r="A50" s="8">
        <v>42475.114583333336</v>
      </c>
      <c r="B50" s="7">
        <v>444.87847900390602</v>
      </c>
      <c r="C50" s="7">
        <v>127.705444335938</v>
      </c>
      <c r="D50" s="7">
        <v>550.34722900390602</v>
      </c>
      <c r="E50" s="5">
        <f t="shared" si="0"/>
        <v>0.64746732823988939</v>
      </c>
    </row>
    <row r="51" spans="1:5" x14ac:dyDescent="0.25">
      <c r="A51" s="8">
        <v>42475.125</v>
      </c>
      <c r="B51" s="7">
        <v>445.02313232421898</v>
      </c>
      <c r="C51" s="7">
        <v>127.60417175293</v>
      </c>
      <c r="D51" s="7">
        <v>536.45831298828102</v>
      </c>
      <c r="E51" s="5">
        <f t="shared" si="0"/>
        <v>0.63112742704503655</v>
      </c>
    </row>
    <row r="52" spans="1:5" x14ac:dyDescent="0.25">
      <c r="A52" s="8">
        <v>42475.135416666664</v>
      </c>
      <c r="B52" s="7">
        <v>445.02313232421898</v>
      </c>
      <c r="C52" s="7">
        <v>127.502891540527</v>
      </c>
      <c r="D52" s="7">
        <v>539.93054199218795</v>
      </c>
      <c r="E52" s="5">
        <f t="shared" si="0"/>
        <v>0.63521240234375054</v>
      </c>
    </row>
    <row r="53" spans="1:5" x14ac:dyDescent="0.25">
      <c r="A53" s="8">
        <v>42475.145833333336</v>
      </c>
      <c r="B53" s="7">
        <v>445.02313232421898</v>
      </c>
      <c r="C53" s="7">
        <v>127.806716918945</v>
      </c>
      <c r="D53" s="7">
        <v>532.40740966796898</v>
      </c>
      <c r="E53" s="5">
        <f t="shared" si="0"/>
        <v>0.6263616584329047</v>
      </c>
    </row>
    <row r="54" spans="1:5" x14ac:dyDescent="0.25">
      <c r="A54" s="8">
        <v>42475.15625</v>
      </c>
      <c r="B54" s="7">
        <v>445.45718383789102</v>
      </c>
      <c r="C54" s="7">
        <v>127.60417175293</v>
      </c>
      <c r="D54" s="7">
        <v>530.09259033203102</v>
      </c>
      <c r="E54" s="5">
        <f t="shared" si="0"/>
        <v>0.6236383415670953</v>
      </c>
    </row>
    <row r="55" spans="1:5" x14ac:dyDescent="0.25">
      <c r="A55" s="8">
        <v>42475.166666666664</v>
      </c>
      <c r="B55" s="7">
        <v>445.45718383789102</v>
      </c>
      <c r="C55" s="7">
        <v>127.300346374512</v>
      </c>
      <c r="D55" s="7">
        <v>535.30090332031295</v>
      </c>
      <c r="E55" s="5">
        <f t="shared" si="0"/>
        <v>0.62976576861213285</v>
      </c>
    </row>
    <row r="56" spans="1:5" x14ac:dyDescent="0.25">
      <c r="A56" s="8">
        <v>42475.177083333336</v>
      </c>
      <c r="B56" s="7">
        <v>445.02313232421898</v>
      </c>
      <c r="C56" s="7">
        <v>127.60417175293</v>
      </c>
      <c r="D56" s="7">
        <v>537.326416015625</v>
      </c>
      <c r="E56" s="5">
        <f t="shared" si="0"/>
        <v>0.63214872472426475</v>
      </c>
    </row>
    <row r="57" spans="1:5" x14ac:dyDescent="0.25">
      <c r="A57" s="8">
        <v>42475.1875</v>
      </c>
      <c r="B57" s="7">
        <v>444.15509033203102</v>
      </c>
      <c r="C57" s="7">
        <v>128.21180725097699</v>
      </c>
      <c r="D57" s="7">
        <v>562.5</v>
      </c>
      <c r="E57" s="5">
        <f t="shared" si="0"/>
        <v>0.66176470588235292</v>
      </c>
    </row>
    <row r="58" spans="1:5" x14ac:dyDescent="0.25">
      <c r="A58" s="8">
        <v>42475.197916666664</v>
      </c>
      <c r="B58" s="7">
        <v>443.57638549804699</v>
      </c>
      <c r="C58" s="7">
        <v>129.32580566406301</v>
      </c>
      <c r="D58" s="7">
        <v>577.54626464843795</v>
      </c>
      <c r="E58" s="5">
        <f t="shared" si="0"/>
        <v>0.67946619370404471</v>
      </c>
    </row>
    <row r="59" spans="1:5" x14ac:dyDescent="0.25">
      <c r="A59" s="8">
        <v>42475.208333333336</v>
      </c>
      <c r="B59" s="7">
        <v>443.28704833984398</v>
      </c>
      <c r="C59" s="7">
        <v>129.73091125488301</v>
      </c>
      <c r="D59" s="7">
        <v>578.70367431640602</v>
      </c>
      <c r="E59" s="5">
        <f t="shared" si="0"/>
        <v>0.6808278521369483</v>
      </c>
    </row>
    <row r="60" spans="1:5" x14ac:dyDescent="0.25">
      <c r="A60" s="8">
        <v>42475.21875</v>
      </c>
      <c r="B60" s="7">
        <v>442.70834350585898</v>
      </c>
      <c r="C60" s="7">
        <v>130.74363708496099</v>
      </c>
      <c r="D60" s="7">
        <v>594.61804199218795</v>
      </c>
      <c r="E60" s="5">
        <f t="shared" si="0"/>
        <v>0.69955063763786818</v>
      </c>
    </row>
    <row r="61" spans="1:5" x14ac:dyDescent="0.25">
      <c r="A61" s="8">
        <v>42475.229166666664</v>
      </c>
      <c r="B61" s="7">
        <v>442.99768066406301</v>
      </c>
      <c r="C61" s="7">
        <v>131.14872741699199</v>
      </c>
      <c r="D61" s="7">
        <v>593.46063232421898</v>
      </c>
      <c r="E61" s="5">
        <f t="shared" si="0"/>
        <v>0.69818897920496348</v>
      </c>
    </row>
    <row r="62" spans="1:5" x14ac:dyDescent="0.25">
      <c r="A62" s="8">
        <v>42475.239583333336</v>
      </c>
      <c r="B62" s="7">
        <v>443.43170166015602</v>
      </c>
      <c r="C62" s="7">
        <v>131.14872741699199</v>
      </c>
      <c r="D62" s="7">
        <v>573.495361328125</v>
      </c>
      <c r="E62" s="5">
        <f t="shared" si="0"/>
        <v>0.67470042509191175</v>
      </c>
    </row>
    <row r="63" spans="1:5" x14ac:dyDescent="0.25">
      <c r="A63" s="8">
        <v>42475.25</v>
      </c>
      <c r="B63" s="7">
        <v>442.27429199218801</v>
      </c>
      <c r="C63" s="7">
        <v>132.06018066406301</v>
      </c>
      <c r="D63" s="7">
        <v>610.53240966796898</v>
      </c>
      <c r="E63" s="5">
        <f t="shared" si="0"/>
        <v>0.71827342313878706</v>
      </c>
    </row>
    <row r="64" spans="1:5" x14ac:dyDescent="0.25">
      <c r="A64" s="8">
        <v>42475.260416666664</v>
      </c>
      <c r="B64" s="7">
        <v>440.53820800781301</v>
      </c>
      <c r="C64" s="7">
        <v>134.18692016601599</v>
      </c>
      <c r="D64" s="7">
        <v>644.96527099609398</v>
      </c>
      <c r="E64" s="5">
        <f t="shared" si="0"/>
        <v>0.75878267176011061</v>
      </c>
    </row>
    <row r="65" spans="1:5" x14ac:dyDescent="0.25">
      <c r="A65" s="8">
        <v>42475.270833333336</v>
      </c>
      <c r="B65" s="7">
        <v>439.38079833984398</v>
      </c>
      <c r="C65" s="7">
        <v>134.89582824707</v>
      </c>
      <c r="D65" s="7">
        <v>641.49304199218795</v>
      </c>
      <c r="E65" s="5">
        <f t="shared" si="0"/>
        <v>0.75469769646139762</v>
      </c>
    </row>
    <row r="66" spans="1:5" x14ac:dyDescent="0.25">
      <c r="A66" s="8">
        <v>42475.28125</v>
      </c>
      <c r="B66" s="7">
        <v>436.05325317382801</v>
      </c>
      <c r="C66" s="7">
        <v>131.65509033203099</v>
      </c>
      <c r="D66" s="7">
        <v>636.57409667968795</v>
      </c>
      <c r="E66" s="5">
        <f t="shared" si="0"/>
        <v>0.74891070197610343</v>
      </c>
    </row>
    <row r="67" spans="1:5" x14ac:dyDescent="0.25">
      <c r="A67" s="8">
        <v>42475.291666666664</v>
      </c>
      <c r="B67" s="7">
        <v>439.67013549804699</v>
      </c>
      <c r="C67" s="7">
        <v>134.38946533203099</v>
      </c>
      <c r="D67" s="7">
        <v>648.72686767578102</v>
      </c>
      <c r="E67" s="5">
        <f t="shared" ref="E67:E130" si="1">+D67/850</f>
        <v>0.76320807961856596</v>
      </c>
    </row>
    <row r="68" spans="1:5" x14ac:dyDescent="0.25">
      <c r="A68" s="8">
        <v>42475.302083333336</v>
      </c>
      <c r="B68" s="7">
        <v>434.89584350585898</v>
      </c>
      <c r="C68" s="7">
        <v>131.25</v>
      </c>
      <c r="D68" s="7">
        <v>681.71295166015602</v>
      </c>
      <c r="E68" s="5">
        <f t="shared" si="1"/>
        <v>0.80201523724724233</v>
      </c>
    </row>
    <row r="69" spans="1:5" x14ac:dyDescent="0.25">
      <c r="A69" s="8">
        <v>42475.3125</v>
      </c>
      <c r="B69" s="7">
        <v>433.88308715820301</v>
      </c>
      <c r="C69" s="7">
        <v>131.25</v>
      </c>
      <c r="D69" s="7">
        <v>684.02777099609398</v>
      </c>
      <c r="E69" s="5">
        <f t="shared" si="1"/>
        <v>0.80473855411305173</v>
      </c>
    </row>
    <row r="70" spans="1:5" x14ac:dyDescent="0.25">
      <c r="A70" s="8">
        <v>42475.322916666664</v>
      </c>
      <c r="B70" s="7">
        <v>438.94674682617199</v>
      </c>
      <c r="C70" s="7">
        <v>131.55381774902301</v>
      </c>
      <c r="D70" s="7">
        <v>610.53240966796898</v>
      </c>
      <c r="E70" s="5">
        <f t="shared" si="1"/>
        <v>0.71827342313878706</v>
      </c>
    </row>
    <row r="71" spans="1:5" x14ac:dyDescent="0.25">
      <c r="A71" s="8">
        <v>42475.333333333336</v>
      </c>
      <c r="B71" s="7">
        <v>432.58102416992199</v>
      </c>
      <c r="C71" s="7">
        <v>134.18692016601599</v>
      </c>
      <c r="D71" s="7">
        <v>727.43054199218795</v>
      </c>
      <c r="E71" s="5">
        <f t="shared" si="1"/>
        <v>0.85580063763786818</v>
      </c>
    </row>
    <row r="72" spans="1:5" x14ac:dyDescent="0.25">
      <c r="A72" s="8">
        <v>42475.34375</v>
      </c>
      <c r="B72" s="7">
        <v>430.98959350585898</v>
      </c>
      <c r="C72" s="7">
        <v>131.14872741699199</v>
      </c>
      <c r="D72" s="7">
        <v>683.15972900390602</v>
      </c>
      <c r="E72" s="5">
        <f t="shared" si="1"/>
        <v>0.80371732823988939</v>
      </c>
    </row>
    <row r="73" spans="1:5" x14ac:dyDescent="0.25">
      <c r="A73" s="8">
        <v>42475.354166666664</v>
      </c>
      <c r="B73" s="7">
        <v>436.05325317382801</v>
      </c>
      <c r="C73" s="7">
        <v>134.79455566406301</v>
      </c>
      <c r="D73" s="7">
        <v>694.15509033203102</v>
      </c>
      <c r="E73" s="5">
        <f t="shared" si="1"/>
        <v>0.81665304744944822</v>
      </c>
    </row>
    <row r="74" spans="1:5" x14ac:dyDescent="0.25">
      <c r="A74" s="8">
        <v>42475.364583333336</v>
      </c>
      <c r="B74" s="7">
        <v>431.71295166015602</v>
      </c>
      <c r="C74" s="7">
        <v>131.04745483398401</v>
      </c>
      <c r="D74" s="7">
        <v>692.129638671875</v>
      </c>
      <c r="E74" s="5">
        <f t="shared" si="1"/>
        <v>0.81427016314338241</v>
      </c>
    </row>
    <row r="75" spans="1:5" x14ac:dyDescent="0.25">
      <c r="A75" s="8">
        <v>42475.375</v>
      </c>
      <c r="B75" s="7">
        <v>436.776611328125</v>
      </c>
      <c r="C75" s="7">
        <v>135.40220642089801</v>
      </c>
      <c r="D75" s="7">
        <v>694.15509033203102</v>
      </c>
      <c r="E75" s="5">
        <f t="shared" si="1"/>
        <v>0.81665304744944822</v>
      </c>
    </row>
    <row r="76" spans="1:5" x14ac:dyDescent="0.25">
      <c r="A76" s="8">
        <v>42475.385416666664</v>
      </c>
      <c r="B76" s="7">
        <v>435.76388549804699</v>
      </c>
      <c r="C76" s="7">
        <v>138.44039916992199</v>
      </c>
      <c r="D76" s="7">
        <v>729.16668701171898</v>
      </c>
      <c r="E76" s="5">
        <f t="shared" si="1"/>
        <v>0.85784316119025761</v>
      </c>
    </row>
    <row r="77" spans="1:5" x14ac:dyDescent="0.25">
      <c r="A77" s="8">
        <v>42475.395833333336</v>
      </c>
      <c r="B77" s="7">
        <v>433.30438232421898</v>
      </c>
      <c r="C77" s="7">
        <v>141.68113708496099</v>
      </c>
      <c r="D77" s="7">
        <v>761.28472900390602</v>
      </c>
      <c r="E77" s="5">
        <f t="shared" si="1"/>
        <v>0.89562909294577175</v>
      </c>
    </row>
    <row r="78" spans="1:5" x14ac:dyDescent="0.25">
      <c r="A78" s="8">
        <v>42475.40625</v>
      </c>
      <c r="B78" s="7">
        <v>432.870361328125</v>
      </c>
      <c r="C78" s="7">
        <v>143.301513671875</v>
      </c>
      <c r="D78" s="7">
        <v>764.17822265625</v>
      </c>
      <c r="E78" s="5">
        <f t="shared" si="1"/>
        <v>0.89903320312500001</v>
      </c>
    </row>
    <row r="79" spans="1:5" x14ac:dyDescent="0.25">
      <c r="A79" s="8">
        <v>42475.416666666664</v>
      </c>
      <c r="B79" s="7">
        <v>432.58102416992199</v>
      </c>
      <c r="C79" s="7">
        <v>144.51678466796901</v>
      </c>
      <c r="D79" s="7">
        <v>753.47222900390602</v>
      </c>
      <c r="E79" s="5">
        <f t="shared" si="1"/>
        <v>0.88643791647518355</v>
      </c>
    </row>
    <row r="80" spans="1:5" x14ac:dyDescent="0.25">
      <c r="A80" s="8">
        <v>42475.427083333336</v>
      </c>
      <c r="B80" s="7">
        <v>433.59375</v>
      </c>
      <c r="C80" s="7">
        <v>144.31423950195301</v>
      </c>
      <c r="D80" s="7">
        <v>742.1875</v>
      </c>
      <c r="E80" s="5">
        <f t="shared" si="1"/>
        <v>0.87316176470588236</v>
      </c>
    </row>
    <row r="81" spans="1:5" x14ac:dyDescent="0.25">
      <c r="A81" s="8">
        <v>42475.4375</v>
      </c>
      <c r="B81" s="7">
        <v>429.54281616210898</v>
      </c>
      <c r="C81" s="7">
        <v>139.85821533203099</v>
      </c>
      <c r="D81" s="7">
        <v>757.23376464843795</v>
      </c>
      <c r="E81" s="5">
        <f t="shared" si="1"/>
        <v>0.89086325252757403</v>
      </c>
    </row>
    <row r="82" spans="1:5" x14ac:dyDescent="0.25">
      <c r="A82" s="8">
        <v>42475.447916666664</v>
      </c>
      <c r="B82" s="7">
        <v>434.60647583007801</v>
      </c>
      <c r="C82" s="7">
        <v>141.78240966796901</v>
      </c>
      <c r="D82" s="7">
        <v>716.14581298828102</v>
      </c>
      <c r="E82" s="5">
        <f t="shared" si="1"/>
        <v>0.84252448586856588</v>
      </c>
    </row>
    <row r="83" spans="1:5" x14ac:dyDescent="0.25">
      <c r="A83" s="8">
        <v>42475.458333333336</v>
      </c>
      <c r="B83" s="7">
        <v>429.83218383789102</v>
      </c>
      <c r="C83" s="7">
        <v>135.19966125488301</v>
      </c>
      <c r="D83" s="7">
        <v>723.379638671875</v>
      </c>
      <c r="E83" s="5">
        <f t="shared" si="1"/>
        <v>0.85103486902573533</v>
      </c>
    </row>
    <row r="84" spans="1:5" x14ac:dyDescent="0.25">
      <c r="A84" s="8">
        <v>42475.46875</v>
      </c>
      <c r="B84" s="7">
        <v>428.81945800781301</v>
      </c>
      <c r="C84" s="7">
        <v>129.224533081055</v>
      </c>
      <c r="D84" s="7">
        <v>654.513916015625</v>
      </c>
      <c r="E84" s="5">
        <f t="shared" si="1"/>
        <v>0.77001637178308824</v>
      </c>
    </row>
    <row r="85" spans="1:5" x14ac:dyDescent="0.25">
      <c r="A85" s="8">
        <v>42475.479166666664</v>
      </c>
      <c r="B85" s="7">
        <v>434.60647583007801</v>
      </c>
      <c r="C85" s="7">
        <v>137.12384033203099</v>
      </c>
      <c r="D85" s="7">
        <v>729.16668701171898</v>
      </c>
      <c r="E85" s="5">
        <f t="shared" si="1"/>
        <v>0.85784316119025761</v>
      </c>
    </row>
    <row r="86" spans="1:5" x14ac:dyDescent="0.25">
      <c r="A86" s="8">
        <v>42475.489583333336</v>
      </c>
      <c r="B86" s="7">
        <v>436.34259033203102</v>
      </c>
      <c r="C86" s="7">
        <v>140.76968383789099</v>
      </c>
      <c r="D86" s="7">
        <v>701.96759033203102</v>
      </c>
      <c r="E86" s="5">
        <f t="shared" si="1"/>
        <v>0.82584422392003654</v>
      </c>
    </row>
    <row r="87" spans="1:5" x14ac:dyDescent="0.25">
      <c r="A87" s="8">
        <v>42475.5</v>
      </c>
      <c r="B87" s="7">
        <v>434.75115966796898</v>
      </c>
      <c r="C87" s="7">
        <v>143.301513671875</v>
      </c>
      <c r="D87" s="7">
        <v>740.451416015625</v>
      </c>
      <c r="E87" s="5">
        <f t="shared" si="1"/>
        <v>0.8711193129595588</v>
      </c>
    </row>
    <row r="88" spans="1:5" x14ac:dyDescent="0.25">
      <c r="A88" s="8">
        <v>42475.510416666664</v>
      </c>
      <c r="B88" s="7">
        <v>432.72570800781301</v>
      </c>
      <c r="C88" s="7">
        <v>145.42823791503901</v>
      </c>
      <c r="D88" s="7">
        <v>764.17822265625</v>
      </c>
      <c r="E88" s="5">
        <f t="shared" si="1"/>
        <v>0.89903320312500001</v>
      </c>
    </row>
    <row r="89" spans="1:5" x14ac:dyDescent="0.25">
      <c r="A89" s="8">
        <v>42475.520833333336</v>
      </c>
      <c r="B89" s="7">
        <v>433.88308715820301</v>
      </c>
      <c r="C89" s="7">
        <v>145.83332824707</v>
      </c>
      <c r="D89" s="7">
        <v>743.34490966796898</v>
      </c>
      <c r="E89" s="5">
        <f t="shared" si="1"/>
        <v>0.87452342313878706</v>
      </c>
    </row>
    <row r="90" spans="1:5" x14ac:dyDescent="0.25">
      <c r="A90" s="8">
        <v>42475.53125</v>
      </c>
      <c r="B90" s="7">
        <v>433.15972900390602</v>
      </c>
      <c r="C90" s="7">
        <v>145.83332824707</v>
      </c>
      <c r="D90" s="7">
        <v>755.20831298828102</v>
      </c>
      <c r="E90" s="5">
        <f t="shared" si="1"/>
        <v>0.88848036822150711</v>
      </c>
    </row>
    <row r="91" spans="1:5" x14ac:dyDescent="0.25">
      <c r="A91" s="8">
        <v>42475.541666666664</v>
      </c>
      <c r="B91" s="7">
        <v>431.27893066406301</v>
      </c>
      <c r="C91" s="7">
        <v>146.33970642089801</v>
      </c>
      <c r="D91" s="7">
        <v>783.27545166015602</v>
      </c>
      <c r="E91" s="5">
        <f t="shared" si="1"/>
        <v>0.92150053136488941</v>
      </c>
    </row>
    <row r="92" spans="1:5" x14ac:dyDescent="0.25">
      <c r="A92" s="8">
        <v>42475.552083333336</v>
      </c>
      <c r="B92" s="7">
        <v>432.43634033203102</v>
      </c>
      <c r="C92" s="7">
        <v>146.23843383789099</v>
      </c>
      <c r="D92" s="7">
        <v>747.10650634765602</v>
      </c>
      <c r="E92" s="5">
        <f t="shared" si="1"/>
        <v>0.87894883099724241</v>
      </c>
    </row>
    <row r="93" spans="1:5" x14ac:dyDescent="0.25">
      <c r="A93" s="8">
        <v>42475.5625</v>
      </c>
      <c r="B93" s="7">
        <v>432.14700317382801</v>
      </c>
      <c r="C93" s="7">
        <v>146.035888671875</v>
      </c>
      <c r="D93" s="7">
        <v>774.30554199218795</v>
      </c>
      <c r="E93" s="5">
        <f t="shared" si="1"/>
        <v>0.91094769646139762</v>
      </c>
    </row>
    <row r="94" spans="1:5" x14ac:dyDescent="0.25">
      <c r="A94" s="8">
        <v>42475.572916666664</v>
      </c>
      <c r="B94" s="7">
        <v>431.85763549804699</v>
      </c>
      <c r="C94" s="7">
        <v>146.23843383789099</v>
      </c>
      <c r="D94" s="7">
        <v>776.620361328125</v>
      </c>
      <c r="E94" s="5">
        <f t="shared" si="1"/>
        <v>0.91367101332720591</v>
      </c>
    </row>
    <row r="95" spans="1:5" x14ac:dyDescent="0.25">
      <c r="A95" s="8">
        <v>42475.583333333336</v>
      </c>
      <c r="B95" s="7">
        <v>434.17245483398398</v>
      </c>
      <c r="C95" s="7">
        <v>144.921875</v>
      </c>
      <c r="D95" s="7">
        <v>726.27313232421898</v>
      </c>
      <c r="E95" s="5">
        <f t="shared" si="1"/>
        <v>0.85443897920496348</v>
      </c>
    </row>
    <row r="96" spans="1:5" x14ac:dyDescent="0.25">
      <c r="A96" s="8">
        <v>42475.59375</v>
      </c>
      <c r="B96" s="7">
        <v>432.58102416992199</v>
      </c>
      <c r="C96" s="7">
        <v>144.31423950195301</v>
      </c>
      <c r="D96" s="7">
        <v>777.48840332031295</v>
      </c>
      <c r="E96" s="5">
        <f t="shared" si="1"/>
        <v>0.91469223920036813</v>
      </c>
    </row>
    <row r="97" spans="1:5" x14ac:dyDescent="0.25">
      <c r="A97" s="8">
        <v>42475.604166666664</v>
      </c>
      <c r="B97" s="7">
        <v>432.43634033203102</v>
      </c>
      <c r="C97" s="7">
        <v>144.212966918945</v>
      </c>
      <c r="D97" s="7">
        <v>762.442138671875</v>
      </c>
      <c r="E97" s="5">
        <f t="shared" si="1"/>
        <v>0.89699075137867645</v>
      </c>
    </row>
    <row r="98" spans="1:5" x14ac:dyDescent="0.25">
      <c r="A98" s="8">
        <v>42475.614583333336</v>
      </c>
      <c r="B98" s="7">
        <v>432.43634033203102</v>
      </c>
      <c r="C98" s="7">
        <v>144.31423950195301</v>
      </c>
      <c r="D98" s="7">
        <v>772.56945800781295</v>
      </c>
      <c r="E98" s="5">
        <f t="shared" si="1"/>
        <v>0.90890524471507406</v>
      </c>
    </row>
    <row r="99" spans="1:5" x14ac:dyDescent="0.25">
      <c r="A99" s="8">
        <v>42475.625</v>
      </c>
      <c r="B99" s="7">
        <v>430.55554199218801</v>
      </c>
      <c r="C99" s="7">
        <v>145.02314758300801</v>
      </c>
      <c r="D99" s="7">
        <v>800.34722900390602</v>
      </c>
      <c r="E99" s="5">
        <f t="shared" si="1"/>
        <v>0.94158497529871299</v>
      </c>
    </row>
    <row r="100" spans="1:5" x14ac:dyDescent="0.25">
      <c r="A100" s="8">
        <v>42475.635416666664</v>
      </c>
      <c r="B100" s="7">
        <v>430.98959350585898</v>
      </c>
      <c r="C100" s="7">
        <v>145.32696533203099</v>
      </c>
      <c r="D100" s="7">
        <v>782.40740966796898</v>
      </c>
      <c r="E100" s="5">
        <f t="shared" si="1"/>
        <v>0.92047930549172818</v>
      </c>
    </row>
    <row r="101" spans="1:5" x14ac:dyDescent="0.25">
      <c r="A101" s="8">
        <v>42475.645833333336</v>
      </c>
      <c r="B101" s="7">
        <v>431.27893066406301</v>
      </c>
      <c r="C101" s="7">
        <v>145.32696533203099</v>
      </c>
      <c r="D101" s="7">
        <v>760.12731933593795</v>
      </c>
      <c r="E101" s="5">
        <f t="shared" si="1"/>
        <v>0.89426743451286816</v>
      </c>
    </row>
    <row r="102" spans="1:5" x14ac:dyDescent="0.25">
      <c r="A102" s="8">
        <v>42475.65625</v>
      </c>
      <c r="B102" s="7">
        <v>431.27893066406301</v>
      </c>
      <c r="C102" s="7">
        <v>145.32696533203099</v>
      </c>
      <c r="D102" s="7">
        <v>786.74768066406295</v>
      </c>
      <c r="E102" s="5">
        <f t="shared" si="1"/>
        <v>0.92558550666360351</v>
      </c>
    </row>
    <row r="103" spans="1:5" x14ac:dyDescent="0.25">
      <c r="A103" s="8">
        <v>42475.666666666664</v>
      </c>
      <c r="B103" s="7">
        <v>436.776611328125</v>
      </c>
      <c r="C103" s="7">
        <v>143.80787658691401</v>
      </c>
      <c r="D103" s="7">
        <v>647.85876464843795</v>
      </c>
      <c r="E103" s="5">
        <f t="shared" si="1"/>
        <v>0.76218678193933875</v>
      </c>
    </row>
    <row r="104" spans="1:5" x14ac:dyDescent="0.25">
      <c r="A104" s="8">
        <v>42475.677083333336</v>
      </c>
      <c r="B104" s="7">
        <v>433.59375</v>
      </c>
      <c r="C104" s="7">
        <v>140.66841125488301</v>
      </c>
      <c r="D104" s="7">
        <v>747.10650634765602</v>
      </c>
      <c r="E104" s="5">
        <f t="shared" si="1"/>
        <v>0.87894883099724241</v>
      </c>
    </row>
    <row r="105" spans="1:5" x14ac:dyDescent="0.25">
      <c r="A105" s="8">
        <v>42475.6875</v>
      </c>
      <c r="B105" s="7">
        <v>431.85763549804699</v>
      </c>
      <c r="C105" s="7">
        <v>143.80787658691401</v>
      </c>
      <c r="D105" s="7">
        <v>770.254638671875</v>
      </c>
      <c r="E105" s="5">
        <f t="shared" si="1"/>
        <v>0.90618192784926466</v>
      </c>
    </row>
    <row r="106" spans="1:5" x14ac:dyDescent="0.25">
      <c r="A106" s="8">
        <v>42475.697916666664</v>
      </c>
      <c r="B106" s="7">
        <v>431.27893066406301</v>
      </c>
      <c r="C106" s="7">
        <v>145.02314758300801</v>
      </c>
      <c r="D106" s="7">
        <v>777.48840332031295</v>
      </c>
      <c r="E106" s="5">
        <f t="shared" si="1"/>
        <v>0.91469223920036813</v>
      </c>
    </row>
    <row r="107" spans="1:5" x14ac:dyDescent="0.25">
      <c r="A107" s="8">
        <v>42475.708333333336</v>
      </c>
      <c r="B107" s="7">
        <v>431.71295166015602</v>
      </c>
      <c r="C107" s="7">
        <v>145.22569274902301</v>
      </c>
      <c r="D107" s="7">
        <v>773.14813232421898</v>
      </c>
      <c r="E107" s="5">
        <f t="shared" si="1"/>
        <v>0.90958603802849292</v>
      </c>
    </row>
    <row r="108" spans="1:5" x14ac:dyDescent="0.25">
      <c r="A108" s="8">
        <v>42475.71875</v>
      </c>
      <c r="B108" s="7">
        <v>430.26620483398398</v>
      </c>
      <c r="C108" s="7">
        <v>145.93460083007801</v>
      </c>
      <c r="D108" s="7">
        <v>817.41900634765602</v>
      </c>
      <c r="E108" s="5">
        <f t="shared" si="1"/>
        <v>0.96166941923253646</v>
      </c>
    </row>
    <row r="109" spans="1:5" x14ac:dyDescent="0.25">
      <c r="A109" s="8">
        <v>42475.729166666664</v>
      </c>
      <c r="B109" s="7">
        <v>435.04049682617199</v>
      </c>
      <c r="C109" s="7">
        <v>143.301513671875</v>
      </c>
      <c r="D109" s="7">
        <v>729.16668701171898</v>
      </c>
      <c r="E109" s="5">
        <f t="shared" si="1"/>
        <v>0.85784316119025761</v>
      </c>
    </row>
    <row r="110" spans="1:5" x14ac:dyDescent="0.25">
      <c r="A110" s="8">
        <v>42475.739583333336</v>
      </c>
      <c r="B110" s="7">
        <v>434.89584350585898</v>
      </c>
      <c r="C110" s="7">
        <v>142.69386291503901</v>
      </c>
      <c r="D110" s="7">
        <v>730.32409667968795</v>
      </c>
      <c r="E110" s="5">
        <f t="shared" si="1"/>
        <v>0.85920481962316231</v>
      </c>
    </row>
    <row r="111" spans="1:5" x14ac:dyDescent="0.25">
      <c r="A111" s="8">
        <v>42475.75</v>
      </c>
      <c r="B111" s="7">
        <v>434.60647583007801</v>
      </c>
      <c r="C111" s="7">
        <v>142.39004516601599</v>
      </c>
      <c r="D111" s="7">
        <v>710.9375</v>
      </c>
      <c r="E111" s="5">
        <f t="shared" si="1"/>
        <v>0.83639705882352944</v>
      </c>
    </row>
    <row r="112" spans="1:5" x14ac:dyDescent="0.25">
      <c r="A112" s="8">
        <v>42475.760416666664</v>
      </c>
      <c r="B112" s="7">
        <v>435.32986450195301</v>
      </c>
      <c r="C112" s="7">
        <v>142.39004516601599</v>
      </c>
      <c r="D112" s="7">
        <v>709.201416015625</v>
      </c>
      <c r="E112" s="5">
        <f t="shared" si="1"/>
        <v>0.83435460707720588</v>
      </c>
    </row>
    <row r="113" spans="1:5" x14ac:dyDescent="0.25">
      <c r="A113" s="8">
        <v>42475.770833333336</v>
      </c>
      <c r="B113" s="7">
        <v>430.410888671875</v>
      </c>
      <c r="C113" s="7">
        <v>143.70660400390599</v>
      </c>
      <c r="D113" s="7">
        <v>821.46990966796898</v>
      </c>
      <c r="E113" s="5">
        <f t="shared" si="1"/>
        <v>0.96643518784466942</v>
      </c>
    </row>
    <row r="114" spans="1:5" x14ac:dyDescent="0.25">
      <c r="A114" s="8">
        <v>42475.78125</v>
      </c>
      <c r="B114" s="7">
        <v>428.964111328125</v>
      </c>
      <c r="C114" s="7">
        <v>145.42823791503901</v>
      </c>
      <c r="D114" s="7">
        <v>817.41900634765602</v>
      </c>
      <c r="E114" s="5">
        <f t="shared" si="1"/>
        <v>0.96166941923253646</v>
      </c>
    </row>
    <row r="115" spans="1:5" x14ac:dyDescent="0.25">
      <c r="A115" s="8">
        <v>42475.791666666664</v>
      </c>
      <c r="B115" s="7">
        <v>428.38540649414102</v>
      </c>
      <c r="C115" s="7">
        <v>145.93460083007801</v>
      </c>
      <c r="D115" s="7">
        <v>817.70831298828102</v>
      </c>
      <c r="E115" s="5">
        <f t="shared" si="1"/>
        <v>0.96200977998621295</v>
      </c>
    </row>
    <row r="116" spans="1:5" x14ac:dyDescent="0.25">
      <c r="A116" s="8">
        <v>42475.802083333336</v>
      </c>
      <c r="B116" s="7">
        <v>429.54281616210898</v>
      </c>
      <c r="C116" s="7">
        <v>146.035888671875</v>
      </c>
      <c r="D116" s="7">
        <v>803.53009033203102</v>
      </c>
      <c r="E116" s="5">
        <f t="shared" si="1"/>
        <v>0.9453295180376835</v>
      </c>
    </row>
    <row r="117" spans="1:5" x14ac:dyDescent="0.25">
      <c r="A117" s="8">
        <v>42475.8125</v>
      </c>
      <c r="B117" s="7">
        <v>429.54281616210898</v>
      </c>
      <c r="C117" s="7">
        <v>146.23843383789099</v>
      </c>
      <c r="D117" s="7">
        <v>808.73840332031295</v>
      </c>
      <c r="E117" s="5">
        <f t="shared" si="1"/>
        <v>0.95145694508272116</v>
      </c>
    </row>
    <row r="118" spans="1:5" x14ac:dyDescent="0.25">
      <c r="A118" s="8">
        <v>42475.822916666664</v>
      </c>
      <c r="B118" s="7">
        <v>429.83218383789102</v>
      </c>
      <c r="C118" s="7">
        <v>146.035888671875</v>
      </c>
      <c r="D118" s="7">
        <v>803.53009033203102</v>
      </c>
      <c r="E118" s="5">
        <f t="shared" si="1"/>
        <v>0.9453295180376835</v>
      </c>
    </row>
    <row r="119" spans="1:5" x14ac:dyDescent="0.25">
      <c r="A119" s="8">
        <v>42475.833333333336</v>
      </c>
      <c r="B119" s="7">
        <v>430.26620483398398</v>
      </c>
      <c r="C119" s="7">
        <v>146.74479675293</v>
      </c>
      <c r="D119" s="7">
        <v>804.39813232421898</v>
      </c>
      <c r="E119" s="5">
        <f t="shared" si="1"/>
        <v>0.94635074391084584</v>
      </c>
    </row>
    <row r="120" spans="1:5" x14ac:dyDescent="0.25">
      <c r="A120" s="8">
        <v>42475.84375</v>
      </c>
      <c r="B120" s="7">
        <v>430.70022583007801</v>
      </c>
      <c r="C120" s="7">
        <v>146.33970642089801</v>
      </c>
      <c r="D120" s="7">
        <v>794.56018066406295</v>
      </c>
      <c r="E120" s="5">
        <f t="shared" si="1"/>
        <v>0.93477668313419171</v>
      </c>
    </row>
    <row r="121" spans="1:5" x14ac:dyDescent="0.25">
      <c r="A121" s="8">
        <v>42475.854166666664</v>
      </c>
      <c r="B121" s="7">
        <v>431.27893066406301</v>
      </c>
      <c r="C121" s="7">
        <v>145.73205566406301</v>
      </c>
      <c r="D121" s="7">
        <v>783.27545166015602</v>
      </c>
      <c r="E121" s="5">
        <f t="shared" si="1"/>
        <v>0.92150053136488941</v>
      </c>
    </row>
    <row r="122" spans="1:5" x14ac:dyDescent="0.25">
      <c r="A122" s="8">
        <v>42475.864583333336</v>
      </c>
      <c r="B122" s="7">
        <v>430.55554199218801</v>
      </c>
      <c r="C122" s="7">
        <v>145.83332824707</v>
      </c>
      <c r="D122" s="7">
        <v>802.66204833984398</v>
      </c>
      <c r="E122" s="5">
        <f t="shared" si="1"/>
        <v>0.94430829216452228</v>
      </c>
    </row>
    <row r="123" spans="1:5" x14ac:dyDescent="0.25">
      <c r="A123" s="8">
        <v>42475.875</v>
      </c>
      <c r="B123" s="7">
        <v>430.70022583007801</v>
      </c>
      <c r="C123" s="7">
        <v>145.52951049804699</v>
      </c>
      <c r="D123" s="7">
        <v>791.37731933593795</v>
      </c>
      <c r="E123" s="5">
        <f t="shared" si="1"/>
        <v>0.93103214039522109</v>
      </c>
    </row>
    <row r="124" spans="1:5" x14ac:dyDescent="0.25">
      <c r="A124" s="8">
        <v>42475.885416666664</v>
      </c>
      <c r="B124" s="7">
        <v>431.42361450195301</v>
      </c>
      <c r="C124" s="7">
        <v>145.32696533203099</v>
      </c>
      <c r="D124" s="7">
        <v>782.40740966796898</v>
      </c>
      <c r="E124" s="5">
        <f t="shared" si="1"/>
        <v>0.92047930549172818</v>
      </c>
    </row>
    <row r="125" spans="1:5" x14ac:dyDescent="0.25">
      <c r="A125" s="8">
        <v>42475.895833333336</v>
      </c>
      <c r="B125" s="7">
        <v>431.71295166015602</v>
      </c>
      <c r="C125" s="7">
        <v>145.22569274902301</v>
      </c>
      <c r="D125" s="7">
        <v>783.27545166015602</v>
      </c>
      <c r="E125" s="5">
        <f t="shared" si="1"/>
        <v>0.92150053136488941</v>
      </c>
    </row>
    <row r="126" spans="1:5" x14ac:dyDescent="0.25">
      <c r="A126" s="8">
        <v>42475.90625</v>
      </c>
      <c r="B126" s="7">
        <v>431.85763549804699</v>
      </c>
      <c r="C126" s="7">
        <v>144.82060241699199</v>
      </c>
      <c r="D126" s="7">
        <v>772.56945800781295</v>
      </c>
      <c r="E126" s="5">
        <f t="shared" si="1"/>
        <v>0.90890524471507406</v>
      </c>
    </row>
    <row r="127" spans="1:5" x14ac:dyDescent="0.25">
      <c r="A127" s="8">
        <v>42475.916666666664</v>
      </c>
      <c r="B127" s="7">
        <v>432.72570800781301</v>
      </c>
      <c r="C127" s="7">
        <v>144.212966918945</v>
      </c>
      <c r="D127" s="7">
        <v>748.263916015625</v>
      </c>
      <c r="E127" s="5">
        <f t="shared" si="1"/>
        <v>0.88031048943014711</v>
      </c>
    </row>
    <row r="128" spans="1:5" x14ac:dyDescent="0.25">
      <c r="A128" s="8">
        <v>42475.927083333336</v>
      </c>
      <c r="B128" s="7">
        <v>434.89584350585898</v>
      </c>
      <c r="C128" s="7">
        <v>142.79513549804699</v>
      </c>
      <c r="D128" s="7">
        <v>719.32867431640602</v>
      </c>
      <c r="E128" s="5">
        <f t="shared" si="1"/>
        <v>0.8462690286075365</v>
      </c>
    </row>
    <row r="129" spans="1:5" x14ac:dyDescent="0.25">
      <c r="A129" s="8">
        <v>42475.9375</v>
      </c>
      <c r="B129" s="7">
        <v>436.34259033203102</v>
      </c>
      <c r="C129" s="7">
        <v>141.27604675293</v>
      </c>
      <c r="D129" s="7">
        <v>707.17590332031295</v>
      </c>
      <c r="E129" s="5">
        <f t="shared" si="1"/>
        <v>0.83197165096507408</v>
      </c>
    </row>
    <row r="130" spans="1:5" x14ac:dyDescent="0.25">
      <c r="A130" s="8">
        <v>42475.947916666664</v>
      </c>
      <c r="B130" s="7">
        <v>436.92129516601602</v>
      </c>
      <c r="C130" s="7">
        <v>140.97222900390599</v>
      </c>
      <c r="D130" s="7">
        <v>679.97686767578102</v>
      </c>
      <c r="E130" s="5">
        <f t="shared" si="1"/>
        <v>0.79997278550091888</v>
      </c>
    </row>
    <row r="131" spans="1:5" x14ac:dyDescent="0.25">
      <c r="A131" s="8">
        <v>42475.958333333336</v>
      </c>
      <c r="B131" s="7">
        <v>438.223388671875</v>
      </c>
      <c r="C131" s="7">
        <v>137.32638549804699</v>
      </c>
      <c r="D131" s="7">
        <v>623.55322265625</v>
      </c>
      <c r="E131" s="5">
        <f t="shared" ref="E131:E194" si="2">+D131/850</f>
        <v>0.73359202665441181</v>
      </c>
    </row>
    <row r="132" spans="1:5" x14ac:dyDescent="0.25">
      <c r="A132" s="8">
        <v>42475.96875</v>
      </c>
      <c r="B132" s="7">
        <v>441.55093383789102</v>
      </c>
      <c r="C132" s="7">
        <v>135.19966125488301</v>
      </c>
      <c r="D132" s="7">
        <v>591.72454833984398</v>
      </c>
      <c r="E132" s="5">
        <f t="shared" si="2"/>
        <v>0.69614652745863992</v>
      </c>
    </row>
    <row r="133" spans="1:5" x14ac:dyDescent="0.25">
      <c r="A133" s="8">
        <v>42475.979166666664</v>
      </c>
      <c r="B133" s="7">
        <v>442.56365966796898</v>
      </c>
      <c r="C133" s="7">
        <v>134.38946533203099</v>
      </c>
      <c r="D133" s="7">
        <v>585.64813232421898</v>
      </c>
      <c r="E133" s="5">
        <f t="shared" si="2"/>
        <v>0.68899780273437528</v>
      </c>
    </row>
    <row r="134" spans="1:5" x14ac:dyDescent="0.25">
      <c r="A134" s="8">
        <v>42475.989583333336</v>
      </c>
      <c r="B134" s="7">
        <v>443.28704833984398</v>
      </c>
      <c r="C134" s="7">
        <v>133.68055725097699</v>
      </c>
      <c r="D134" s="7">
        <v>573.495361328125</v>
      </c>
      <c r="E134" s="5">
        <f t="shared" si="2"/>
        <v>0.67470042509191175</v>
      </c>
    </row>
    <row r="135" spans="1:5" x14ac:dyDescent="0.25">
      <c r="A135" s="8">
        <v>42476</v>
      </c>
      <c r="B135" s="7">
        <v>443.72106933593801</v>
      </c>
      <c r="C135" s="7">
        <v>132.66783142089801</v>
      </c>
      <c r="D135" s="7">
        <v>579.28240966796898</v>
      </c>
      <c r="E135" s="5">
        <f t="shared" si="2"/>
        <v>0.68150871725643414</v>
      </c>
    </row>
    <row r="136" spans="1:5" x14ac:dyDescent="0.25">
      <c r="A136" s="8">
        <v>42476.010416666664</v>
      </c>
      <c r="B136" s="7">
        <v>444.01040649414102</v>
      </c>
      <c r="C136" s="7">
        <v>131.75636291503901</v>
      </c>
      <c r="D136" s="7">
        <v>569.73376464843795</v>
      </c>
      <c r="E136" s="5">
        <f t="shared" si="2"/>
        <v>0.67027501723345639</v>
      </c>
    </row>
    <row r="137" spans="1:5" x14ac:dyDescent="0.25">
      <c r="A137" s="8">
        <v>42476.020833333336</v>
      </c>
      <c r="B137" s="7">
        <v>444.15509033203102</v>
      </c>
      <c r="C137" s="7">
        <v>131.25</v>
      </c>
      <c r="D137" s="7">
        <v>569.73376464843795</v>
      </c>
      <c r="E137" s="5">
        <f t="shared" si="2"/>
        <v>0.67027501723345639</v>
      </c>
    </row>
    <row r="138" spans="1:5" x14ac:dyDescent="0.25">
      <c r="A138" s="8">
        <v>42476.03125</v>
      </c>
      <c r="B138" s="7">
        <v>444.44445800781301</v>
      </c>
      <c r="C138" s="7">
        <v>130.64236450195301</v>
      </c>
      <c r="D138" s="7">
        <v>554.39813232421898</v>
      </c>
      <c r="E138" s="5">
        <f t="shared" si="2"/>
        <v>0.65223309685202235</v>
      </c>
    </row>
    <row r="139" spans="1:5" x14ac:dyDescent="0.25">
      <c r="A139" s="8">
        <v>42476.041666666664</v>
      </c>
      <c r="B139" s="7">
        <v>443.72106933593801</v>
      </c>
      <c r="C139" s="7">
        <v>130.541091918945</v>
      </c>
      <c r="D139" s="7">
        <v>572.62731933593795</v>
      </c>
      <c r="E139" s="5">
        <f t="shared" si="2"/>
        <v>0.67367919921875052</v>
      </c>
    </row>
    <row r="140" spans="1:5" x14ac:dyDescent="0.25">
      <c r="A140" s="8">
        <v>42476.052083333336</v>
      </c>
      <c r="B140" s="7">
        <v>444.01040649414102</v>
      </c>
      <c r="C140" s="7">
        <v>130.23727416992199</v>
      </c>
      <c r="D140" s="7">
        <v>570.60186767578102</v>
      </c>
      <c r="E140" s="5">
        <f t="shared" si="2"/>
        <v>0.6712963149126836</v>
      </c>
    </row>
    <row r="141" spans="1:5" x14ac:dyDescent="0.25">
      <c r="A141" s="8">
        <v>42476.0625</v>
      </c>
      <c r="B141" s="7">
        <v>444.29977416992199</v>
      </c>
      <c r="C141" s="7">
        <v>130.23727416992199</v>
      </c>
      <c r="D141" s="7">
        <v>561.34259033203102</v>
      </c>
      <c r="E141" s="5">
        <f t="shared" si="2"/>
        <v>0.66040304744944822</v>
      </c>
    </row>
    <row r="142" spans="1:5" x14ac:dyDescent="0.25">
      <c r="A142" s="8">
        <v>42476.072916666664</v>
      </c>
      <c r="B142" s="7">
        <v>444.44445800781301</v>
      </c>
      <c r="C142" s="7">
        <v>129.629638671875</v>
      </c>
      <c r="D142" s="7">
        <v>557.29168701171898</v>
      </c>
      <c r="E142" s="5">
        <f t="shared" si="2"/>
        <v>0.65563727883731648</v>
      </c>
    </row>
    <row r="143" spans="1:5" x14ac:dyDescent="0.25">
      <c r="A143" s="8">
        <v>42476.083333333336</v>
      </c>
      <c r="B143" s="7">
        <v>444.87847900390602</v>
      </c>
      <c r="C143" s="7">
        <v>129.52835083007801</v>
      </c>
      <c r="D143" s="7">
        <v>548.32177734375</v>
      </c>
      <c r="E143" s="5">
        <f t="shared" si="2"/>
        <v>0.64508444393382358</v>
      </c>
    </row>
    <row r="144" spans="1:5" x14ac:dyDescent="0.25">
      <c r="A144" s="8">
        <v>42476.09375</v>
      </c>
      <c r="B144" s="7">
        <v>445.02313232421898</v>
      </c>
      <c r="C144" s="7">
        <v>128.71817016601599</v>
      </c>
      <c r="D144" s="7">
        <v>546.58563232421898</v>
      </c>
      <c r="E144" s="5">
        <f t="shared" si="2"/>
        <v>0.64304192038143404</v>
      </c>
    </row>
    <row r="145" spans="1:5" x14ac:dyDescent="0.25">
      <c r="A145" s="8">
        <v>42476.104166666664</v>
      </c>
      <c r="B145" s="7">
        <v>445.02313232421898</v>
      </c>
      <c r="C145" s="7">
        <v>128.71817016601599</v>
      </c>
      <c r="D145" s="7">
        <v>542.53472900390602</v>
      </c>
      <c r="E145" s="5">
        <f t="shared" si="2"/>
        <v>0.63827615176930119</v>
      </c>
    </row>
    <row r="146" spans="1:5" x14ac:dyDescent="0.25">
      <c r="A146" s="8">
        <v>42476.114583333336</v>
      </c>
      <c r="B146" s="7">
        <v>444.87847900390602</v>
      </c>
      <c r="C146" s="7">
        <v>128.515625</v>
      </c>
      <c r="D146" s="7">
        <v>552.37268066406295</v>
      </c>
      <c r="E146" s="5">
        <f t="shared" si="2"/>
        <v>0.64985021254595643</v>
      </c>
    </row>
    <row r="147" spans="1:5" x14ac:dyDescent="0.25">
      <c r="A147" s="8">
        <v>42476.125</v>
      </c>
      <c r="B147" s="7">
        <v>445.02313232421898</v>
      </c>
      <c r="C147" s="7">
        <v>128.61689758300801</v>
      </c>
      <c r="D147" s="7">
        <v>540.21990966796898</v>
      </c>
      <c r="E147" s="5">
        <f t="shared" si="2"/>
        <v>0.6355528349034929</v>
      </c>
    </row>
    <row r="148" spans="1:5" x14ac:dyDescent="0.25">
      <c r="A148" s="8">
        <v>42476.135416666664</v>
      </c>
      <c r="B148" s="7">
        <v>445.02313232421898</v>
      </c>
      <c r="C148" s="7">
        <v>128.61689758300801</v>
      </c>
      <c r="D148" s="7">
        <v>546.58563232421898</v>
      </c>
      <c r="E148" s="5">
        <f t="shared" si="2"/>
        <v>0.64304192038143404</v>
      </c>
    </row>
    <row r="149" spans="1:5" x14ac:dyDescent="0.25">
      <c r="A149" s="8">
        <v>42476.145833333336</v>
      </c>
      <c r="B149" s="7">
        <v>445.02313232421898</v>
      </c>
      <c r="C149" s="7">
        <v>128.515625</v>
      </c>
      <c r="D149" s="7">
        <v>540.21990966796898</v>
      </c>
      <c r="E149" s="5">
        <f t="shared" si="2"/>
        <v>0.6355528349034929</v>
      </c>
    </row>
    <row r="150" spans="1:5" x14ac:dyDescent="0.25">
      <c r="A150" s="8">
        <v>42476.15625</v>
      </c>
      <c r="B150" s="7">
        <v>445.02313232421898</v>
      </c>
      <c r="C150" s="7">
        <v>128.515625</v>
      </c>
      <c r="D150" s="7">
        <v>541.37731933593795</v>
      </c>
      <c r="E150" s="5">
        <f t="shared" si="2"/>
        <v>0.6369144933363976</v>
      </c>
    </row>
    <row r="151" spans="1:5" x14ac:dyDescent="0.25">
      <c r="A151" s="8">
        <v>42476.166666666664</v>
      </c>
      <c r="B151" s="7">
        <v>445.16781616210898</v>
      </c>
      <c r="C151" s="7">
        <v>128.31307983398401</v>
      </c>
      <c r="D151" s="7">
        <v>540.21990966796898</v>
      </c>
      <c r="E151" s="5">
        <f t="shared" si="2"/>
        <v>0.6355528349034929</v>
      </c>
    </row>
    <row r="152" spans="1:5" x14ac:dyDescent="0.25">
      <c r="A152" s="8">
        <v>42476.177083333336</v>
      </c>
      <c r="B152" s="7">
        <v>445.16781616210898</v>
      </c>
      <c r="C152" s="7">
        <v>128.21180725097699</v>
      </c>
      <c r="D152" s="7">
        <v>541.37731933593795</v>
      </c>
      <c r="E152" s="5">
        <f t="shared" si="2"/>
        <v>0.6369144933363976</v>
      </c>
    </row>
    <row r="153" spans="1:5" x14ac:dyDescent="0.25">
      <c r="A153" s="8">
        <v>42476.1875</v>
      </c>
      <c r="B153" s="7">
        <v>444.15509033203102</v>
      </c>
      <c r="C153" s="7">
        <v>129.224533081055</v>
      </c>
      <c r="D153" s="7">
        <v>567.41900634765602</v>
      </c>
      <c r="E153" s="5">
        <f t="shared" si="2"/>
        <v>0.66755177217371298</v>
      </c>
    </row>
    <row r="154" spans="1:5" x14ac:dyDescent="0.25">
      <c r="A154" s="8">
        <v>42476.197916666664</v>
      </c>
      <c r="B154" s="7">
        <v>443.72106933593801</v>
      </c>
      <c r="C154" s="7">
        <v>129.83218383789099</v>
      </c>
      <c r="D154" s="7">
        <v>570.3125</v>
      </c>
      <c r="E154" s="5">
        <f t="shared" si="2"/>
        <v>0.67095588235294112</v>
      </c>
    </row>
    <row r="155" spans="1:5" x14ac:dyDescent="0.25">
      <c r="A155" s="8">
        <v>42476.208333333336</v>
      </c>
      <c r="B155" s="7">
        <v>443.28704833984398</v>
      </c>
      <c r="C155" s="7">
        <v>130.74363708496099</v>
      </c>
      <c r="D155" s="7">
        <v>581.59722900390602</v>
      </c>
      <c r="E155" s="5">
        <f t="shared" si="2"/>
        <v>0.68423203412224243</v>
      </c>
    </row>
    <row r="156" spans="1:5" x14ac:dyDescent="0.25">
      <c r="A156" s="8">
        <v>42476.21875</v>
      </c>
      <c r="B156" s="7">
        <v>443.28704833984398</v>
      </c>
      <c r="C156" s="7">
        <v>131.35127258300801</v>
      </c>
      <c r="D156" s="7">
        <v>591.72454833984398</v>
      </c>
      <c r="E156" s="5">
        <f t="shared" si="2"/>
        <v>0.69614652745863992</v>
      </c>
    </row>
    <row r="157" spans="1:5" x14ac:dyDescent="0.25">
      <c r="A157" s="8">
        <v>42476.229166666664</v>
      </c>
      <c r="B157" s="7">
        <v>443.43170166015602</v>
      </c>
      <c r="C157" s="7">
        <v>131.35127258300801</v>
      </c>
      <c r="D157" s="7">
        <v>571.75927734375</v>
      </c>
      <c r="E157" s="5">
        <f t="shared" si="2"/>
        <v>0.67265797334558819</v>
      </c>
    </row>
    <row r="158" spans="1:5" x14ac:dyDescent="0.25">
      <c r="A158" s="8">
        <v>42476.239583333336</v>
      </c>
      <c r="B158" s="7">
        <v>442.70834350585898</v>
      </c>
      <c r="C158" s="7">
        <v>132.06018066406301</v>
      </c>
      <c r="D158" s="7">
        <v>580.43981933593795</v>
      </c>
      <c r="E158" s="5">
        <f t="shared" si="2"/>
        <v>0.68287037568933873</v>
      </c>
    </row>
    <row r="159" spans="1:5" x14ac:dyDescent="0.25">
      <c r="A159" s="8">
        <v>42476.25</v>
      </c>
      <c r="B159" s="7">
        <v>442.27429199218801</v>
      </c>
      <c r="C159" s="7">
        <v>132.06018066406301</v>
      </c>
      <c r="D159" s="7">
        <v>607.638916015625</v>
      </c>
      <c r="E159" s="5">
        <f t="shared" si="2"/>
        <v>0.7148693129595588</v>
      </c>
    </row>
    <row r="160" spans="1:5" x14ac:dyDescent="0.25">
      <c r="A160" s="8">
        <v>42476.260416666664</v>
      </c>
      <c r="B160" s="7">
        <v>441.55093383789102</v>
      </c>
      <c r="C160" s="7">
        <v>133.275466918945</v>
      </c>
      <c r="D160" s="7">
        <v>601.5625</v>
      </c>
      <c r="E160" s="5">
        <f t="shared" si="2"/>
        <v>0.70772058823529416</v>
      </c>
    </row>
    <row r="161" spans="1:5" x14ac:dyDescent="0.25">
      <c r="A161" s="8">
        <v>42476.270833333336</v>
      </c>
      <c r="B161" s="7">
        <v>442.129638671875</v>
      </c>
      <c r="C161" s="7">
        <v>132.87037658691401</v>
      </c>
      <c r="D161" s="7">
        <v>598.66900634765602</v>
      </c>
      <c r="E161" s="5">
        <f t="shared" si="2"/>
        <v>0.7043164780560659</v>
      </c>
    </row>
    <row r="162" spans="1:5" x14ac:dyDescent="0.25">
      <c r="A162" s="8">
        <v>42476.28125</v>
      </c>
      <c r="B162" s="7">
        <v>441.26156616210898</v>
      </c>
      <c r="C162" s="7">
        <v>133.37673950195301</v>
      </c>
      <c r="D162" s="7">
        <v>616.60876464843795</v>
      </c>
      <c r="E162" s="5">
        <f t="shared" si="2"/>
        <v>0.72542207605698583</v>
      </c>
    </row>
    <row r="163" spans="1:5" x14ac:dyDescent="0.25">
      <c r="A163" s="8">
        <v>42476.291666666664</v>
      </c>
      <c r="B163" s="7">
        <v>441.40625</v>
      </c>
      <c r="C163" s="7">
        <v>133.78182983398401</v>
      </c>
      <c r="D163" s="7">
        <v>613.71527099609398</v>
      </c>
      <c r="E163" s="5">
        <f t="shared" si="2"/>
        <v>0.72201796587775757</v>
      </c>
    </row>
    <row r="164" spans="1:5" x14ac:dyDescent="0.25">
      <c r="A164" s="8">
        <v>42476.302083333336</v>
      </c>
      <c r="B164" s="7">
        <v>441.11688232421898</v>
      </c>
      <c r="C164" s="7">
        <v>134.89582824707</v>
      </c>
      <c r="D164" s="7">
        <v>625</v>
      </c>
      <c r="E164" s="5">
        <f t="shared" si="2"/>
        <v>0.73529411764705888</v>
      </c>
    </row>
    <row r="165" spans="1:5" x14ac:dyDescent="0.25">
      <c r="A165" s="8">
        <v>42476.3125</v>
      </c>
      <c r="B165" s="7">
        <v>440.10415649414102</v>
      </c>
      <c r="C165" s="7">
        <v>135.70602416992199</v>
      </c>
      <c r="D165" s="7">
        <v>654.513916015625</v>
      </c>
      <c r="E165" s="5">
        <f t="shared" si="2"/>
        <v>0.77001637178308824</v>
      </c>
    </row>
    <row r="166" spans="1:5" x14ac:dyDescent="0.25">
      <c r="A166" s="8">
        <v>42476.322916666664</v>
      </c>
      <c r="B166" s="7">
        <v>439.38079833984398</v>
      </c>
      <c r="C166" s="7">
        <v>137.12384033203099</v>
      </c>
      <c r="D166" s="7">
        <v>669.84954833984398</v>
      </c>
      <c r="E166" s="5">
        <f t="shared" si="2"/>
        <v>0.78805829216452228</v>
      </c>
    </row>
    <row r="167" spans="1:5" x14ac:dyDescent="0.25">
      <c r="A167" s="8">
        <v>42476.333333333336</v>
      </c>
      <c r="B167" s="7">
        <v>437.78933715820301</v>
      </c>
      <c r="C167" s="7">
        <v>138.744216918945</v>
      </c>
      <c r="D167" s="7">
        <v>685.763916015625</v>
      </c>
      <c r="E167" s="5">
        <f t="shared" si="2"/>
        <v>0.80678107766544116</v>
      </c>
    </row>
    <row r="168" spans="1:5" x14ac:dyDescent="0.25">
      <c r="A168" s="8">
        <v>42476.34375</v>
      </c>
      <c r="B168" s="7">
        <v>437.64468383789102</v>
      </c>
      <c r="C168" s="7">
        <v>139.14930725097699</v>
      </c>
      <c r="D168" s="7">
        <v>691.84027099609398</v>
      </c>
      <c r="E168" s="5">
        <f t="shared" si="2"/>
        <v>0.81392973058363993</v>
      </c>
    </row>
    <row r="169" spans="1:5" x14ac:dyDescent="0.25">
      <c r="A169" s="8">
        <v>42476.354166666664</v>
      </c>
      <c r="B169" s="7">
        <v>437.78933715820301</v>
      </c>
      <c r="C169" s="7">
        <v>139.453125</v>
      </c>
      <c r="D169" s="7">
        <v>687.21063232421898</v>
      </c>
      <c r="E169" s="5">
        <f t="shared" si="2"/>
        <v>0.80848309685202235</v>
      </c>
    </row>
    <row r="170" spans="1:5" x14ac:dyDescent="0.25">
      <c r="A170" s="8">
        <v>42476.364583333336</v>
      </c>
      <c r="B170" s="7">
        <v>437.5</v>
      </c>
      <c r="C170" s="7">
        <v>139.65567016601599</v>
      </c>
      <c r="D170" s="7">
        <v>678.81945800781295</v>
      </c>
      <c r="E170" s="5">
        <f t="shared" si="2"/>
        <v>0.79861112706801529</v>
      </c>
    </row>
    <row r="171" spans="1:5" x14ac:dyDescent="0.25">
      <c r="A171" s="8">
        <v>42476.375</v>
      </c>
      <c r="B171" s="7">
        <v>436.48727416992199</v>
      </c>
      <c r="C171" s="7">
        <v>140.162033081055</v>
      </c>
      <c r="D171" s="7">
        <v>698.78472900390602</v>
      </c>
      <c r="E171" s="5">
        <f t="shared" si="2"/>
        <v>0.82209968118106591</v>
      </c>
    </row>
    <row r="172" spans="1:5" x14ac:dyDescent="0.25">
      <c r="A172" s="8">
        <v>42476.385416666664</v>
      </c>
      <c r="B172" s="7">
        <v>436.48727416992199</v>
      </c>
      <c r="C172" s="7">
        <v>140.46585083007801</v>
      </c>
      <c r="D172" s="7">
        <v>692.129638671875</v>
      </c>
      <c r="E172" s="5">
        <f t="shared" si="2"/>
        <v>0.81427016314338241</v>
      </c>
    </row>
    <row r="173" spans="1:5" x14ac:dyDescent="0.25">
      <c r="A173" s="8">
        <v>42476.395833333336</v>
      </c>
      <c r="B173" s="7">
        <v>437.78933715820301</v>
      </c>
      <c r="C173" s="7">
        <v>139.95948791503901</v>
      </c>
      <c r="D173" s="7">
        <v>685.763916015625</v>
      </c>
      <c r="E173" s="5">
        <f t="shared" si="2"/>
        <v>0.80678107766544116</v>
      </c>
    </row>
    <row r="174" spans="1:5" x14ac:dyDescent="0.25">
      <c r="A174" s="8">
        <v>42476.40625</v>
      </c>
      <c r="B174" s="7">
        <v>436.19790649414102</v>
      </c>
      <c r="C174" s="7">
        <v>140.66841125488301</v>
      </c>
      <c r="D174" s="7">
        <v>717.30322265625</v>
      </c>
      <c r="E174" s="5">
        <f t="shared" si="2"/>
        <v>0.84388614430147058</v>
      </c>
    </row>
    <row r="175" spans="1:5" x14ac:dyDescent="0.25">
      <c r="A175" s="8">
        <v>42476.416666666664</v>
      </c>
      <c r="B175" s="7">
        <v>435.04049682617199</v>
      </c>
      <c r="C175" s="7">
        <v>141.78240966796901</v>
      </c>
      <c r="D175" s="7">
        <v>723.379638671875</v>
      </c>
      <c r="E175" s="5">
        <f t="shared" si="2"/>
        <v>0.85103486902573533</v>
      </c>
    </row>
    <row r="176" spans="1:5" x14ac:dyDescent="0.25">
      <c r="A176" s="8">
        <v>42476.427083333336</v>
      </c>
      <c r="B176" s="7">
        <v>435.76388549804699</v>
      </c>
      <c r="C176" s="7">
        <v>141.78240966796901</v>
      </c>
      <c r="D176" s="7">
        <v>716.72454833984398</v>
      </c>
      <c r="E176" s="5">
        <f t="shared" si="2"/>
        <v>0.84320535098805172</v>
      </c>
    </row>
    <row r="177" spans="1:5" x14ac:dyDescent="0.25">
      <c r="A177" s="8">
        <v>42476.4375</v>
      </c>
      <c r="B177" s="7">
        <v>439.67013549804699</v>
      </c>
      <c r="C177" s="7">
        <v>139.65567016601599</v>
      </c>
      <c r="D177" s="7">
        <v>633.96990966796898</v>
      </c>
      <c r="E177" s="5">
        <f t="shared" si="2"/>
        <v>0.74584695255055178</v>
      </c>
    </row>
    <row r="178" spans="1:5" x14ac:dyDescent="0.25">
      <c r="A178" s="8">
        <v>42476.447916666664</v>
      </c>
      <c r="B178" s="7">
        <v>438.36804199218801</v>
      </c>
      <c r="C178" s="7">
        <v>138.84548950195301</v>
      </c>
      <c r="D178" s="7">
        <v>694.15509033203102</v>
      </c>
      <c r="E178" s="5">
        <f t="shared" si="2"/>
        <v>0.81665304744944822</v>
      </c>
    </row>
    <row r="179" spans="1:5" x14ac:dyDescent="0.25">
      <c r="A179" s="8">
        <v>42476.458333333336</v>
      </c>
      <c r="B179" s="7">
        <v>436.19790649414102</v>
      </c>
      <c r="C179" s="7">
        <v>140.26330566406301</v>
      </c>
      <c r="D179" s="7">
        <v>712.96295166015602</v>
      </c>
      <c r="E179" s="5">
        <f t="shared" si="2"/>
        <v>0.83877994312959536</v>
      </c>
    </row>
    <row r="180" spans="1:5" x14ac:dyDescent="0.25">
      <c r="A180" s="8">
        <v>42476.46875</v>
      </c>
      <c r="B180" s="7">
        <v>435.47454833984398</v>
      </c>
      <c r="C180" s="7">
        <v>141.78240966796901</v>
      </c>
      <c r="D180" s="7">
        <v>728.00927734375</v>
      </c>
      <c r="E180" s="5">
        <f t="shared" si="2"/>
        <v>0.85648150275735291</v>
      </c>
    </row>
    <row r="181" spans="1:5" x14ac:dyDescent="0.25">
      <c r="A181" s="8">
        <v>42476.479166666664</v>
      </c>
      <c r="B181" s="7">
        <v>434.02777099609398</v>
      </c>
      <c r="C181" s="7">
        <v>143.20022583007801</v>
      </c>
      <c r="D181" s="7">
        <v>756.36572265625</v>
      </c>
      <c r="E181" s="5">
        <f t="shared" si="2"/>
        <v>0.88984202665441181</v>
      </c>
    </row>
    <row r="182" spans="1:5" x14ac:dyDescent="0.25">
      <c r="A182" s="8">
        <v>42476.489583333336</v>
      </c>
      <c r="B182" s="7">
        <v>434.75115966796898</v>
      </c>
      <c r="C182" s="7">
        <v>143.70660400390599</v>
      </c>
      <c r="D182" s="7">
        <v>729.16668701171898</v>
      </c>
      <c r="E182" s="5">
        <f t="shared" si="2"/>
        <v>0.85784316119025761</v>
      </c>
    </row>
    <row r="183" spans="1:5" x14ac:dyDescent="0.25">
      <c r="A183" s="8">
        <v>42476.5</v>
      </c>
      <c r="B183" s="7">
        <v>434.60647583007801</v>
      </c>
      <c r="C183" s="7">
        <v>144.41551208496099</v>
      </c>
      <c r="D183" s="7">
        <v>723.95831298828102</v>
      </c>
      <c r="E183" s="5">
        <f t="shared" si="2"/>
        <v>0.85171566233915419</v>
      </c>
    </row>
    <row r="184" spans="1:5" x14ac:dyDescent="0.25">
      <c r="A184" s="8">
        <v>42476.510416666664</v>
      </c>
      <c r="B184" s="7">
        <v>432.72570800781301</v>
      </c>
      <c r="C184" s="7">
        <v>145.52951049804699</v>
      </c>
      <c r="D184" s="7">
        <v>770.254638671875</v>
      </c>
      <c r="E184" s="5">
        <f t="shared" si="2"/>
        <v>0.90618192784926466</v>
      </c>
    </row>
    <row r="185" spans="1:5" x14ac:dyDescent="0.25">
      <c r="A185" s="8">
        <v>42476.520833333336</v>
      </c>
      <c r="B185" s="7">
        <v>431.71295166015602</v>
      </c>
      <c r="C185" s="7">
        <v>146.23843383789099</v>
      </c>
      <c r="D185" s="7">
        <v>777.19909667968795</v>
      </c>
      <c r="E185" s="5">
        <f t="shared" si="2"/>
        <v>0.91435187844669175</v>
      </c>
    </row>
    <row r="186" spans="1:5" x14ac:dyDescent="0.25">
      <c r="A186" s="8">
        <v>42476.53125</v>
      </c>
      <c r="B186" s="7">
        <v>431.27893066406301</v>
      </c>
      <c r="C186" s="7">
        <v>146.54225158691401</v>
      </c>
      <c r="D186" s="7">
        <v>777.48840332031295</v>
      </c>
      <c r="E186" s="5">
        <f t="shared" si="2"/>
        <v>0.91469223920036813</v>
      </c>
    </row>
    <row r="187" spans="1:5" x14ac:dyDescent="0.25">
      <c r="A187" s="8">
        <v>42476.541666666664</v>
      </c>
      <c r="B187" s="7">
        <v>430.55554199218801</v>
      </c>
      <c r="C187" s="7">
        <v>147.04861450195301</v>
      </c>
      <c r="D187" s="7">
        <v>791.37731933593795</v>
      </c>
      <c r="E187" s="5">
        <f t="shared" si="2"/>
        <v>0.93103214039522109</v>
      </c>
    </row>
    <row r="188" spans="1:5" x14ac:dyDescent="0.25">
      <c r="A188" s="8">
        <v>42476.552083333336</v>
      </c>
      <c r="B188" s="7">
        <v>431.13424682617199</v>
      </c>
      <c r="C188" s="7">
        <v>147.45370483398401</v>
      </c>
      <c r="D188" s="7">
        <v>789.64117431640602</v>
      </c>
      <c r="E188" s="5">
        <f t="shared" si="2"/>
        <v>0.92898961684283066</v>
      </c>
    </row>
    <row r="189" spans="1:5" x14ac:dyDescent="0.25">
      <c r="A189" s="8">
        <v>42476.5625</v>
      </c>
      <c r="B189" s="7">
        <v>431.13424682617199</v>
      </c>
      <c r="C189" s="7">
        <v>147.35243225097699</v>
      </c>
      <c r="D189" s="7">
        <v>778.35650634765602</v>
      </c>
      <c r="E189" s="5">
        <f t="shared" si="2"/>
        <v>0.91571353687959534</v>
      </c>
    </row>
    <row r="190" spans="1:5" x14ac:dyDescent="0.25">
      <c r="A190" s="8">
        <v>42476.572916666664</v>
      </c>
      <c r="B190" s="7">
        <v>430.70022583007801</v>
      </c>
      <c r="C190" s="7">
        <v>147.25115966796901</v>
      </c>
      <c r="D190" s="7">
        <v>790.50927734375</v>
      </c>
      <c r="E190" s="5">
        <f t="shared" si="2"/>
        <v>0.93001091452205886</v>
      </c>
    </row>
    <row r="191" spans="1:5" x14ac:dyDescent="0.25">
      <c r="A191" s="8">
        <v>42476.583333333336</v>
      </c>
      <c r="B191" s="7">
        <v>431.27893066406301</v>
      </c>
      <c r="C191" s="7">
        <v>147.04861450195301</v>
      </c>
      <c r="D191" s="7">
        <v>784.432861328125</v>
      </c>
      <c r="E191" s="5">
        <f t="shared" si="2"/>
        <v>0.92286218979779411</v>
      </c>
    </row>
    <row r="192" spans="1:5" x14ac:dyDescent="0.25">
      <c r="A192" s="8">
        <v>42476.59375</v>
      </c>
      <c r="B192" s="7">
        <v>430.55554199218801</v>
      </c>
      <c r="C192" s="7">
        <v>147.35243225097699</v>
      </c>
      <c r="D192" s="7">
        <v>785.59027099609398</v>
      </c>
      <c r="E192" s="5">
        <f t="shared" si="2"/>
        <v>0.92422384823069881</v>
      </c>
    </row>
    <row r="193" spans="1:5" x14ac:dyDescent="0.25">
      <c r="A193" s="8">
        <v>42476.604166666664</v>
      </c>
      <c r="B193" s="7">
        <v>429.97683715820301</v>
      </c>
      <c r="C193" s="7">
        <v>147.35243225097699</v>
      </c>
      <c r="D193" s="7">
        <v>801.504638671875</v>
      </c>
      <c r="E193" s="5">
        <f t="shared" si="2"/>
        <v>0.94294663373161769</v>
      </c>
    </row>
    <row r="194" spans="1:5" x14ac:dyDescent="0.25">
      <c r="A194" s="8">
        <v>42476.614583333336</v>
      </c>
      <c r="B194" s="7">
        <v>430.70022583007801</v>
      </c>
      <c r="C194" s="7">
        <v>147.55497741699199</v>
      </c>
      <c r="D194" s="7">
        <v>789.64117431640602</v>
      </c>
      <c r="E194" s="5">
        <f t="shared" si="2"/>
        <v>0.92898961684283066</v>
      </c>
    </row>
    <row r="195" spans="1:5" x14ac:dyDescent="0.25">
      <c r="A195" s="8">
        <v>42476.625</v>
      </c>
      <c r="B195" s="7">
        <v>431.27893066406301</v>
      </c>
      <c r="C195" s="7">
        <v>147.75752258300801</v>
      </c>
      <c r="D195" s="7">
        <v>774.30554199218795</v>
      </c>
      <c r="E195" s="5">
        <f t="shared" ref="E195:E258" si="3">+D195/850</f>
        <v>0.91094769646139762</v>
      </c>
    </row>
    <row r="196" spans="1:5" x14ac:dyDescent="0.25">
      <c r="A196" s="8">
        <v>42476.635416666664</v>
      </c>
      <c r="B196" s="7">
        <v>432.43634033203102</v>
      </c>
      <c r="C196" s="7">
        <v>147.45370483398401</v>
      </c>
      <c r="D196" s="7">
        <v>758.39117431640602</v>
      </c>
      <c r="E196" s="5">
        <f t="shared" si="3"/>
        <v>0.89222491096047762</v>
      </c>
    </row>
    <row r="197" spans="1:5" x14ac:dyDescent="0.25">
      <c r="A197" s="8">
        <v>42476.645833333336</v>
      </c>
      <c r="B197" s="7">
        <v>431.85763549804699</v>
      </c>
      <c r="C197" s="7">
        <v>144.41551208496099</v>
      </c>
      <c r="D197" s="7">
        <v>739.87268066406295</v>
      </c>
      <c r="E197" s="5">
        <f t="shared" si="3"/>
        <v>0.87043844784007407</v>
      </c>
    </row>
    <row r="198" spans="1:5" x14ac:dyDescent="0.25">
      <c r="A198" s="8">
        <v>42476.65625</v>
      </c>
      <c r="B198" s="7">
        <v>428.53009033203102</v>
      </c>
      <c r="C198" s="7">
        <v>140.26330566406301</v>
      </c>
      <c r="D198" s="7">
        <v>735.24304199218795</v>
      </c>
      <c r="E198" s="5">
        <f t="shared" si="3"/>
        <v>0.86499181410845638</v>
      </c>
    </row>
    <row r="199" spans="1:5" x14ac:dyDescent="0.25">
      <c r="A199" s="8">
        <v>42476.666666666664</v>
      </c>
      <c r="B199" s="7">
        <v>429.6875</v>
      </c>
      <c r="C199" s="7">
        <v>137.93403625488301</v>
      </c>
      <c r="D199" s="7">
        <v>737.557861328125</v>
      </c>
      <c r="E199" s="5">
        <f t="shared" si="3"/>
        <v>0.86771513097426467</v>
      </c>
    </row>
    <row r="200" spans="1:5" x14ac:dyDescent="0.25">
      <c r="A200" s="8">
        <v>42476.677083333336</v>
      </c>
      <c r="B200" s="7">
        <v>428.24075317382801</v>
      </c>
      <c r="C200" s="7">
        <v>137.32638549804699</v>
      </c>
      <c r="D200" s="7">
        <v>736.40045166015602</v>
      </c>
      <c r="E200" s="5">
        <f t="shared" si="3"/>
        <v>0.86635347254136008</v>
      </c>
    </row>
    <row r="201" spans="1:5" x14ac:dyDescent="0.25">
      <c r="A201" s="8">
        <v>42476.6875</v>
      </c>
      <c r="B201" s="7">
        <v>432.14700317382801</v>
      </c>
      <c r="C201" s="7">
        <v>140.162033081055</v>
      </c>
      <c r="D201" s="7">
        <v>734.08563232421898</v>
      </c>
      <c r="E201" s="5">
        <f t="shared" si="3"/>
        <v>0.86363015567555179</v>
      </c>
    </row>
    <row r="202" spans="1:5" x14ac:dyDescent="0.25">
      <c r="A202" s="8">
        <v>42476.697916666664</v>
      </c>
      <c r="B202" s="7">
        <v>428.38540649414102</v>
      </c>
      <c r="C202" s="7">
        <v>137.93403625488301</v>
      </c>
      <c r="D202" s="7">
        <v>752.31481933593795</v>
      </c>
      <c r="E202" s="5">
        <f t="shared" si="3"/>
        <v>0.88507625804227996</v>
      </c>
    </row>
    <row r="203" spans="1:5" x14ac:dyDescent="0.25">
      <c r="A203" s="8">
        <v>42476.708333333336</v>
      </c>
      <c r="B203" s="7">
        <v>428.09606933593801</v>
      </c>
      <c r="C203" s="7">
        <v>136.21238708496099</v>
      </c>
      <c r="D203" s="7">
        <v>755.20831298828102</v>
      </c>
      <c r="E203" s="5">
        <f t="shared" si="3"/>
        <v>0.88848036822150711</v>
      </c>
    </row>
    <row r="204" spans="1:5" x14ac:dyDescent="0.25">
      <c r="A204" s="8">
        <v>42476.71875</v>
      </c>
      <c r="B204" s="7">
        <v>429.54281616210898</v>
      </c>
      <c r="C204" s="7">
        <v>142.28877258300801</v>
      </c>
      <c r="D204" s="7">
        <v>821.75927734375</v>
      </c>
      <c r="E204" s="5">
        <f t="shared" si="3"/>
        <v>0.96677562040441178</v>
      </c>
    </row>
    <row r="205" spans="1:5" x14ac:dyDescent="0.25">
      <c r="A205" s="8">
        <v>42476.729166666664</v>
      </c>
      <c r="B205" s="7">
        <v>433.30438232421898</v>
      </c>
      <c r="C205" s="7">
        <v>143.90914916992199</v>
      </c>
      <c r="D205" s="7">
        <v>734.08563232421898</v>
      </c>
      <c r="E205" s="5">
        <f t="shared" si="3"/>
        <v>0.86363015567555179</v>
      </c>
    </row>
    <row r="206" spans="1:5" x14ac:dyDescent="0.25">
      <c r="A206" s="8">
        <v>42476.739583333336</v>
      </c>
      <c r="B206" s="7">
        <v>434.02777099609398</v>
      </c>
      <c r="C206" s="7">
        <v>144.212966918945</v>
      </c>
      <c r="D206" s="7">
        <v>751.15740966796898</v>
      </c>
      <c r="E206" s="5">
        <f t="shared" si="3"/>
        <v>0.88371459960937526</v>
      </c>
    </row>
    <row r="207" spans="1:5" x14ac:dyDescent="0.25">
      <c r="A207" s="8">
        <v>42476.75</v>
      </c>
      <c r="B207" s="7">
        <v>433.44906616210898</v>
      </c>
      <c r="C207" s="7">
        <v>144.71932983398401</v>
      </c>
      <c r="D207" s="7">
        <v>737.557861328125</v>
      </c>
      <c r="E207" s="5">
        <f t="shared" si="3"/>
        <v>0.86771513097426467</v>
      </c>
    </row>
    <row r="208" spans="1:5" x14ac:dyDescent="0.25">
      <c r="A208" s="8">
        <v>42476.760416666664</v>
      </c>
      <c r="B208" s="7">
        <v>433.44906616210898</v>
      </c>
      <c r="C208" s="7">
        <v>144.31423950195301</v>
      </c>
      <c r="D208" s="7">
        <v>752.31481933593795</v>
      </c>
      <c r="E208" s="5">
        <f t="shared" si="3"/>
        <v>0.88507625804227996</v>
      </c>
    </row>
    <row r="209" spans="1:5" x14ac:dyDescent="0.25">
      <c r="A209" s="8">
        <v>42476.770833333336</v>
      </c>
      <c r="B209" s="7">
        <v>435.32986450195301</v>
      </c>
      <c r="C209" s="7">
        <v>142.99768066406301</v>
      </c>
      <c r="D209" s="7">
        <v>715.27777099609398</v>
      </c>
      <c r="E209" s="5">
        <f t="shared" si="3"/>
        <v>0.84150325999540465</v>
      </c>
    </row>
    <row r="210" spans="1:5" x14ac:dyDescent="0.25">
      <c r="A210" s="8">
        <v>42476.78125</v>
      </c>
      <c r="B210" s="7">
        <v>436.05325317382801</v>
      </c>
      <c r="C210" s="7">
        <v>142.1875</v>
      </c>
      <c r="D210" s="7">
        <v>705.15045166015602</v>
      </c>
      <c r="E210" s="5">
        <f t="shared" si="3"/>
        <v>0.82958876665900705</v>
      </c>
    </row>
    <row r="211" spans="1:5" x14ac:dyDescent="0.25">
      <c r="A211" s="8">
        <v>42476.791666666664</v>
      </c>
      <c r="B211" s="7">
        <v>437.06597900390602</v>
      </c>
      <c r="C211" s="7">
        <v>141.27604675293</v>
      </c>
      <c r="D211" s="7">
        <v>688.94677734375</v>
      </c>
      <c r="E211" s="5">
        <f t="shared" si="3"/>
        <v>0.81052562040441178</v>
      </c>
    </row>
    <row r="212" spans="1:5" x14ac:dyDescent="0.25">
      <c r="A212" s="8">
        <v>42476.802083333336</v>
      </c>
      <c r="B212" s="7">
        <v>436.05325317382801</v>
      </c>
      <c r="C212" s="7">
        <v>141.37731933593801</v>
      </c>
      <c r="D212" s="7">
        <v>717.30322265625</v>
      </c>
      <c r="E212" s="5">
        <f t="shared" si="3"/>
        <v>0.84388614430147058</v>
      </c>
    </row>
    <row r="213" spans="1:5" x14ac:dyDescent="0.25">
      <c r="A213" s="8">
        <v>42476.8125</v>
      </c>
      <c r="B213" s="7">
        <v>429.97683715820301</v>
      </c>
      <c r="C213" s="7">
        <v>144.921875</v>
      </c>
      <c r="D213" s="7">
        <v>807.00231933593795</v>
      </c>
      <c r="E213" s="5">
        <f t="shared" si="3"/>
        <v>0.9494144933363976</v>
      </c>
    </row>
    <row r="214" spans="1:5" x14ac:dyDescent="0.25">
      <c r="A214" s="8">
        <v>42476.822916666664</v>
      </c>
      <c r="B214" s="7">
        <v>429.97683715820301</v>
      </c>
      <c r="C214" s="7">
        <v>145.52951049804699</v>
      </c>
      <c r="D214" s="7">
        <v>799.76849365234398</v>
      </c>
      <c r="E214" s="5">
        <f t="shared" si="3"/>
        <v>0.94090411017922826</v>
      </c>
    </row>
    <row r="215" spans="1:5" x14ac:dyDescent="0.25">
      <c r="A215" s="8">
        <v>42476.833333333336</v>
      </c>
      <c r="B215" s="7">
        <v>429.83218383789102</v>
      </c>
      <c r="C215" s="7">
        <v>145.73205566406301</v>
      </c>
      <c r="D215" s="7">
        <v>802.66204833984398</v>
      </c>
      <c r="E215" s="5">
        <f t="shared" si="3"/>
        <v>0.94430829216452228</v>
      </c>
    </row>
    <row r="216" spans="1:5" x14ac:dyDescent="0.25">
      <c r="A216" s="8">
        <v>42476.84375</v>
      </c>
      <c r="B216" s="7">
        <v>430.26620483398398</v>
      </c>
      <c r="C216" s="7">
        <v>145.22569274902301</v>
      </c>
      <c r="D216" s="7">
        <v>786.74768066406295</v>
      </c>
      <c r="E216" s="5">
        <f t="shared" si="3"/>
        <v>0.92558550666360351</v>
      </c>
    </row>
    <row r="217" spans="1:5" x14ac:dyDescent="0.25">
      <c r="A217" s="8">
        <v>42476.854166666664</v>
      </c>
      <c r="B217" s="7">
        <v>430.26620483398398</v>
      </c>
      <c r="C217" s="7">
        <v>145.42823791503901</v>
      </c>
      <c r="D217" s="7">
        <v>783.27545166015602</v>
      </c>
      <c r="E217" s="5">
        <f t="shared" si="3"/>
        <v>0.92150053136488941</v>
      </c>
    </row>
    <row r="218" spans="1:5" x14ac:dyDescent="0.25">
      <c r="A218" s="8">
        <v>42476.864583333336</v>
      </c>
      <c r="B218" s="7">
        <v>431.13424682617199</v>
      </c>
      <c r="C218" s="7">
        <v>145.02314758300801</v>
      </c>
      <c r="D218" s="7">
        <v>795.42822265625</v>
      </c>
      <c r="E218" s="5">
        <f t="shared" si="3"/>
        <v>0.93579790900735293</v>
      </c>
    </row>
    <row r="219" spans="1:5" x14ac:dyDescent="0.25">
      <c r="A219" s="8">
        <v>42476.875</v>
      </c>
      <c r="B219" s="7">
        <v>431.85763549804699</v>
      </c>
      <c r="C219" s="7">
        <v>144.212966918945</v>
      </c>
      <c r="D219" s="7">
        <v>778.35650634765602</v>
      </c>
      <c r="E219" s="5">
        <f t="shared" si="3"/>
        <v>0.91571353687959534</v>
      </c>
    </row>
    <row r="220" spans="1:5" x14ac:dyDescent="0.25">
      <c r="A220" s="8">
        <v>42476.885416666664</v>
      </c>
      <c r="B220" s="7">
        <v>431.71295166015602</v>
      </c>
      <c r="C220" s="7">
        <v>144.51678466796901</v>
      </c>
      <c r="D220" s="7">
        <v>775.46295166015602</v>
      </c>
      <c r="E220" s="5">
        <f t="shared" si="3"/>
        <v>0.91230935489430121</v>
      </c>
    </row>
    <row r="221" spans="1:5" x14ac:dyDescent="0.25">
      <c r="A221" s="8">
        <v>42476.895833333336</v>
      </c>
      <c r="B221" s="7">
        <v>431.85763549804699</v>
      </c>
      <c r="C221" s="7">
        <v>144.82060241699199</v>
      </c>
      <c r="D221" s="7">
        <v>759.548583984375</v>
      </c>
      <c r="E221" s="5">
        <f t="shared" si="3"/>
        <v>0.89358656939338232</v>
      </c>
    </row>
    <row r="222" spans="1:5" x14ac:dyDescent="0.25">
      <c r="A222" s="8">
        <v>42476.90625</v>
      </c>
      <c r="B222" s="7">
        <v>432.72570800781301</v>
      </c>
      <c r="C222" s="7">
        <v>144.31423950195301</v>
      </c>
      <c r="D222" s="7">
        <v>756.36572265625</v>
      </c>
      <c r="E222" s="5">
        <f t="shared" si="3"/>
        <v>0.88984202665441181</v>
      </c>
    </row>
    <row r="223" spans="1:5" x14ac:dyDescent="0.25">
      <c r="A223" s="8">
        <v>42476.916666666664</v>
      </c>
      <c r="B223" s="7">
        <v>432.14700317382801</v>
      </c>
      <c r="C223" s="7">
        <v>144.41551208496099</v>
      </c>
      <c r="D223" s="7">
        <v>769.38659667968795</v>
      </c>
      <c r="E223" s="5">
        <f t="shared" si="3"/>
        <v>0.90516070197610343</v>
      </c>
    </row>
    <row r="224" spans="1:5" x14ac:dyDescent="0.25">
      <c r="A224" s="8">
        <v>42476.927083333336</v>
      </c>
      <c r="B224" s="7">
        <v>433.88308715820301</v>
      </c>
      <c r="C224" s="7">
        <v>143.80787658691401</v>
      </c>
      <c r="D224" s="7">
        <v>727.43054199218795</v>
      </c>
      <c r="E224" s="5">
        <f t="shared" si="3"/>
        <v>0.85580063763786818</v>
      </c>
    </row>
    <row r="225" spans="1:5" x14ac:dyDescent="0.25">
      <c r="A225" s="8">
        <v>42476.9375</v>
      </c>
      <c r="B225" s="7">
        <v>436.19790649414102</v>
      </c>
      <c r="C225" s="7">
        <v>142.49131774902301</v>
      </c>
      <c r="D225" s="7">
        <v>696.18054199218795</v>
      </c>
      <c r="E225" s="5">
        <f t="shared" si="3"/>
        <v>0.81903593175551526</v>
      </c>
    </row>
    <row r="226" spans="1:5" x14ac:dyDescent="0.25">
      <c r="A226" s="8">
        <v>42476.947916666664</v>
      </c>
      <c r="B226" s="7">
        <v>420.57290649414102</v>
      </c>
      <c r="C226" s="7">
        <v>131.04745483398401</v>
      </c>
      <c r="D226" s="7">
        <v>496.23843383789102</v>
      </c>
      <c r="E226" s="5">
        <f t="shared" si="3"/>
        <v>0.58380992216222471</v>
      </c>
    </row>
    <row r="227" spans="1:5" x14ac:dyDescent="0.25">
      <c r="A227" s="8">
        <v>42476.958333333336</v>
      </c>
      <c r="B227" s="7">
        <v>417.96875</v>
      </c>
      <c r="C227" s="7">
        <v>121.02141571044901</v>
      </c>
      <c r="D227" s="7">
        <v>622.68518066406295</v>
      </c>
      <c r="E227" s="5">
        <f t="shared" si="3"/>
        <v>0.73257080078125059</v>
      </c>
    </row>
    <row r="228" spans="1:5" x14ac:dyDescent="0.25">
      <c r="A228" s="8">
        <v>42476.96875</v>
      </c>
      <c r="B228" s="7">
        <v>439.38079833984398</v>
      </c>
      <c r="C228" s="7">
        <v>130.541091918945</v>
      </c>
      <c r="D228" s="7">
        <v>593.46063232421898</v>
      </c>
      <c r="E228" s="5">
        <f t="shared" si="3"/>
        <v>0.69818897920496348</v>
      </c>
    </row>
    <row r="229" spans="1:5" x14ac:dyDescent="0.25">
      <c r="A229" s="8">
        <v>42476.979166666664</v>
      </c>
      <c r="B229" s="7">
        <v>442.85299682617199</v>
      </c>
      <c r="C229" s="7">
        <v>134.18692016601599</v>
      </c>
      <c r="D229" s="7">
        <v>586.51617431640602</v>
      </c>
      <c r="E229" s="5">
        <f t="shared" si="3"/>
        <v>0.6900190286075365</v>
      </c>
    </row>
    <row r="230" spans="1:5" x14ac:dyDescent="0.25">
      <c r="A230" s="8">
        <v>42476.989583333336</v>
      </c>
      <c r="B230" s="7">
        <v>443.28704833984398</v>
      </c>
      <c r="C230" s="7">
        <v>135.70602416992199</v>
      </c>
      <c r="D230" s="7">
        <v>598.66900634765602</v>
      </c>
      <c r="E230" s="5">
        <f t="shared" si="3"/>
        <v>0.7043164780560659</v>
      </c>
    </row>
    <row r="231" spans="1:5" x14ac:dyDescent="0.25">
      <c r="A231" s="8">
        <v>42477</v>
      </c>
      <c r="B231" s="7">
        <v>443.57638549804699</v>
      </c>
      <c r="C231" s="7">
        <v>136.31365966796901</v>
      </c>
      <c r="D231" s="7">
        <v>593.46063232421898</v>
      </c>
      <c r="E231" s="5">
        <f t="shared" si="3"/>
        <v>0.69818897920496348</v>
      </c>
    </row>
    <row r="232" spans="1:5" x14ac:dyDescent="0.25">
      <c r="A232" s="8">
        <v>42477.010416666664</v>
      </c>
      <c r="B232" s="7">
        <v>444.01040649414102</v>
      </c>
      <c r="C232" s="7">
        <v>136.31365966796901</v>
      </c>
      <c r="D232" s="7">
        <v>585.64813232421898</v>
      </c>
      <c r="E232" s="5">
        <f t="shared" si="3"/>
        <v>0.68899780273437528</v>
      </c>
    </row>
    <row r="233" spans="1:5" x14ac:dyDescent="0.25">
      <c r="A233" s="8">
        <v>42477.020833333336</v>
      </c>
      <c r="B233" s="7">
        <v>444.73379516601602</v>
      </c>
      <c r="C233" s="7">
        <v>135.098388671875</v>
      </c>
      <c r="D233" s="7">
        <v>573.495361328125</v>
      </c>
      <c r="E233" s="5">
        <f t="shared" si="3"/>
        <v>0.67470042509191175</v>
      </c>
    </row>
    <row r="234" spans="1:5" x14ac:dyDescent="0.25">
      <c r="A234" s="8">
        <v>42477.03125</v>
      </c>
      <c r="B234" s="7">
        <v>444.87847900390602</v>
      </c>
      <c r="C234" s="7">
        <v>134.28819274902301</v>
      </c>
      <c r="D234" s="7">
        <v>570.3125</v>
      </c>
      <c r="E234" s="5">
        <f t="shared" si="3"/>
        <v>0.67095588235294112</v>
      </c>
    </row>
    <row r="235" spans="1:5" x14ac:dyDescent="0.25">
      <c r="A235" s="8">
        <v>42477.041666666664</v>
      </c>
      <c r="B235" s="7">
        <v>359.80902099609398</v>
      </c>
      <c r="C235" s="7">
        <v>121.122688293457</v>
      </c>
      <c r="D235" s="7">
        <v>1.1574074029922501</v>
      </c>
      <c r="E235" s="5"/>
    </row>
    <row r="236" spans="1:5" x14ac:dyDescent="0.25">
      <c r="A236" s="8">
        <v>42477.052083333336</v>
      </c>
      <c r="B236" s="7">
        <v>234.95370483398401</v>
      </c>
      <c r="C236" s="7">
        <v>109.375</v>
      </c>
      <c r="D236" s="7">
        <v>1.1574074029922501</v>
      </c>
      <c r="E236" s="5"/>
    </row>
    <row r="237" spans="1:5" x14ac:dyDescent="0.25">
      <c r="A237" s="8">
        <v>42477.0625</v>
      </c>
      <c r="B237" s="7">
        <v>295.13888549804699</v>
      </c>
      <c r="C237" s="7">
        <v>98.943870544433594</v>
      </c>
      <c r="D237" s="7">
        <v>503.182861328125</v>
      </c>
      <c r="E237" s="5">
        <f t="shared" si="3"/>
        <v>0.59197983685661759</v>
      </c>
    </row>
    <row r="238" spans="1:5" x14ac:dyDescent="0.25">
      <c r="A238" s="8">
        <v>42477.072916666664</v>
      </c>
      <c r="B238" s="7">
        <v>420.13888549804699</v>
      </c>
      <c r="C238" s="7">
        <v>111.096641540527</v>
      </c>
      <c r="D238" s="7">
        <v>688.94677734375</v>
      </c>
      <c r="E238" s="5">
        <f t="shared" si="3"/>
        <v>0.81052562040441178</v>
      </c>
    </row>
    <row r="239" spans="1:5" x14ac:dyDescent="0.25">
      <c r="A239" s="8">
        <v>42477.083333333336</v>
      </c>
      <c r="B239" s="7">
        <v>433.30438232421898</v>
      </c>
      <c r="C239" s="7">
        <v>127.300346374512</v>
      </c>
      <c r="D239" s="7">
        <v>687.21063232421898</v>
      </c>
      <c r="E239" s="5">
        <f t="shared" si="3"/>
        <v>0.80848309685202235</v>
      </c>
    </row>
    <row r="240" spans="1:5" x14ac:dyDescent="0.25">
      <c r="A240" s="8">
        <v>42477.09375</v>
      </c>
      <c r="B240" s="7">
        <v>436.34259033203102</v>
      </c>
      <c r="C240" s="7">
        <v>134.08564758300801</v>
      </c>
      <c r="D240" s="7">
        <v>684.89581298828102</v>
      </c>
      <c r="E240" s="5">
        <f t="shared" si="3"/>
        <v>0.80575977998621295</v>
      </c>
    </row>
    <row r="241" spans="1:5" x14ac:dyDescent="0.25">
      <c r="A241" s="8">
        <v>42477.104166666664</v>
      </c>
      <c r="B241" s="7">
        <v>427.08334350585898</v>
      </c>
      <c r="C241" s="7">
        <v>128.81944274902301</v>
      </c>
      <c r="D241" s="7">
        <v>679.10876464843795</v>
      </c>
      <c r="E241" s="5">
        <f t="shared" si="3"/>
        <v>0.79895148782169167</v>
      </c>
    </row>
    <row r="242" spans="1:5" x14ac:dyDescent="0.25">
      <c r="A242" s="8">
        <v>42477.114583333336</v>
      </c>
      <c r="B242" s="7">
        <v>442.70834350585898</v>
      </c>
      <c r="C242" s="7">
        <v>129.52835083007801</v>
      </c>
      <c r="D242" s="7">
        <v>554.39813232421898</v>
      </c>
      <c r="E242" s="5">
        <f t="shared" si="3"/>
        <v>0.65223309685202235</v>
      </c>
    </row>
    <row r="243" spans="1:5" x14ac:dyDescent="0.25">
      <c r="A243" s="8">
        <v>42477.125</v>
      </c>
      <c r="B243" s="7">
        <v>444.73379516601602</v>
      </c>
      <c r="C243" s="7">
        <v>131.25</v>
      </c>
      <c r="D243" s="7">
        <v>553.24072265625</v>
      </c>
      <c r="E243" s="5">
        <f t="shared" si="3"/>
        <v>0.65087143841911765</v>
      </c>
    </row>
    <row r="244" spans="1:5" x14ac:dyDescent="0.25">
      <c r="A244" s="8">
        <v>42477.135416666664</v>
      </c>
      <c r="B244" s="7">
        <v>445.02313232421898</v>
      </c>
      <c r="C244" s="7">
        <v>132.26272583007801</v>
      </c>
      <c r="D244" s="7">
        <v>564.236083984375</v>
      </c>
      <c r="E244" s="5">
        <f t="shared" si="3"/>
        <v>0.66380715762867648</v>
      </c>
    </row>
    <row r="245" spans="1:5" x14ac:dyDescent="0.25">
      <c r="A245" s="8">
        <v>42477.145833333336</v>
      </c>
      <c r="B245" s="7">
        <v>445.89120483398398</v>
      </c>
      <c r="C245" s="7">
        <v>132.26272583007801</v>
      </c>
      <c r="D245" s="7">
        <v>549.47918701171898</v>
      </c>
      <c r="E245" s="5">
        <f t="shared" si="3"/>
        <v>0.64644610236672817</v>
      </c>
    </row>
    <row r="246" spans="1:5" x14ac:dyDescent="0.25">
      <c r="A246" s="8">
        <v>42477.15625</v>
      </c>
      <c r="B246" s="7">
        <v>446.32522583007801</v>
      </c>
      <c r="C246" s="7">
        <v>132.364013671875</v>
      </c>
      <c r="D246" s="7">
        <v>540.21990966796898</v>
      </c>
      <c r="E246" s="5">
        <f t="shared" si="3"/>
        <v>0.6355528349034929</v>
      </c>
    </row>
    <row r="247" spans="1:5" x14ac:dyDescent="0.25">
      <c r="A247" s="8">
        <v>42477.166666666664</v>
      </c>
      <c r="B247" s="7">
        <v>446.32522583007801</v>
      </c>
      <c r="C247" s="7">
        <v>132.16145324707</v>
      </c>
      <c r="D247" s="7">
        <v>549.47918701171898</v>
      </c>
      <c r="E247" s="5">
        <f t="shared" si="3"/>
        <v>0.64644610236672817</v>
      </c>
    </row>
    <row r="248" spans="1:5" x14ac:dyDescent="0.25">
      <c r="A248" s="8">
        <v>42477.177083333336</v>
      </c>
      <c r="B248" s="7">
        <v>445.45718383789102</v>
      </c>
      <c r="C248" s="7">
        <v>132.56655883789099</v>
      </c>
      <c r="D248" s="7">
        <v>571.75927734375</v>
      </c>
      <c r="E248" s="5">
        <f t="shared" si="3"/>
        <v>0.67265797334558819</v>
      </c>
    </row>
    <row r="249" spans="1:5" x14ac:dyDescent="0.25">
      <c r="A249" s="8">
        <v>42477.1875</v>
      </c>
      <c r="B249" s="7">
        <v>445.60183715820301</v>
      </c>
      <c r="C249" s="7">
        <v>132.76910400390599</v>
      </c>
      <c r="D249" s="7">
        <v>560.47454833984398</v>
      </c>
      <c r="E249" s="5">
        <f t="shared" si="3"/>
        <v>0.659381821576287</v>
      </c>
    </row>
    <row r="250" spans="1:5" x14ac:dyDescent="0.25">
      <c r="A250" s="8">
        <v>42477.197916666664</v>
      </c>
      <c r="B250" s="7">
        <v>444.15509033203102</v>
      </c>
      <c r="C250" s="7">
        <v>133.88310241699199</v>
      </c>
      <c r="D250" s="7">
        <v>605.32409667968795</v>
      </c>
      <c r="E250" s="5">
        <f t="shared" si="3"/>
        <v>0.71214599609375051</v>
      </c>
    </row>
    <row r="251" spans="1:5" x14ac:dyDescent="0.25">
      <c r="A251" s="8">
        <v>42477.208333333336</v>
      </c>
      <c r="B251" s="7">
        <v>443.72106933593801</v>
      </c>
      <c r="C251" s="7">
        <v>134.28819274902301</v>
      </c>
      <c r="D251" s="7">
        <v>608.79626464843795</v>
      </c>
      <c r="E251" s="5">
        <f t="shared" si="3"/>
        <v>0.71623089958639763</v>
      </c>
    </row>
    <row r="252" spans="1:5" x14ac:dyDescent="0.25">
      <c r="A252" s="8">
        <v>42477.21875</v>
      </c>
      <c r="B252" s="7">
        <v>443.57638549804699</v>
      </c>
      <c r="C252" s="7">
        <v>135.098388671875</v>
      </c>
      <c r="D252" s="7">
        <v>602.43054199218795</v>
      </c>
      <c r="E252" s="5">
        <f t="shared" si="3"/>
        <v>0.70874181410845638</v>
      </c>
    </row>
    <row r="253" spans="1:5" x14ac:dyDescent="0.25">
      <c r="A253" s="8">
        <v>42477.229166666664</v>
      </c>
      <c r="B253" s="7">
        <v>443.57638549804699</v>
      </c>
      <c r="C253" s="7">
        <v>135.40220642089801</v>
      </c>
      <c r="D253" s="7">
        <v>600.69445800781295</v>
      </c>
      <c r="E253" s="5">
        <f t="shared" si="3"/>
        <v>0.70669936236213293</v>
      </c>
    </row>
    <row r="254" spans="1:5" x14ac:dyDescent="0.25">
      <c r="A254" s="8">
        <v>42477.239583333336</v>
      </c>
      <c r="B254" s="7">
        <v>443.57638549804699</v>
      </c>
      <c r="C254" s="7">
        <v>135.30093383789099</v>
      </c>
      <c r="D254" s="7">
        <v>589.40972900390602</v>
      </c>
      <c r="E254" s="5">
        <f t="shared" si="3"/>
        <v>0.69342321059283063</v>
      </c>
    </row>
    <row r="255" spans="1:5" x14ac:dyDescent="0.25">
      <c r="A255" s="8">
        <v>42477.25</v>
      </c>
      <c r="B255" s="7">
        <v>442.85299682617199</v>
      </c>
      <c r="C255" s="7">
        <v>135.19966125488301</v>
      </c>
      <c r="D255" s="7">
        <v>619.50231933593795</v>
      </c>
      <c r="E255" s="5">
        <f t="shared" si="3"/>
        <v>0.72882625804227996</v>
      </c>
    </row>
    <row r="256" spans="1:5" x14ac:dyDescent="0.25">
      <c r="A256" s="8">
        <v>42477.260416666664</v>
      </c>
      <c r="B256" s="7">
        <v>441.26156616210898</v>
      </c>
      <c r="C256" s="7">
        <v>136.92129516601599</v>
      </c>
      <c r="D256" s="7">
        <v>639.75695800781295</v>
      </c>
      <c r="E256" s="5">
        <f t="shared" si="3"/>
        <v>0.75265524471507406</v>
      </c>
    </row>
    <row r="257" spans="1:5" x14ac:dyDescent="0.25">
      <c r="A257" s="8">
        <v>42477.270833333336</v>
      </c>
      <c r="B257" s="7">
        <v>441.11688232421898</v>
      </c>
      <c r="C257" s="7">
        <v>137.63020324707</v>
      </c>
      <c r="D257" s="7">
        <v>641.49304199218795</v>
      </c>
      <c r="E257" s="5">
        <f t="shared" si="3"/>
        <v>0.75469769646139762</v>
      </c>
    </row>
    <row r="258" spans="1:5" x14ac:dyDescent="0.25">
      <c r="A258" s="8">
        <v>42477.28125</v>
      </c>
      <c r="B258" s="7">
        <v>440.82754516601602</v>
      </c>
      <c r="C258" s="7">
        <v>137.63020324707</v>
      </c>
      <c r="D258" s="7">
        <v>641.49304199218795</v>
      </c>
      <c r="E258" s="5">
        <f t="shared" si="3"/>
        <v>0.75469769646139762</v>
      </c>
    </row>
    <row r="259" spans="1:5" x14ac:dyDescent="0.25">
      <c r="A259" s="8">
        <v>42477.291666666664</v>
      </c>
      <c r="B259" s="7">
        <v>440.682861328125</v>
      </c>
      <c r="C259" s="7">
        <v>138.23785400390599</v>
      </c>
      <c r="D259" s="7">
        <v>645.54400634765602</v>
      </c>
      <c r="E259" s="5">
        <f t="shared" ref="E259:E322" si="4">+D259/850</f>
        <v>0.75946353687959534</v>
      </c>
    </row>
    <row r="260" spans="1:5" x14ac:dyDescent="0.25">
      <c r="A260" s="8">
        <v>42477.302083333336</v>
      </c>
      <c r="B260" s="7">
        <v>439.09143066406301</v>
      </c>
      <c r="C260" s="7">
        <v>139.25057983398401</v>
      </c>
      <c r="D260" s="7">
        <v>666.95599365234398</v>
      </c>
      <c r="E260" s="5">
        <f t="shared" si="4"/>
        <v>0.78465411017922826</v>
      </c>
    </row>
    <row r="261" spans="1:5" x14ac:dyDescent="0.25">
      <c r="A261" s="8">
        <v>42477.3125</v>
      </c>
      <c r="B261" s="7">
        <v>437.93402099609398</v>
      </c>
      <c r="C261" s="7">
        <v>140.66841125488301</v>
      </c>
      <c r="D261" s="7">
        <v>706.01849365234398</v>
      </c>
      <c r="E261" s="5">
        <f t="shared" si="4"/>
        <v>0.83060999253216938</v>
      </c>
    </row>
    <row r="262" spans="1:5" x14ac:dyDescent="0.25">
      <c r="A262" s="8">
        <v>42477.322916666664</v>
      </c>
      <c r="B262" s="7">
        <v>437.5</v>
      </c>
      <c r="C262" s="7">
        <v>141.68113708496099</v>
      </c>
      <c r="D262" s="7">
        <v>710.35876464843795</v>
      </c>
      <c r="E262" s="5">
        <f t="shared" si="4"/>
        <v>0.83571619370404471</v>
      </c>
    </row>
    <row r="263" spans="1:5" x14ac:dyDescent="0.25">
      <c r="A263" s="8">
        <v>42477.333333333336</v>
      </c>
      <c r="B263" s="7">
        <v>436.19790649414102</v>
      </c>
      <c r="C263" s="7">
        <v>142.896408081055</v>
      </c>
      <c r="D263" s="7">
        <v>746.23840332031295</v>
      </c>
      <c r="E263" s="5">
        <f t="shared" si="4"/>
        <v>0.87792753331801521</v>
      </c>
    </row>
    <row r="264" spans="1:5" x14ac:dyDescent="0.25">
      <c r="A264" s="8">
        <v>42477.34375</v>
      </c>
      <c r="B264" s="7">
        <v>436.34259033203102</v>
      </c>
      <c r="C264" s="7">
        <v>143.301513671875</v>
      </c>
      <c r="D264" s="7">
        <v>723.379638671875</v>
      </c>
      <c r="E264" s="5">
        <f t="shared" si="4"/>
        <v>0.85103486902573533</v>
      </c>
    </row>
    <row r="265" spans="1:5" x14ac:dyDescent="0.25">
      <c r="A265" s="8">
        <v>42477.354166666664</v>
      </c>
      <c r="B265" s="7">
        <v>435.47454833984398</v>
      </c>
      <c r="C265" s="7">
        <v>141.68113708496099</v>
      </c>
      <c r="D265" s="7">
        <v>723.09027099609398</v>
      </c>
      <c r="E265" s="5">
        <f t="shared" si="4"/>
        <v>0.85069443646599296</v>
      </c>
    </row>
    <row r="266" spans="1:5" x14ac:dyDescent="0.25">
      <c r="A266" s="8">
        <v>42477.364583333336</v>
      </c>
      <c r="B266" s="7">
        <v>436.48727416992199</v>
      </c>
      <c r="C266" s="7">
        <v>142.79513549804699</v>
      </c>
      <c r="D266" s="7">
        <v>714.98840332031295</v>
      </c>
      <c r="E266" s="5">
        <f t="shared" si="4"/>
        <v>0.84116282743566229</v>
      </c>
    </row>
    <row r="267" spans="1:5" x14ac:dyDescent="0.25">
      <c r="A267" s="8">
        <v>42477.375</v>
      </c>
      <c r="B267" s="7">
        <v>436.48727416992199</v>
      </c>
      <c r="C267" s="7">
        <v>143.70660400390599</v>
      </c>
      <c r="D267" s="7">
        <v>722.22222900390602</v>
      </c>
      <c r="E267" s="5">
        <f t="shared" si="4"/>
        <v>0.84967321059283063</v>
      </c>
    </row>
    <row r="268" spans="1:5" x14ac:dyDescent="0.25">
      <c r="A268" s="8">
        <v>42477.385416666664</v>
      </c>
      <c r="B268" s="7">
        <v>436.34259033203102</v>
      </c>
      <c r="C268" s="7">
        <v>144.212966918945</v>
      </c>
      <c r="D268" s="7">
        <v>707.17590332031295</v>
      </c>
      <c r="E268" s="5">
        <f t="shared" si="4"/>
        <v>0.83197165096507408</v>
      </c>
    </row>
    <row r="269" spans="1:5" x14ac:dyDescent="0.25">
      <c r="A269" s="8">
        <v>42477.395833333336</v>
      </c>
      <c r="B269" s="7">
        <v>434.89584350585898</v>
      </c>
      <c r="C269" s="7">
        <v>143.40278625488301</v>
      </c>
      <c r="D269" s="7">
        <v>710.9375</v>
      </c>
      <c r="E269" s="5">
        <f t="shared" si="4"/>
        <v>0.83639705882352944</v>
      </c>
    </row>
    <row r="270" spans="1:5" x14ac:dyDescent="0.25">
      <c r="A270" s="8">
        <v>42477.40625</v>
      </c>
      <c r="B270" s="7">
        <v>436.34259033203102</v>
      </c>
      <c r="C270" s="7">
        <v>143.20022583007801</v>
      </c>
      <c r="D270" s="7">
        <v>697.048583984375</v>
      </c>
      <c r="E270" s="5">
        <f t="shared" si="4"/>
        <v>0.82005715762867648</v>
      </c>
    </row>
    <row r="271" spans="1:5" x14ac:dyDescent="0.25">
      <c r="A271" s="8">
        <v>42477.416666666664</v>
      </c>
      <c r="B271" s="7">
        <v>436.19790649414102</v>
      </c>
      <c r="C271" s="7">
        <v>143.90914916992199</v>
      </c>
      <c r="D271" s="7">
        <v>720.486083984375</v>
      </c>
      <c r="E271" s="5">
        <f t="shared" si="4"/>
        <v>0.8476306870404412</v>
      </c>
    </row>
    <row r="272" spans="1:5" x14ac:dyDescent="0.25">
      <c r="A272" s="8">
        <v>42477.427083333336</v>
      </c>
      <c r="B272" s="7">
        <v>435.47454833984398</v>
      </c>
      <c r="C272" s="7">
        <v>144.71932983398401</v>
      </c>
      <c r="D272" s="7">
        <v>716.72454833984398</v>
      </c>
      <c r="E272" s="5">
        <f t="shared" si="4"/>
        <v>0.84320535098805172</v>
      </c>
    </row>
    <row r="273" spans="1:5" x14ac:dyDescent="0.25">
      <c r="A273" s="8">
        <v>42477.4375</v>
      </c>
      <c r="B273" s="7">
        <v>433.15972900390602</v>
      </c>
      <c r="C273" s="7">
        <v>141.68113708496099</v>
      </c>
      <c r="D273" s="7">
        <v>714.40972900390602</v>
      </c>
      <c r="E273" s="5">
        <f t="shared" si="4"/>
        <v>0.84048203412224243</v>
      </c>
    </row>
    <row r="274" spans="1:5" x14ac:dyDescent="0.25">
      <c r="A274" s="8">
        <v>42477.447916666664</v>
      </c>
      <c r="B274" s="7">
        <v>434.17245483398398</v>
      </c>
      <c r="C274" s="7">
        <v>141.78240966796901</v>
      </c>
      <c r="D274" s="7">
        <v>690.682861328125</v>
      </c>
      <c r="E274" s="5">
        <f t="shared" si="4"/>
        <v>0.81256807215073534</v>
      </c>
    </row>
    <row r="275" spans="1:5" x14ac:dyDescent="0.25">
      <c r="A275" s="8">
        <v>42477.458333333336</v>
      </c>
      <c r="B275" s="7">
        <v>434.02777099609398</v>
      </c>
      <c r="C275" s="7">
        <v>135.90856933593801</v>
      </c>
      <c r="D275" s="7">
        <v>689.236083984375</v>
      </c>
      <c r="E275" s="5">
        <f t="shared" si="4"/>
        <v>0.81086598115808828</v>
      </c>
    </row>
    <row r="276" spans="1:5" x14ac:dyDescent="0.25">
      <c r="A276" s="8">
        <v>42477.46875</v>
      </c>
      <c r="B276" s="7">
        <v>437.21063232421898</v>
      </c>
      <c r="C276" s="7">
        <v>140.87095642089801</v>
      </c>
      <c r="D276" s="7">
        <v>699.942138671875</v>
      </c>
      <c r="E276" s="5">
        <f t="shared" si="4"/>
        <v>0.82346133961397061</v>
      </c>
    </row>
    <row r="277" spans="1:5" x14ac:dyDescent="0.25">
      <c r="A277" s="8">
        <v>42477.479166666664</v>
      </c>
      <c r="B277" s="7">
        <v>436.48727416992199</v>
      </c>
      <c r="C277" s="7">
        <v>142.99768066406301</v>
      </c>
      <c r="D277" s="7">
        <v>717.30322265625</v>
      </c>
      <c r="E277" s="5">
        <f t="shared" si="4"/>
        <v>0.84388614430147058</v>
      </c>
    </row>
    <row r="278" spans="1:5" x14ac:dyDescent="0.25">
      <c r="A278" s="8">
        <v>42477.489583333336</v>
      </c>
      <c r="B278" s="7">
        <v>435.32986450195301</v>
      </c>
      <c r="C278" s="7">
        <v>144.31423950195301</v>
      </c>
      <c r="D278" s="7">
        <v>735.24304199218795</v>
      </c>
      <c r="E278" s="5">
        <f t="shared" si="4"/>
        <v>0.86499181410845638</v>
      </c>
    </row>
    <row r="279" spans="1:5" x14ac:dyDescent="0.25">
      <c r="A279" s="8">
        <v>42477.5</v>
      </c>
      <c r="B279" s="7">
        <v>434.317138671875</v>
      </c>
      <c r="C279" s="7">
        <v>145.42823791503901</v>
      </c>
      <c r="D279" s="7">
        <v>754.34027099609398</v>
      </c>
      <c r="E279" s="5">
        <f t="shared" si="4"/>
        <v>0.88745914234834589</v>
      </c>
    </row>
    <row r="280" spans="1:5" x14ac:dyDescent="0.25">
      <c r="A280" s="8">
        <v>42477.510416666664</v>
      </c>
      <c r="B280" s="7">
        <v>433.44906616210898</v>
      </c>
      <c r="C280" s="7">
        <v>146.44097900390599</v>
      </c>
      <c r="D280" s="7">
        <v>764.17822265625</v>
      </c>
      <c r="E280" s="5">
        <f t="shared" si="4"/>
        <v>0.89903320312500001</v>
      </c>
    </row>
    <row r="281" spans="1:5" x14ac:dyDescent="0.25">
      <c r="A281" s="8">
        <v>42477.520833333336</v>
      </c>
      <c r="B281" s="7">
        <v>434.02777099609398</v>
      </c>
      <c r="C281" s="7">
        <v>146.54225158691401</v>
      </c>
      <c r="D281" s="7">
        <v>746.23840332031295</v>
      </c>
      <c r="E281" s="5">
        <f t="shared" si="4"/>
        <v>0.87792753331801521</v>
      </c>
    </row>
    <row r="282" spans="1:5" x14ac:dyDescent="0.25">
      <c r="A282" s="8">
        <v>42477.53125</v>
      </c>
      <c r="B282" s="7">
        <v>433.59375</v>
      </c>
      <c r="C282" s="7">
        <v>146.84606933593801</v>
      </c>
      <c r="D282" s="7">
        <v>771.41204833984398</v>
      </c>
      <c r="E282" s="5">
        <f t="shared" si="4"/>
        <v>0.90754358628216936</v>
      </c>
    </row>
    <row r="283" spans="1:5" x14ac:dyDescent="0.25">
      <c r="A283" s="8">
        <v>42477.541666666664</v>
      </c>
      <c r="B283" s="7">
        <v>431.85763549804699</v>
      </c>
      <c r="C283" s="7">
        <v>147.55497741699199</v>
      </c>
      <c r="D283" s="7">
        <v>790.50927734375</v>
      </c>
      <c r="E283" s="5">
        <f t="shared" si="4"/>
        <v>0.93001091452205886</v>
      </c>
    </row>
    <row r="284" spans="1:5" x14ac:dyDescent="0.25">
      <c r="A284" s="8">
        <v>42477.552083333336</v>
      </c>
      <c r="B284" s="7">
        <v>431.27893066406301</v>
      </c>
      <c r="C284" s="7">
        <v>147.96006774902301</v>
      </c>
      <c r="D284" s="7">
        <v>784.432861328125</v>
      </c>
      <c r="E284" s="5">
        <f t="shared" si="4"/>
        <v>0.92286218979779411</v>
      </c>
    </row>
    <row r="285" spans="1:5" x14ac:dyDescent="0.25">
      <c r="A285" s="8">
        <v>42477.5625</v>
      </c>
      <c r="B285" s="7">
        <v>431.85763549804699</v>
      </c>
      <c r="C285" s="7">
        <v>148.26388549804699</v>
      </c>
      <c r="D285" s="7">
        <v>776.620361328125</v>
      </c>
      <c r="E285" s="5">
        <f t="shared" si="4"/>
        <v>0.91367101332720591</v>
      </c>
    </row>
    <row r="286" spans="1:5" x14ac:dyDescent="0.25">
      <c r="A286" s="8">
        <v>42477.572916666664</v>
      </c>
      <c r="B286" s="7">
        <v>430.55554199218801</v>
      </c>
      <c r="C286" s="7">
        <v>148.97280883789099</v>
      </c>
      <c r="D286" s="7">
        <v>794.56018066406295</v>
      </c>
      <c r="E286" s="5">
        <f t="shared" si="4"/>
        <v>0.93477668313419171</v>
      </c>
    </row>
    <row r="287" spans="1:5" x14ac:dyDescent="0.25">
      <c r="A287" s="8">
        <v>42477.583333333336</v>
      </c>
      <c r="B287" s="7">
        <v>435.47454833984398</v>
      </c>
      <c r="C287" s="7">
        <v>146.035888671875</v>
      </c>
      <c r="D287" s="7">
        <v>710.9375</v>
      </c>
      <c r="E287" s="5">
        <f t="shared" si="4"/>
        <v>0.83639705882352944</v>
      </c>
    </row>
    <row r="288" spans="1:5" x14ac:dyDescent="0.25">
      <c r="A288" s="8">
        <v>42477.59375</v>
      </c>
      <c r="B288" s="7">
        <v>435.04049682617199</v>
      </c>
      <c r="C288" s="7">
        <v>145.52951049804699</v>
      </c>
      <c r="D288" s="7">
        <v>745.370361328125</v>
      </c>
      <c r="E288" s="5">
        <f t="shared" si="4"/>
        <v>0.87690630744485298</v>
      </c>
    </row>
    <row r="289" spans="1:5" x14ac:dyDescent="0.25">
      <c r="A289" s="8">
        <v>42477.604166666664</v>
      </c>
      <c r="B289" s="7">
        <v>436.05325317382801</v>
      </c>
      <c r="C289" s="7">
        <v>144.41551208496099</v>
      </c>
      <c r="D289" s="7">
        <v>710.35876464843795</v>
      </c>
      <c r="E289" s="5">
        <f t="shared" si="4"/>
        <v>0.83571619370404471</v>
      </c>
    </row>
    <row r="290" spans="1:5" x14ac:dyDescent="0.25">
      <c r="A290" s="8">
        <v>42477.614583333336</v>
      </c>
      <c r="B290" s="7">
        <v>435.61920166015602</v>
      </c>
      <c r="C290" s="7">
        <v>143.80787658691401</v>
      </c>
      <c r="D290" s="7">
        <v>770.254638671875</v>
      </c>
      <c r="E290" s="5">
        <f t="shared" si="4"/>
        <v>0.90618192784926466</v>
      </c>
    </row>
    <row r="291" spans="1:5" x14ac:dyDescent="0.25">
      <c r="A291" s="8">
        <v>42477.625</v>
      </c>
      <c r="B291" s="7">
        <v>431.42361450195301</v>
      </c>
      <c r="C291" s="7">
        <v>146.74479675293</v>
      </c>
      <c r="D291" s="7">
        <v>793.40277099609398</v>
      </c>
      <c r="E291" s="5">
        <f t="shared" si="4"/>
        <v>0.93341502470128701</v>
      </c>
    </row>
    <row r="292" spans="1:5" x14ac:dyDescent="0.25">
      <c r="A292" s="8">
        <v>42477.635416666664</v>
      </c>
      <c r="B292" s="7">
        <v>432.870361328125</v>
      </c>
      <c r="C292" s="7">
        <v>146.84606933593801</v>
      </c>
      <c r="D292" s="7">
        <v>760.12731933593795</v>
      </c>
      <c r="E292" s="5">
        <f t="shared" si="4"/>
        <v>0.89426743451286816</v>
      </c>
    </row>
    <row r="293" spans="1:5" x14ac:dyDescent="0.25">
      <c r="A293" s="8">
        <v>42477.645833333336</v>
      </c>
      <c r="B293" s="7">
        <v>432.870361328125</v>
      </c>
      <c r="C293" s="7">
        <v>147.35243225097699</v>
      </c>
      <c r="D293" s="7">
        <v>772.56945800781295</v>
      </c>
      <c r="E293" s="5">
        <f t="shared" si="4"/>
        <v>0.90890524471507406</v>
      </c>
    </row>
    <row r="294" spans="1:5" x14ac:dyDescent="0.25">
      <c r="A294" s="8">
        <v>42477.65625</v>
      </c>
      <c r="B294" s="7">
        <v>433.88308715820301</v>
      </c>
      <c r="C294" s="7">
        <v>146.947341918945</v>
      </c>
      <c r="D294" s="7">
        <v>754.34027099609398</v>
      </c>
      <c r="E294" s="5">
        <f t="shared" si="4"/>
        <v>0.88745914234834589</v>
      </c>
    </row>
    <row r="295" spans="1:5" x14ac:dyDescent="0.25">
      <c r="A295" s="8">
        <v>42477.666666666664</v>
      </c>
      <c r="B295" s="7">
        <v>434.17245483398398</v>
      </c>
      <c r="C295" s="7">
        <v>146.74479675293</v>
      </c>
      <c r="D295" s="7">
        <v>739.29400634765602</v>
      </c>
      <c r="E295" s="5">
        <f t="shared" si="4"/>
        <v>0.8697576545266541</v>
      </c>
    </row>
    <row r="296" spans="1:5" x14ac:dyDescent="0.25">
      <c r="A296" s="8">
        <v>42477.677083333336</v>
      </c>
      <c r="B296" s="7">
        <v>434.02777099609398</v>
      </c>
      <c r="C296" s="7">
        <v>146.84606933593801</v>
      </c>
      <c r="D296" s="7">
        <v>758.39117431640602</v>
      </c>
      <c r="E296" s="5">
        <f t="shared" si="4"/>
        <v>0.89222491096047762</v>
      </c>
    </row>
    <row r="297" spans="1:5" x14ac:dyDescent="0.25">
      <c r="A297" s="8">
        <v>42477.6875</v>
      </c>
      <c r="B297" s="7">
        <v>423.03240966796898</v>
      </c>
      <c r="C297" s="7">
        <v>136.21238708496099</v>
      </c>
      <c r="D297" s="7">
        <v>756.36572265625</v>
      </c>
      <c r="E297" s="5">
        <f t="shared" si="4"/>
        <v>0.88984202665441181</v>
      </c>
    </row>
    <row r="298" spans="1:5" x14ac:dyDescent="0.25">
      <c r="A298" s="8">
        <v>42477.697916666664</v>
      </c>
      <c r="B298" s="7">
        <v>431.13424682617199</v>
      </c>
      <c r="C298" s="7">
        <v>143.70660400390599</v>
      </c>
      <c r="D298" s="7">
        <v>778.35650634765602</v>
      </c>
      <c r="E298" s="5">
        <f t="shared" si="4"/>
        <v>0.91571353687959534</v>
      </c>
    </row>
    <row r="299" spans="1:5" x14ac:dyDescent="0.25">
      <c r="A299" s="8">
        <v>42477.708333333336</v>
      </c>
      <c r="B299" s="7">
        <v>433.30438232421898</v>
      </c>
      <c r="C299" s="7">
        <v>146.23843383789099</v>
      </c>
      <c r="D299" s="7">
        <v>749.42126464843795</v>
      </c>
      <c r="E299" s="5">
        <f t="shared" si="4"/>
        <v>0.88167207605698583</v>
      </c>
    </row>
    <row r="300" spans="1:5" x14ac:dyDescent="0.25">
      <c r="A300" s="8">
        <v>42477.71875</v>
      </c>
      <c r="B300" s="7">
        <v>432.72570800781301</v>
      </c>
      <c r="C300" s="7">
        <v>147.85879516601599</v>
      </c>
      <c r="D300" s="7">
        <v>797.45367431640602</v>
      </c>
      <c r="E300" s="5">
        <f t="shared" si="4"/>
        <v>0.93818079331341886</v>
      </c>
    </row>
    <row r="301" spans="1:5" x14ac:dyDescent="0.25">
      <c r="A301" s="8">
        <v>42477.729166666664</v>
      </c>
      <c r="B301" s="7">
        <v>436.19790649414102</v>
      </c>
      <c r="C301" s="7">
        <v>147.45370483398401</v>
      </c>
      <c r="D301" s="7">
        <v>712.09490966796898</v>
      </c>
      <c r="E301" s="5">
        <f t="shared" si="4"/>
        <v>0.83775871725643414</v>
      </c>
    </row>
    <row r="302" spans="1:5" x14ac:dyDescent="0.25">
      <c r="A302" s="8">
        <v>42477.739583333336</v>
      </c>
      <c r="B302" s="7">
        <v>437.21063232421898</v>
      </c>
      <c r="C302" s="7">
        <v>146.23843383789099</v>
      </c>
      <c r="D302" s="7">
        <v>722.22222900390602</v>
      </c>
      <c r="E302" s="5">
        <f t="shared" si="4"/>
        <v>0.84967321059283063</v>
      </c>
    </row>
    <row r="303" spans="1:5" x14ac:dyDescent="0.25">
      <c r="A303" s="8">
        <v>42477.75</v>
      </c>
      <c r="B303" s="7">
        <v>437.21063232421898</v>
      </c>
      <c r="C303" s="7">
        <v>146.23843383789099</v>
      </c>
      <c r="D303" s="7">
        <v>725.11572265625</v>
      </c>
      <c r="E303" s="5">
        <f t="shared" si="4"/>
        <v>0.85307732077205878</v>
      </c>
    </row>
    <row r="304" spans="1:5" x14ac:dyDescent="0.25">
      <c r="A304" s="8">
        <v>42477.760416666664</v>
      </c>
      <c r="B304" s="7">
        <v>438.65740966796898</v>
      </c>
      <c r="C304" s="7">
        <v>144.921875</v>
      </c>
      <c r="D304" s="7">
        <v>696.18054199218795</v>
      </c>
      <c r="E304" s="5">
        <f t="shared" si="4"/>
        <v>0.81903593175551526</v>
      </c>
    </row>
    <row r="305" spans="1:5" x14ac:dyDescent="0.25">
      <c r="A305" s="8">
        <v>42477.770833333336</v>
      </c>
      <c r="B305" s="7">
        <v>438.223388671875</v>
      </c>
      <c r="C305" s="7">
        <v>144.01042175293</v>
      </c>
      <c r="D305" s="7">
        <v>694.73376464843795</v>
      </c>
      <c r="E305" s="5">
        <f t="shared" si="4"/>
        <v>0.81733384076286819</v>
      </c>
    </row>
    <row r="306" spans="1:5" x14ac:dyDescent="0.25">
      <c r="A306" s="8">
        <v>42477.78125</v>
      </c>
      <c r="B306" s="7">
        <v>432.14700317382801</v>
      </c>
      <c r="C306" s="7">
        <v>145.32696533203099</v>
      </c>
      <c r="D306" s="7">
        <v>817.70831298828102</v>
      </c>
      <c r="E306" s="5">
        <f t="shared" si="4"/>
        <v>0.96200977998621295</v>
      </c>
    </row>
    <row r="307" spans="1:5" x14ac:dyDescent="0.25">
      <c r="A307" s="8">
        <v>42477.791666666664</v>
      </c>
      <c r="B307" s="7">
        <v>430.98959350585898</v>
      </c>
      <c r="C307" s="7">
        <v>146.74479675293</v>
      </c>
      <c r="D307" s="7">
        <v>815.97222900390602</v>
      </c>
      <c r="E307" s="5">
        <f t="shared" si="4"/>
        <v>0.95996732823988939</v>
      </c>
    </row>
    <row r="308" spans="1:5" x14ac:dyDescent="0.25">
      <c r="A308" s="8">
        <v>42477.802083333336</v>
      </c>
      <c r="B308" s="7">
        <v>431.27893066406301</v>
      </c>
      <c r="C308" s="7">
        <v>147.55497741699199</v>
      </c>
      <c r="D308" s="7">
        <v>816.55090332031295</v>
      </c>
      <c r="E308" s="5">
        <f t="shared" si="4"/>
        <v>0.96064812155330936</v>
      </c>
    </row>
    <row r="309" spans="1:5" x14ac:dyDescent="0.25">
      <c r="A309" s="8">
        <v>42477.8125</v>
      </c>
      <c r="B309" s="7">
        <v>430.98959350585898</v>
      </c>
      <c r="C309" s="7">
        <v>147.96006774902301</v>
      </c>
      <c r="D309" s="7">
        <v>820.60186767578102</v>
      </c>
      <c r="E309" s="5">
        <f t="shared" si="4"/>
        <v>0.96541396197150708</v>
      </c>
    </row>
    <row r="310" spans="1:5" x14ac:dyDescent="0.25">
      <c r="A310" s="8">
        <v>42477.822916666664</v>
      </c>
      <c r="B310" s="7">
        <v>431.27893066406301</v>
      </c>
      <c r="C310" s="7">
        <v>148.06134033203099</v>
      </c>
      <c r="D310" s="7">
        <v>808.73840332031295</v>
      </c>
      <c r="E310" s="5">
        <f t="shared" si="4"/>
        <v>0.95145694508272116</v>
      </c>
    </row>
    <row r="311" spans="1:5" x14ac:dyDescent="0.25">
      <c r="A311" s="8">
        <v>42477.833333333336</v>
      </c>
      <c r="B311" s="7">
        <v>431.13424682617199</v>
      </c>
      <c r="C311" s="7">
        <v>148.06134033203099</v>
      </c>
      <c r="D311" s="7">
        <v>815.97222900390602</v>
      </c>
      <c r="E311" s="5">
        <f t="shared" si="4"/>
        <v>0.95996732823988939</v>
      </c>
    </row>
    <row r="312" spans="1:5" x14ac:dyDescent="0.25">
      <c r="A312" s="8">
        <v>42477.84375</v>
      </c>
      <c r="B312" s="7">
        <v>432.58102416992199</v>
      </c>
      <c r="C312" s="7">
        <v>147.75752258300801</v>
      </c>
      <c r="D312" s="7">
        <v>787.326416015625</v>
      </c>
      <c r="E312" s="5">
        <f t="shared" si="4"/>
        <v>0.92626637178308824</v>
      </c>
    </row>
    <row r="313" spans="1:5" x14ac:dyDescent="0.25">
      <c r="A313" s="8">
        <v>42477.854166666664</v>
      </c>
      <c r="B313" s="7">
        <v>432.58102416992199</v>
      </c>
      <c r="C313" s="7">
        <v>147.45370483398401</v>
      </c>
      <c r="D313" s="7">
        <v>787.326416015625</v>
      </c>
      <c r="E313" s="5">
        <f t="shared" si="4"/>
        <v>0.92626637178308824</v>
      </c>
    </row>
    <row r="314" spans="1:5" x14ac:dyDescent="0.25">
      <c r="A314" s="8">
        <v>42477.864583333336</v>
      </c>
      <c r="B314" s="7">
        <v>433.15972900390602</v>
      </c>
      <c r="C314" s="7">
        <v>146.84606933593801</v>
      </c>
      <c r="D314" s="7">
        <v>772.56945800781295</v>
      </c>
      <c r="E314" s="5">
        <f t="shared" si="4"/>
        <v>0.90890524471507406</v>
      </c>
    </row>
    <row r="315" spans="1:5" x14ac:dyDescent="0.25">
      <c r="A315" s="8">
        <v>42477.875</v>
      </c>
      <c r="B315" s="7">
        <v>433.15972900390602</v>
      </c>
      <c r="C315" s="7">
        <v>146.947341918945</v>
      </c>
      <c r="D315" s="7">
        <v>767.361083984375</v>
      </c>
      <c r="E315" s="5">
        <f t="shared" si="4"/>
        <v>0.90277774586397064</v>
      </c>
    </row>
    <row r="316" spans="1:5" x14ac:dyDescent="0.25">
      <c r="A316" s="8">
        <v>42477.885416666664</v>
      </c>
      <c r="B316" s="7">
        <v>435.61920166015602</v>
      </c>
      <c r="C316" s="7">
        <v>146.33970642089801</v>
      </c>
      <c r="D316" s="7">
        <v>699.36340332031295</v>
      </c>
      <c r="E316" s="5">
        <f t="shared" si="4"/>
        <v>0.82278047449448588</v>
      </c>
    </row>
    <row r="317" spans="1:5" x14ac:dyDescent="0.25">
      <c r="A317" s="8">
        <v>42477.895833333336</v>
      </c>
      <c r="B317" s="7">
        <v>438.223388671875</v>
      </c>
      <c r="C317" s="7">
        <v>144.01042175293</v>
      </c>
      <c r="D317" s="7">
        <v>703.125</v>
      </c>
      <c r="E317" s="5">
        <f t="shared" si="4"/>
        <v>0.82720588235294112</v>
      </c>
    </row>
    <row r="318" spans="1:5" x14ac:dyDescent="0.25">
      <c r="A318" s="8">
        <v>42477.90625</v>
      </c>
      <c r="B318" s="7">
        <v>438.65740966796898</v>
      </c>
      <c r="C318" s="7">
        <v>143.301513671875</v>
      </c>
      <c r="D318" s="7">
        <v>703.125</v>
      </c>
      <c r="E318" s="5">
        <f t="shared" si="4"/>
        <v>0.82720588235294112</v>
      </c>
    </row>
    <row r="319" spans="1:5" x14ac:dyDescent="0.25">
      <c r="A319" s="8">
        <v>42477.916666666664</v>
      </c>
      <c r="B319" s="7">
        <v>436.05325317382801</v>
      </c>
      <c r="C319" s="7">
        <v>144.71932983398401</v>
      </c>
      <c r="D319" s="7">
        <v>743.34490966796898</v>
      </c>
      <c r="E319" s="5">
        <f t="shared" si="4"/>
        <v>0.87452342313878706</v>
      </c>
    </row>
    <row r="320" spans="1:5" x14ac:dyDescent="0.25">
      <c r="A320" s="8">
        <v>42477.927083333336</v>
      </c>
      <c r="B320" s="7">
        <v>433.15972900390602</v>
      </c>
      <c r="C320" s="7">
        <v>133.275466918945</v>
      </c>
      <c r="D320" s="7">
        <v>555.55554199218795</v>
      </c>
      <c r="E320" s="5">
        <f t="shared" si="4"/>
        <v>0.65359475528492705</v>
      </c>
    </row>
    <row r="321" spans="1:5" x14ac:dyDescent="0.25">
      <c r="A321" s="8">
        <v>42477.9375</v>
      </c>
      <c r="B321" s="7">
        <v>439.23611450195301</v>
      </c>
      <c r="C321" s="7">
        <v>137.12384033203099</v>
      </c>
      <c r="D321" s="7">
        <v>670.138916015625</v>
      </c>
      <c r="E321" s="5">
        <f t="shared" si="4"/>
        <v>0.78839872472426475</v>
      </c>
    </row>
    <row r="322" spans="1:5" x14ac:dyDescent="0.25">
      <c r="A322" s="8">
        <v>42477.947916666664</v>
      </c>
      <c r="B322" s="7">
        <v>440.82754516601602</v>
      </c>
      <c r="C322" s="7">
        <v>140.46585083007801</v>
      </c>
      <c r="D322" s="7">
        <v>657.986083984375</v>
      </c>
      <c r="E322" s="5">
        <f t="shared" si="4"/>
        <v>0.77410127527573525</v>
      </c>
    </row>
    <row r="323" spans="1:5" x14ac:dyDescent="0.25">
      <c r="A323" s="8">
        <v>42477.958333333336</v>
      </c>
      <c r="B323" s="7">
        <v>441.84027099609398</v>
      </c>
      <c r="C323" s="7">
        <v>141.17477416992199</v>
      </c>
      <c r="D323" s="7">
        <v>637.73150634765602</v>
      </c>
      <c r="E323" s="5">
        <f t="shared" ref="E323:E386" si="5">+D323/850</f>
        <v>0.75027236040900713</v>
      </c>
    </row>
    <row r="324" spans="1:5" x14ac:dyDescent="0.25">
      <c r="A324" s="8">
        <v>42477.96875</v>
      </c>
      <c r="B324" s="7">
        <v>443.43170166015602</v>
      </c>
      <c r="C324" s="7">
        <v>139.95948791503901</v>
      </c>
      <c r="D324" s="7">
        <v>610.53240966796898</v>
      </c>
      <c r="E324" s="5">
        <f t="shared" si="5"/>
        <v>0.71827342313878706</v>
      </c>
    </row>
    <row r="325" spans="1:5" x14ac:dyDescent="0.25">
      <c r="A325" s="8">
        <v>42477.979166666664</v>
      </c>
      <c r="B325" s="7">
        <v>444.15509033203102</v>
      </c>
      <c r="C325" s="7">
        <v>138.744216918945</v>
      </c>
      <c r="D325" s="7">
        <v>607.638916015625</v>
      </c>
      <c r="E325" s="5">
        <f t="shared" si="5"/>
        <v>0.7148693129595588</v>
      </c>
    </row>
    <row r="326" spans="1:5" x14ac:dyDescent="0.25">
      <c r="A326" s="8">
        <v>42477.989583333336</v>
      </c>
      <c r="B326" s="7">
        <v>444.01040649414102</v>
      </c>
      <c r="C326" s="7">
        <v>138.13658142089801</v>
      </c>
      <c r="D326" s="7">
        <v>604.745361328125</v>
      </c>
      <c r="E326" s="5">
        <f t="shared" si="5"/>
        <v>0.71146513097426467</v>
      </c>
    </row>
    <row r="327" spans="1:5" x14ac:dyDescent="0.25">
      <c r="A327" s="8">
        <v>42478</v>
      </c>
      <c r="B327" s="7">
        <v>444.44445800781301</v>
      </c>
      <c r="C327" s="7">
        <v>136.82002258300801</v>
      </c>
      <c r="D327" s="7">
        <v>597.51159667968795</v>
      </c>
      <c r="E327" s="5">
        <f t="shared" si="5"/>
        <v>0.70295481962316231</v>
      </c>
    </row>
    <row r="328" spans="1:5" x14ac:dyDescent="0.25">
      <c r="A328" s="8">
        <v>42478.010416666664</v>
      </c>
      <c r="B328" s="7">
        <v>445.02313232421898</v>
      </c>
      <c r="C328" s="7">
        <v>135.90856933593801</v>
      </c>
      <c r="D328" s="7">
        <v>593.46063232421898</v>
      </c>
      <c r="E328" s="5">
        <f t="shared" si="5"/>
        <v>0.69818897920496348</v>
      </c>
    </row>
    <row r="329" spans="1:5" x14ac:dyDescent="0.25">
      <c r="A329" s="8">
        <v>42478.020833333336</v>
      </c>
      <c r="B329" s="7">
        <v>445.16781616210898</v>
      </c>
      <c r="C329" s="7">
        <v>134.89582824707</v>
      </c>
      <c r="D329" s="7">
        <v>592.30322265625</v>
      </c>
      <c r="E329" s="5">
        <f t="shared" si="5"/>
        <v>0.69682732077205878</v>
      </c>
    </row>
    <row r="330" spans="1:5" x14ac:dyDescent="0.25">
      <c r="A330" s="8">
        <v>42478.03125</v>
      </c>
      <c r="B330" s="7">
        <v>445.16781616210898</v>
      </c>
      <c r="C330" s="7">
        <v>134.28819274902301</v>
      </c>
      <c r="D330" s="7">
        <v>587.38427734375</v>
      </c>
      <c r="E330" s="5">
        <f t="shared" si="5"/>
        <v>0.69104032628676471</v>
      </c>
    </row>
    <row r="331" spans="1:5" x14ac:dyDescent="0.25">
      <c r="A331" s="8">
        <v>42478.041666666664</v>
      </c>
      <c r="B331" s="7">
        <v>445.16781616210898</v>
      </c>
      <c r="C331" s="7">
        <v>133.88310241699199</v>
      </c>
      <c r="D331" s="7">
        <v>592.30322265625</v>
      </c>
      <c r="E331" s="5">
        <f t="shared" si="5"/>
        <v>0.69682732077205878</v>
      </c>
    </row>
    <row r="332" spans="1:5" x14ac:dyDescent="0.25">
      <c r="A332" s="8">
        <v>42478.052083333336</v>
      </c>
      <c r="B332" s="7">
        <v>445.74652099609398</v>
      </c>
      <c r="C332" s="7">
        <v>133.275466918945</v>
      </c>
      <c r="D332" s="7">
        <v>582.754638671875</v>
      </c>
      <c r="E332" s="5">
        <f t="shared" si="5"/>
        <v>0.68559369255514702</v>
      </c>
    </row>
    <row r="333" spans="1:5" x14ac:dyDescent="0.25">
      <c r="A333" s="8">
        <v>42478.0625</v>
      </c>
      <c r="B333" s="7">
        <v>445.74652099609398</v>
      </c>
      <c r="C333" s="7">
        <v>133.17419433593801</v>
      </c>
      <c r="D333" s="7">
        <v>577.54626464843795</v>
      </c>
      <c r="E333" s="5">
        <f t="shared" si="5"/>
        <v>0.67946619370404471</v>
      </c>
    </row>
    <row r="334" spans="1:5" x14ac:dyDescent="0.25">
      <c r="A334" s="8">
        <v>42478.072916666664</v>
      </c>
      <c r="B334" s="7">
        <v>445.60183715820301</v>
      </c>
      <c r="C334" s="7">
        <v>133.17419433593801</v>
      </c>
      <c r="D334" s="7">
        <v>578.70367431640602</v>
      </c>
      <c r="E334" s="5">
        <f t="shared" si="5"/>
        <v>0.6808278521369483</v>
      </c>
    </row>
    <row r="335" spans="1:5" x14ac:dyDescent="0.25">
      <c r="A335" s="8">
        <v>42478.083333333336</v>
      </c>
      <c r="B335" s="7">
        <v>445.74652099609398</v>
      </c>
      <c r="C335" s="7">
        <v>133.17419433593801</v>
      </c>
      <c r="D335" s="7">
        <v>566.26159667968795</v>
      </c>
      <c r="E335" s="5">
        <f t="shared" si="5"/>
        <v>0.66619011374080939</v>
      </c>
    </row>
    <row r="336" spans="1:5" x14ac:dyDescent="0.25">
      <c r="A336" s="8">
        <v>42478.09375</v>
      </c>
      <c r="B336" s="7">
        <v>445.74652099609398</v>
      </c>
      <c r="C336" s="7">
        <v>132.76910400390599</v>
      </c>
      <c r="D336" s="7">
        <v>574.36340332031295</v>
      </c>
      <c r="E336" s="5">
        <f t="shared" si="5"/>
        <v>0.67572165096507408</v>
      </c>
    </row>
    <row r="337" spans="1:5" x14ac:dyDescent="0.25">
      <c r="A337" s="8">
        <v>42478.104166666664</v>
      </c>
      <c r="B337" s="7">
        <v>445.74652099609398</v>
      </c>
      <c r="C337" s="7">
        <v>132.76910400390599</v>
      </c>
      <c r="D337" s="7">
        <v>571.75927734375</v>
      </c>
      <c r="E337" s="5">
        <f t="shared" si="5"/>
        <v>0.67265797334558819</v>
      </c>
    </row>
    <row r="338" spans="1:5" x14ac:dyDescent="0.25">
      <c r="A338" s="8">
        <v>42478.114583333336</v>
      </c>
      <c r="B338" s="7">
        <v>445.89120483398398</v>
      </c>
      <c r="C338" s="7">
        <v>132.56655883789099</v>
      </c>
      <c r="D338" s="7">
        <v>574.36340332031295</v>
      </c>
      <c r="E338" s="5">
        <f t="shared" si="5"/>
        <v>0.67572165096507408</v>
      </c>
    </row>
    <row r="339" spans="1:5" x14ac:dyDescent="0.25">
      <c r="A339" s="8">
        <v>42478.125</v>
      </c>
      <c r="B339" s="7">
        <v>446.18054199218801</v>
      </c>
      <c r="C339" s="7">
        <v>132.56655883789099</v>
      </c>
      <c r="D339" s="7">
        <v>571.75927734375</v>
      </c>
      <c r="E339" s="5">
        <f t="shared" si="5"/>
        <v>0.67265797334558819</v>
      </c>
    </row>
    <row r="340" spans="1:5" x14ac:dyDescent="0.25">
      <c r="A340" s="8">
        <v>42478.135416666664</v>
      </c>
      <c r="B340" s="7">
        <v>445.89120483398398</v>
      </c>
      <c r="C340" s="7">
        <v>132.66783142089801</v>
      </c>
      <c r="D340" s="7">
        <v>577.54626464843795</v>
      </c>
      <c r="E340" s="5">
        <f t="shared" si="5"/>
        <v>0.67946619370404471</v>
      </c>
    </row>
    <row r="341" spans="1:5" x14ac:dyDescent="0.25">
      <c r="A341" s="8">
        <v>42478.145833333336</v>
      </c>
      <c r="B341" s="7">
        <v>446.32522583007801</v>
      </c>
      <c r="C341" s="7">
        <v>132.26272583007801</v>
      </c>
      <c r="D341" s="7">
        <v>566.26159667968795</v>
      </c>
      <c r="E341" s="5">
        <f t="shared" si="5"/>
        <v>0.66619011374080939</v>
      </c>
    </row>
    <row r="342" spans="1:5" x14ac:dyDescent="0.25">
      <c r="A342" s="8">
        <v>42478.15625</v>
      </c>
      <c r="B342" s="7">
        <v>445.74652099609398</v>
      </c>
      <c r="C342" s="7">
        <v>132.66783142089801</v>
      </c>
      <c r="D342" s="7">
        <v>570.3125</v>
      </c>
      <c r="E342" s="5">
        <f t="shared" si="5"/>
        <v>0.67095588235294112</v>
      </c>
    </row>
    <row r="343" spans="1:5" x14ac:dyDescent="0.25">
      <c r="A343" s="8">
        <v>42478.166666666664</v>
      </c>
      <c r="B343" s="7">
        <v>446.18054199218801</v>
      </c>
      <c r="C343" s="7">
        <v>132.364013671875</v>
      </c>
      <c r="D343" s="7">
        <v>564.236083984375</v>
      </c>
      <c r="E343" s="5">
        <f t="shared" si="5"/>
        <v>0.66380715762867648</v>
      </c>
    </row>
    <row r="344" spans="1:5" x14ac:dyDescent="0.25">
      <c r="A344" s="8">
        <v>42478.177083333336</v>
      </c>
      <c r="B344" s="7">
        <v>446.46990966796898</v>
      </c>
      <c r="C344" s="7">
        <v>132.06018066406301</v>
      </c>
      <c r="D344" s="7">
        <v>552.37268066406295</v>
      </c>
      <c r="E344" s="5">
        <f t="shared" si="5"/>
        <v>0.64985021254595643</v>
      </c>
    </row>
    <row r="345" spans="1:5" x14ac:dyDescent="0.25">
      <c r="A345" s="8">
        <v>42478.1875</v>
      </c>
      <c r="B345" s="7">
        <v>445.89120483398398</v>
      </c>
      <c r="C345" s="7">
        <v>132.364013671875</v>
      </c>
      <c r="D345" s="7">
        <v>568.576416015625</v>
      </c>
      <c r="E345" s="5">
        <f t="shared" si="5"/>
        <v>0.66891343060661768</v>
      </c>
    </row>
    <row r="346" spans="1:5" x14ac:dyDescent="0.25">
      <c r="A346" s="8">
        <v>42478.197916666664</v>
      </c>
      <c r="B346" s="7">
        <v>445.02313232421898</v>
      </c>
      <c r="C346" s="7">
        <v>132.87037658691401</v>
      </c>
      <c r="D346" s="7">
        <v>587.38427734375</v>
      </c>
      <c r="E346" s="5">
        <f t="shared" si="5"/>
        <v>0.69104032628676471</v>
      </c>
    </row>
    <row r="347" spans="1:5" x14ac:dyDescent="0.25">
      <c r="A347" s="8">
        <v>42478.208333333336</v>
      </c>
      <c r="B347" s="7">
        <v>444.01040649414102</v>
      </c>
      <c r="C347" s="7">
        <v>134.08564758300801</v>
      </c>
      <c r="D347" s="7">
        <v>610.53240966796898</v>
      </c>
      <c r="E347" s="5">
        <f t="shared" si="5"/>
        <v>0.71827342313878706</v>
      </c>
    </row>
    <row r="348" spans="1:5" x14ac:dyDescent="0.25">
      <c r="A348" s="8">
        <v>42478.21875</v>
      </c>
      <c r="B348" s="7">
        <v>443.57638549804699</v>
      </c>
      <c r="C348" s="7">
        <v>134.59201049804699</v>
      </c>
      <c r="D348" s="7">
        <v>613.71527099609398</v>
      </c>
      <c r="E348" s="5">
        <f t="shared" si="5"/>
        <v>0.72201796587775757</v>
      </c>
    </row>
    <row r="349" spans="1:5" x14ac:dyDescent="0.25">
      <c r="A349" s="8">
        <v>42478.229166666664</v>
      </c>
      <c r="B349" s="7">
        <v>443.28704833984398</v>
      </c>
      <c r="C349" s="7">
        <v>134.693283081055</v>
      </c>
      <c r="D349" s="7">
        <v>617.76617431640602</v>
      </c>
      <c r="E349" s="5">
        <f t="shared" si="5"/>
        <v>0.72678373448988942</v>
      </c>
    </row>
    <row r="350" spans="1:5" x14ac:dyDescent="0.25">
      <c r="A350" s="8">
        <v>42478.239583333336</v>
      </c>
      <c r="B350" s="7">
        <v>442.85299682617199</v>
      </c>
      <c r="C350" s="7">
        <v>135.40220642089801</v>
      </c>
      <c r="D350" s="7">
        <v>610.53240966796898</v>
      </c>
      <c r="E350" s="5">
        <f t="shared" si="5"/>
        <v>0.71827342313878706</v>
      </c>
    </row>
    <row r="351" spans="1:5" x14ac:dyDescent="0.25">
      <c r="A351" s="8">
        <v>42478.25</v>
      </c>
      <c r="B351" s="7">
        <v>442.85299682617199</v>
      </c>
      <c r="C351" s="7">
        <v>135.098388671875</v>
      </c>
      <c r="D351" s="7">
        <v>613.71527099609398</v>
      </c>
      <c r="E351" s="5">
        <f t="shared" si="5"/>
        <v>0.72201796587775757</v>
      </c>
    </row>
    <row r="352" spans="1:5" x14ac:dyDescent="0.25">
      <c r="A352" s="8">
        <v>42478.260416666664</v>
      </c>
      <c r="B352" s="7">
        <v>440.39352416992199</v>
      </c>
      <c r="C352" s="7">
        <v>136.71875</v>
      </c>
      <c r="D352" s="7">
        <v>657.986083984375</v>
      </c>
      <c r="E352" s="5">
        <f t="shared" si="5"/>
        <v>0.77410127527573525</v>
      </c>
    </row>
    <row r="353" spans="1:5" x14ac:dyDescent="0.25">
      <c r="A353" s="8">
        <v>42478.270833333336</v>
      </c>
      <c r="B353" s="7">
        <v>440.682861328125</v>
      </c>
      <c r="C353" s="7">
        <v>137.22511291503901</v>
      </c>
      <c r="D353" s="7">
        <v>661.74768066406295</v>
      </c>
      <c r="E353" s="5">
        <f t="shared" si="5"/>
        <v>0.77852668313419171</v>
      </c>
    </row>
    <row r="354" spans="1:5" x14ac:dyDescent="0.25">
      <c r="A354" s="8">
        <v>42478.28125</v>
      </c>
      <c r="B354" s="7">
        <v>440.53820800781301</v>
      </c>
      <c r="C354" s="7">
        <v>137.427658081055</v>
      </c>
      <c r="D354" s="7">
        <v>654.513916015625</v>
      </c>
      <c r="E354" s="5">
        <f t="shared" si="5"/>
        <v>0.77001637178308824</v>
      </c>
    </row>
    <row r="355" spans="1:5" x14ac:dyDescent="0.25">
      <c r="A355" s="8">
        <v>42478.291666666664</v>
      </c>
      <c r="B355" s="7">
        <v>440.53820800781301</v>
      </c>
      <c r="C355" s="7">
        <v>137.93403625488301</v>
      </c>
      <c r="D355" s="7">
        <v>647.85876464843795</v>
      </c>
      <c r="E355" s="5">
        <f t="shared" si="5"/>
        <v>0.76218678193933875</v>
      </c>
    </row>
    <row r="356" spans="1:5" x14ac:dyDescent="0.25">
      <c r="A356" s="8">
        <v>42478.302083333336</v>
      </c>
      <c r="B356" s="7">
        <v>439.95950317382801</v>
      </c>
      <c r="C356" s="7">
        <v>138.84548950195301</v>
      </c>
      <c r="D356" s="7">
        <v>672.74304199218795</v>
      </c>
      <c r="E356" s="5">
        <f t="shared" si="5"/>
        <v>0.79146240234375054</v>
      </c>
    </row>
    <row r="357" spans="1:5" x14ac:dyDescent="0.25">
      <c r="A357" s="8">
        <v>42478.3125</v>
      </c>
      <c r="B357" s="7">
        <v>439.95950317382801</v>
      </c>
      <c r="C357" s="7">
        <v>138.84548950195301</v>
      </c>
      <c r="D357" s="7">
        <v>672.74304199218795</v>
      </c>
      <c r="E357" s="5">
        <v>0.79146240234375054</v>
      </c>
    </row>
    <row r="358" spans="1:5" x14ac:dyDescent="0.25">
      <c r="A358" s="8">
        <v>42478.322916666664</v>
      </c>
      <c r="B358" s="7">
        <v>363.85995483398398</v>
      </c>
      <c r="C358" s="7">
        <v>117.98321533203099</v>
      </c>
      <c r="D358" s="7">
        <v>555.55554199218795</v>
      </c>
      <c r="E358" s="5">
        <f t="shared" si="5"/>
        <v>0.65359475528492705</v>
      </c>
    </row>
    <row r="359" spans="1:5" x14ac:dyDescent="0.25">
      <c r="A359" s="8">
        <v>42478.333333333336</v>
      </c>
      <c r="B359" s="7">
        <v>374.56597900390602</v>
      </c>
      <c r="C359" s="7">
        <v>109.78009033203099</v>
      </c>
      <c r="D359" s="7">
        <v>698.78472900390602</v>
      </c>
      <c r="E359" s="5">
        <f t="shared" si="5"/>
        <v>0.82209968118106591</v>
      </c>
    </row>
    <row r="360" spans="1:5" x14ac:dyDescent="0.25">
      <c r="A360" s="8">
        <v>42478.34375</v>
      </c>
      <c r="B360" s="7">
        <v>433.59375</v>
      </c>
      <c r="C360" s="7">
        <v>125.27488708496099</v>
      </c>
      <c r="D360" s="7">
        <v>665.798583984375</v>
      </c>
      <c r="E360" s="5">
        <f t="shared" si="5"/>
        <v>0.78329245174632356</v>
      </c>
    </row>
    <row r="361" spans="1:5" x14ac:dyDescent="0.25">
      <c r="A361" s="8">
        <v>42478.354166666664</v>
      </c>
      <c r="B361" s="7">
        <v>435.61920166015602</v>
      </c>
      <c r="C361" s="7">
        <v>135.90856933593801</v>
      </c>
      <c r="D361" s="7">
        <v>752.31481933593795</v>
      </c>
      <c r="E361" s="5">
        <f t="shared" si="5"/>
        <v>0.88507625804227996</v>
      </c>
    </row>
    <row r="362" spans="1:5" x14ac:dyDescent="0.25">
      <c r="A362" s="8">
        <v>42478.364583333336</v>
      </c>
      <c r="B362" s="7">
        <v>434.17245483398398</v>
      </c>
      <c r="C362" s="7">
        <v>140.97222900390599</v>
      </c>
      <c r="D362" s="7">
        <v>752.31481933593795</v>
      </c>
      <c r="E362" s="5">
        <f t="shared" si="5"/>
        <v>0.88507625804227996</v>
      </c>
    </row>
    <row r="363" spans="1:5" x14ac:dyDescent="0.25">
      <c r="A363" s="8">
        <v>42478.375</v>
      </c>
      <c r="B363" s="7">
        <v>432.72570800781301</v>
      </c>
      <c r="C363" s="7">
        <v>143.40278625488301</v>
      </c>
      <c r="D363" s="7">
        <v>767.361083984375</v>
      </c>
      <c r="E363" s="5">
        <f t="shared" si="5"/>
        <v>0.90277774586397064</v>
      </c>
    </row>
    <row r="364" spans="1:5" x14ac:dyDescent="0.25">
      <c r="A364" s="8">
        <v>42478.385416666664</v>
      </c>
      <c r="B364" s="7">
        <v>436.92129516601602</v>
      </c>
      <c r="C364" s="7">
        <v>142.28877258300801</v>
      </c>
      <c r="D364" s="7">
        <v>712.96295166015602</v>
      </c>
      <c r="E364" s="5">
        <f t="shared" si="5"/>
        <v>0.83877994312959536</v>
      </c>
    </row>
    <row r="365" spans="1:5" x14ac:dyDescent="0.25">
      <c r="A365" s="8">
        <v>42478.395833333336</v>
      </c>
      <c r="B365" s="7">
        <v>434.89584350585898</v>
      </c>
      <c r="C365" s="7">
        <v>144.01042175293</v>
      </c>
      <c r="D365" s="7">
        <v>742.1875</v>
      </c>
      <c r="E365" s="5">
        <f t="shared" si="5"/>
        <v>0.87316176470588236</v>
      </c>
    </row>
    <row r="366" spans="1:5" x14ac:dyDescent="0.25">
      <c r="A366" s="8">
        <v>42478.40625</v>
      </c>
      <c r="B366" s="7">
        <v>435.47454833984398</v>
      </c>
      <c r="C366" s="7">
        <v>144.41551208496099</v>
      </c>
      <c r="D366" s="7">
        <v>722.22222900390602</v>
      </c>
      <c r="E366" s="5">
        <f t="shared" si="5"/>
        <v>0.84967321059283063</v>
      </c>
    </row>
    <row r="367" spans="1:5" x14ac:dyDescent="0.25">
      <c r="A367" s="8">
        <v>42478.416666666664</v>
      </c>
      <c r="B367" s="7">
        <v>408.27545166015602</v>
      </c>
      <c r="C367" s="7">
        <v>130.84490966796901</v>
      </c>
      <c r="D367" s="7">
        <v>743.34490966796898</v>
      </c>
      <c r="E367" s="5">
        <f t="shared" si="5"/>
        <v>0.87452342313878706</v>
      </c>
    </row>
    <row r="368" spans="1:5" x14ac:dyDescent="0.25">
      <c r="A368" s="8">
        <v>42478.427083333336</v>
      </c>
      <c r="B368" s="7">
        <v>383.96990966796898</v>
      </c>
      <c r="C368" s="7">
        <v>115.55266571044901</v>
      </c>
      <c r="D368" s="7">
        <v>740.451416015625</v>
      </c>
      <c r="E368" s="5">
        <f t="shared" si="5"/>
        <v>0.8711193129595588</v>
      </c>
    </row>
    <row r="369" spans="1:5" x14ac:dyDescent="0.25">
      <c r="A369" s="8">
        <v>42478.4375</v>
      </c>
      <c r="B369" s="7">
        <v>256.65509033203102</v>
      </c>
      <c r="C369" s="7">
        <v>105.02025604248</v>
      </c>
      <c r="D369" s="7">
        <v>1.1574074029922501</v>
      </c>
      <c r="E369" s="5"/>
    </row>
    <row r="370" spans="1:5" x14ac:dyDescent="0.25">
      <c r="A370" s="8">
        <v>42478.447916666664</v>
      </c>
      <c r="B370" s="7">
        <v>183.01504516601599</v>
      </c>
      <c r="C370" s="7">
        <v>97.323493957519503</v>
      </c>
      <c r="D370" s="7">
        <v>1.1574074029922501</v>
      </c>
      <c r="E370" s="5"/>
    </row>
    <row r="371" spans="1:5" x14ac:dyDescent="0.25">
      <c r="A371" s="8">
        <v>42478.458333333336</v>
      </c>
      <c r="B371" s="7">
        <v>140.48031616210901</v>
      </c>
      <c r="C371" s="7">
        <v>90.335647583007798</v>
      </c>
      <c r="D371" s="7">
        <v>1.1574074029922501</v>
      </c>
      <c r="E371" s="5"/>
    </row>
    <row r="372" spans="1:5" x14ac:dyDescent="0.25">
      <c r="A372" s="8">
        <v>42478.46875</v>
      </c>
      <c r="B372" s="7">
        <v>112.991897583008</v>
      </c>
      <c r="C372" s="7">
        <v>84.664352416992202</v>
      </c>
      <c r="D372" s="7">
        <v>1.1574074029922501</v>
      </c>
      <c r="E372" s="5"/>
    </row>
    <row r="373" spans="1:5" x14ac:dyDescent="0.25">
      <c r="A373" s="8">
        <v>42478.479166666664</v>
      </c>
      <c r="B373" s="7">
        <v>292.96875</v>
      </c>
      <c r="C373" s="7">
        <v>81.524887084960895</v>
      </c>
      <c r="D373" s="7">
        <v>644.96527099609398</v>
      </c>
      <c r="E373" s="5">
        <f t="shared" si="5"/>
        <v>0.75878267176011061</v>
      </c>
    </row>
    <row r="374" spans="1:5" x14ac:dyDescent="0.25">
      <c r="A374" s="8">
        <v>42478.489583333336</v>
      </c>
      <c r="B374" s="7">
        <v>413.77313232421898</v>
      </c>
      <c r="C374" s="7">
        <v>109.071182250977</v>
      </c>
      <c r="D374" s="7">
        <v>752.31481933593795</v>
      </c>
      <c r="E374" s="5">
        <f t="shared" si="5"/>
        <v>0.88507625804227996</v>
      </c>
    </row>
    <row r="375" spans="1:5" x14ac:dyDescent="0.25">
      <c r="A375" s="8">
        <v>42478.5</v>
      </c>
      <c r="B375" s="7">
        <v>426.93865966796898</v>
      </c>
      <c r="C375" s="7">
        <v>129.52835083007801</v>
      </c>
      <c r="D375" s="7">
        <v>802.66204833984398</v>
      </c>
      <c r="E375" s="5">
        <f t="shared" si="5"/>
        <v>0.94430829216452228</v>
      </c>
    </row>
    <row r="376" spans="1:5" x14ac:dyDescent="0.25">
      <c r="A376" s="8">
        <v>42478.510416666664</v>
      </c>
      <c r="B376" s="7">
        <v>431.71295166015602</v>
      </c>
      <c r="C376" s="7">
        <v>137.12384033203099</v>
      </c>
      <c r="D376" s="7">
        <v>754.34027099609398</v>
      </c>
      <c r="E376" s="5">
        <f t="shared" si="5"/>
        <v>0.88745914234834589</v>
      </c>
    </row>
    <row r="377" spans="1:5" x14ac:dyDescent="0.25">
      <c r="A377" s="8">
        <v>42478.520833333336</v>
      </c>
      <c r="B377" s="7">
        <v>433.15972900390602</v>
      </c>
      <c r="C377" s="7">
        <v>140.46585083007801</v>
      </c>
      <c r="D377" s="7">
        <v>766.49304199218795</v>
      </c>
      <c r="E377" s="5">
        <f t="shared" si="5"/>
        <v>0.90175651999080941</v>
      </c>
    </row>
    <row r="378" spans="1:5" x14ac:dyDescent="0.25">
      <c r="A378" s="8">
        <v>42478.53125</v>
      </c>
      <c r="B378" s="7">
        <v>432.870361328125</v>
      </c>
      <c r="C378" s="7">
        <v>142.49131774902301</v>
      </c>
      <c r="D378" s="7">
        <v>760.12731933593795</v>
      </c>
      <c r="E378" s="5">
        <f t="shared" si="5"/>
        <v>0.89426743451286816</v>
      </c>
    </row>
    <row r="379" spans="1:5" x14ac:dyDescent="0.25">
      <c r="A379" s="8">
        <v>42478.541666666664</v>
      </c>
      <c r="B379" s="7">
        <v>433.59375</v>
      </c>
      <c r="C379" s="7">
        <v>143.50405883789099</v>
      </c>
      <c r="D379" s="7">
        <v>756.36572265625</v>
      </c>
      <c r="E379" s="5">
        <f t="shared" si="5"/>
        <v>0.88984202665441181</v>
      </c>
    </row>
    <row r="380" spans="1:5" x14ac:dyDescent="0.25">
      <c r="A380" s="8">
        <v>42478.552083333336</v>
      </c>
      <c r="B380" s="7">
        <v>432.58102416992199</v>
      </c>
      <c r="C380" s="7">
        <v>144.921875</v>
      </c>
      <c r="D380" s="7">
        <v>779.513916015625</v>
      </c>
      <c r="E380" s="5">
        <f t="shared" si="5"/>
        <v>0.91707519531250004</v>
      </c>
    </row>
    <row r="381" spans="1:5" x14ac:dyDescent="0.25">
      <c r="A381" s="8">
        <v>42478.5625</v>
      </c>
      <c r="B381" s="7">
        <v>429.83218383789102</v>
      </c>
      <c r="C381" s="7">
        <v>138.44039916992199</v>
      </c>
      <c r="D381" s="7">
        <v>765.33563232421898</v>
      </c>
      <c r="E381" s="5">
        <f t="shared" si="5"/>
        <v>0.90039486155790471</v>
      </c>
    </row>
    <row r="382" spans="1:5" x14ac:dyDescent="0.25">
      <c r="A382" s="8">
        <v>42478.572916666664</v>
      </c>
      <c r="B382" s="7">
        <v>431.85763549804699</v>
      </c>
      <c r="C382" s="7">
        <v>144.51678466796901</v>
      </c>
      <c r="D382" s="7">
        <v>775.46295166015602</v>
      </c>
      <c r="E382" s="5">
        <f t="shared" si="5"/>
        <v>0.91230935489430121</v>
      </c>
    </row>
    <row r="383" spans="1:5" x14ac:dyDescent="0.25">
      <c r="A383" s="8">
        <v>42478.583333333336</v>
      </c>
      <c r="B383" s="7">
        <v>430.70022583007801</v>
      </c>
      <c r="C383" s="7">
        <v>146.54225158691401</v>
      </c>
      <c r="D383" s="7">
        <v>800.34722900390602</v>
      </c>
      <c r="E383" s="5">
        <f t="shared" si="5"/>
        <v>0.94158497529871299</v>
      </c>
    </row>
    <row r="384" spans="1:5" x14ac:dyDescent="0.25">
      <c r="A384" s="8">
        <v>42478.59375</v>
      </c>
      <c r="B384" s="7">
        <v>430.26620483398398</v>
      </c>
      <c r="C384" s="7">
        <v>147.35243225097699</v>
      </c>
      <c r="D384" s="7">
        <v>815.682861328125</v>
      </c>
      <c r="E384" s="5">
        <f t="shared" si="5"/>
        <v>0.95962689568014703</v>
      </c>
    </row>
    <row r="385" spans="1:5" x14ac:dyDescent="0.25">
      <c r="A385" s="8">
        <v>42478.604166666664</v>
      </c>
      <c r="B385" s="7">
        <v>436.92129516601602</v>
      </c>
      <c r="C385" s="7">
        <v>144.41551208496099</v>
      </c>
      <c r="D385" s="7">
        <v>696.18054199218795</v>
      </c>
      <c r="E385" s="5">
        <f t="shared" si="5"/>
        <v>0.81903593175551526</v>
      </c>
    </row>
    <row r="386" spans="1:5" x14ac:dyDescent="0.25">
      <c r="A386" s="8">
        <v>42478.614583333336</v>
      </c>
      <c r="B386" s="7">
        <v>436.92129516601602</v>
      </c>
      <c r="C386" s="7">
        <v>144.31423950195301</v>
      </c>
      <c r="D386" s="7">
        <v>714.98840332031295</v>
      </c>
      <c r="E386" s="5">
        <f t="shared" si="5"/>
        <v>0.84116282743566229</v>
      </c>
    </row>
    <row r="387" spans="1:5" x14ac:dyDescent="0.25">
      <c r="A387" s="8">
        <v>42478.625</v>
      </c>
      <c r="B387" s="7">
        <v>437.64468383789102</v>
      </c>
      <c r="C387" s="7">
        <v>144.01042175293</v>
      </c>
      <c r="D387" s="7">
        <v>663.77313232421898</v>
      </c>
      <c r="E387" s="5">
        <f t="shared" ref="E387:E450" si="6">+D387/850</f>
        <v>0.78090956744025763</v>
      </c>
    </row>
    <row r="388" spans="1:5" x14ac:dyDescent="0.25">
      <c r="A388" s="8">
        <v>42478.635416666664</v>
      </c>
      <c r="B388" s="7">
        <v>433.44906616210898</v>
      </c>
      <c r="C388" s="7">
        <v>146.33970642089801</v>
      </c>
      <c r="D388" s="7">
        <v>742.1875</v>
      </c>
      <c r="E388" s="5">
        <f t="shared" si="6"/>
        <v>0.87316176470588236</v>
      </c>
    </row>
    <row r="389" spans="1:5" x14ac:dyDescent="0.25">
      <c r="A389" s="8">
        <v>42478.645833333336</v>
      </c>
      <c r="B389" s="7">
        <v>430.410888671875</v>
      </c>
      <c r="C389" s="7">
        <v>143.80787658691401</v>
      </c>
      <c r="D389" s="7">
        <v>769.38659667968795</v>
      </c>
      <c r="E389" s="5">
        <f t="shared" si="6"/>
        <v>0.90516070197610343</v>
      </c>
    </row>
    <row r="390" spans="1:5" x14ac:dyDescent="0.25">
      <c r="A390" s="8">
        <v>42478.65625</v>
      </c>
      <c r="B390" s="7">
        <v>432.00231933593801</v>
      </c>
      <c r="C390" s="7">
        <v>138.84548950195301</v>
      </c>
      <c r="D390" s="7">
        <v>729.16668701171898</v>
      </c>
      <c r="E390" s="5">
        <f t="shared" si="6"/>
        <v>0.85784316119025761</v>
      </c>
    </row>
    <row r="391" spans="1:5" x14ac:dyDescent="0.25">
      <c r="A391" s="8">
        <v>42478.666666666664</v>
      </c>
      <c r="B391" s="7">
        <v>434.17245483398398</v>
      </c>
      <c r="C391" s="7">
        <v>142.49131774902301</v>
      </c>
      <c r="D391" s="7">
        <v>734.08563232421898</v>
      </c>
      <c r="E391" s="5">
        <f t="shared" si="6"/>
        <v>0.86363015567555179</v>
      </c>
    </row>
    <row r="392" spans="1:5" x14ac:dyDescent="0.25">
      <c r="A392" s="8">
        <v>42478.677083333336</v>
      </c>
      <c r="B392" s="7">
        <v>424.91320800781301</v>
      </c>
      <c r="C392" s="7">
        <v>133.07292175293</v>
      </c>
      <c r="D392" s="7">
        <v>722.22222900390602</v>
      </c>
      <c r="E392" s="5">
        <f t="shared" si="6"/>
        <v>0.84967321059283063</v>
      </c>
    </row>
    <row r="393" spans="1:5" x14ac:dyDescent="0.25">
      <c r="A393" s="8">
        <v>42478.6875</v>
      </c>
      <c r="B393" s="7">
        <v>431.85763549804699</v>
      </c>
      <c r="C393" s="7">
        <v>136.82002258300801</v>
      </c>
      <c r="D393" s="7">
        <v>725.11572265625</v>
      </c>
      <c r="E393" s="5">
        <f t="shared" si="6"/>
        <v>0.85307732077205878</v>
      </c>
    </row>
    <row r="394" spans="1:5" x14ac:dyDescent="0.25">
      <c r="A394" s="8">
        <v>42478.697916666664</v>
      </c>
      <c r="B394" s="7">
        <v>432.43634033203102</v>
      </c>
      <c r="C394" s="7">
        <v>135.70602416992199</v>
      </c>
      <c r="D394" s="7">
        <v>754.34027099609398</v>
      </c>
      <c r="E394" s="5">
        <f t="shared" si="6"/>
        <v>0.88745914234834589</v>
      </c>
    </row>
    <row r="395" spans="1:5" x14ac:dyDescent="0.25">
      <c r="A395" s="8">
        <v>42478.708333333336</v>
      </c>
      <c r="B395" s="7">
        <v>424.18981933593801</v>
      </c>
      <c r="C395" s="7">
        <v>129.32580566406301</v>
      </c>
      <c r="D395" s="7">
        <v>737.557861328125</v>
      </c>
      <c r="E395" s="5">
        <f t="shared" si="6"/>
        <v>0.86771513097426467</v>
      </c>
    </row>
    <row r="396" spans="1:5" x14ac:dyDescent="0.25">
      <c r="A396" s="8">
        <v>42478.71875</v>
      </c>
      <c r="B396" s="7">
        <v>433.88308715820301</v>
      </c>
      <c r="C396" s="7">
        <v>139.75694274902301</v>
      </c>
      <c r="D396" s="7">
        <v>756.36572265625</v>
      </c>
      <c r="E396" s="5">
        <f t="shared" si="6"/>
        <v>0.88984202665441181</v>
      </c>
    </row>
    <row r="397" spans="1:5" x14ac:dyDescent="0.25">
      <c r="A397" s="8">
        <v>42478.729166666664</v>
      </c>
      <c r="B397" s="7">
        <v>432.43634033203102</v>
      </c>
      <c r="C397" s="7">
        <v>144.41551208496099</v>
      </c>
      <c r="D397" s="7">
        <v>806.423583984375</v>
      </c>
      <c r="E397" s="5">
        <f t="shared" si="6"/>
        <v>0.94873362821691176</v>
      </c>
    </row>
    <row r="398" spans="1:5" x14ac:dyDescent="0.25">
      <c r="A398" s="8">
        <v>42478.739583333336</v>
      </c>
      <c r="B398" s="7">
        <v>435.47454833984398</v>
      </c>
      <c r="C398" s="7">
        <v>144.71932983398401</v>
      </c>
      <c r="D398" s="7">
        <v>733.21759033203102</v>
      </c>
      <c r="E398" s="5">
        <f t="shared" si="6"/>
        <v>0.86260892980238946</v>
      </c>
    </row>
    <row r="399" spans="1:5" x14ac:dyDescent="0.25">
      <c r="A399" s="8">
        <v>42478.75</v>
      </c>
      <c r="B399" s="7">
        <v>436.48727416992199</v>
      </c>
      <c r="C399" s="7">
        <v>144.212966918945</v>
      </c>
      <c r="D399" s="7">
        <v>727.43054199218795</v>
      </c>
      <c r="E399" s="5">
        <f t="shared" si="6"/>
        <v>0.85580063763786818</v>
      </c>
    </row>
    <row r="400" spans="1:5" x14ac:dyDescent="0.25">
      <c r="A400" s="8">
        <v>42478.760416666664</v>
      </c>
      <c r="B400" s="7">
        <v>433.15972900390602</v>
      </c>
      <c r="C400" s="7">
        <v>145.52951049804699</v>
      </c>
      <c r="D400" s="7">
        <v>821.75927734375</v>
      </c>
      <c r="E400" s="5">
        <f t="shared" si="6"/>
        <v>0.96677562040441178</v>
      </c>
    </row>
    <row r="401" spans="1:5" x14ac:dyDescent="0.25">
      <c r="A401" s="8">
        <v>42478.770833333336</v>
      </c>
      <c r="B401" s="7">
        <v>430.410888671875</v>
      </c>
      <c r="C401" s="7">
        <v>148.06134033203099</v>
      </c>
      <c r="D401" s="7">
        <v>829.57177734375</v>
      </c>
      <c r="E401" s="5">
        <f t="shared" si="6"/>
        <v>0.97596679687499999</v>
      </c>
    </row>
    <row r="402" spans="1:5" x14ac:dyDescent="0.25">
      <c r="A402" s="8">
        <v>42478.78125</v>
      </c>
      <c r="B402" s="7">
        <v>429.6875</v>
      </c>
      <c r="C402" s="7">
        <v>148.56770324707</v>
      </c>
      <c r="D402" s="7">
        <v>818.86572265625</v>
      </c>
      <c r="E402" s="5">
        <f t="shared" si="6"/>
        <v>0.96337143841911765</v>
      </c>
    </row>
    <row r="403" spans="1:5" x14ac:dyDescent="0.25">
      <c r="A403" s="8">
        <v>42478.791666666664</v>
      </c>
      <c r="B403" s="7">
        <v>429.6875</v>
      </c>
      <c r="C403" s="7">
        <v>149.27662658691401</v>
      </c>
      <c r="D403" s="7">
        <v>820.60186767578102</v>
      </c>
      <c r="E403" s="5">
        <f t="shared" si="6"/>
        <v>0.96541396197150708</v>
      </c>
    </row>
    <row r="404" spans="1:5" x14ac:dyDescent="0.25">
      <c r="A404" s="8">
        <v>42478.802083333336</v>
      </c>
      <c r="B404" s="7">
        <v>429.83218383789102</v>
      </c>
      <c r="C404" s="7">
        <v>149.27662658691401</v>
      </c>
      <c r="D404" s="7">
        <v>820.60186767578102</v>
      </c>
      <c r="E404" s="5">
        <f t="shared" si="6"/>
        <v>0.96541396197150708</v>
      </c>
    </row>
    <row r="405" spans="1:5" x14ac:dyDescent="0.25">
      <c r="A405" s="8">
        <v>42478.8125</v>
      </c>
      <c r="B405" s="7">
        <v>429.83218383789102</v>
      </c>
      <c r="C405" s="7">
        <v>149.47917175293</v>
      </c>
      <c r="D405" s="7">
        <v>818.576416015625</v>
      </c>
      <c r="E405" s="5">
        <f t="shared" si="6"/>
        <v>0.96303107766544116</v>
      </c>
    </row>
    <row r="406" spans="1:5" x14ac:dyDescent="0.25">
      <c r="A406" s="8">
        <v>42478.822916666664</v>
      </c>
      <c r="B406" s="7">
        <v>429.83218383789102</v>
      </c>
      <c r="C406" s="7">
        <v>149.37789916992199</v>
      </c>
      <c r="D406" s="7">
        <v>827.54626464843795</v>
      </c>
      <c r="E406" s="5">
        <f t="shared" si="6"/>
        <v>0.97358384076286819</v>
      </c>
    </row>
    <row r="407" spans="1:5" x14ac:dyDescent="0.25">
      <c r="A407" s="8">
        <v>42478.833333333336</v>
      </c>
      <c r="B407" s="7">
        <v>429.54281616210898</v>
      </c>
      <c r="C407" s="7">
        <v>149.37789916992199</v>
      </c>
      <c r="D407" s="7">
        <v>818.576416015625</v>
      </c>
      <c r="E407" s="5">
        <f t="shared" si="6"/>
        <v>0.96303107766544116</v>
      </c>
    </row>
    <row r="408" spans="1:5" x14ac:dyDescent="0.25">
      <c r="A408" s="8">
        <v>42478.84375</v>
      </c>
      <c r="B408" s="7">
        <v>429.6875</v>
      </c>
      <c r="C408" s="7">
        <v>148.97280883789099</v>
      </c>
      <c r="D408" s="7">
        <v>815.10418701171898</v>
      </c>
      <c r="E408" s="5">
        <f t="shared" si="6"/>
        <v>0.95894610236672817</v>
      </c>
    </row>
    <row r="409" spans="1:5" x14ac:dyDescent="0.25">
      <c r="A409" s="8">
        <v>42478.854166666664</v>
      </c>
      <c r="B409" s="7">
        <v>430.410888671875</v>
      </c>
      <c r="C409" s="7">
        <v>148.97280883789099</v>
      </c>
      <c r="D409" s="7">
        <v>811.63195800781295</v>
      </c>
      <c r="E409" s="5">
        <f t="shared" si="6"/>
        <v>0.95486112706801529</v>
      </c>
    </row>
    <row r="410" spans="1:5" x14ac:dyDescent="0.25">
      <c r="A410" s="8">
        <v>42478.864583333336</v>
      </c>
      <c r="B410" s="7">
        <v>430.98959350585898</v>
      </c>
      <c r="C410" s="7">
        <v>148.56770324707</v>
      </c>
      <c r="D410" s="7">
        <v>790.50927734375</v>
      </c>
      <c r="E410" s="5">
        <f t="shared" si="6"/>
        <v>0.93001091452205886</v>
      </c>
    </row>
    <row r="411" spans="1:5" x14ac:dyDescent="0.25">
      <c r="A411" s="8">
        <v>42478.875</v>
      </c>
      <c r="B411" s="7">
        <v>431.27893066406301</v>
      </c>
      <c r="C411" s="7">
        <v>148.26388549804699</v>
      </c>
      <c r="D411" s="7">
        <v>786.74768066406295</v>
      </c>
      <c r="E411" s="5">
        <f t="shared" si="6"/>
        <v>0.92558550666360351</v>
      </c>
    </row>
    <row r="412" spans="1:5" x14ac:dyDescent="0.25">
      <c r="A412" s="8">
        <v>42478.885416666664</v>
      </c>
      <c r="B412" s="7">
        <v>432.00231933593801</v>
      </c>
      <c r="C412" s="7">
        <v>147.55497741699199</v>
      </c>
      <c r="D412" s="7">
        <v>769.38659667968795</v>
      </c>
      <c r="E412" s="5">
        <f t="shared" si="6"/>
        <v>0.90516070197610343</v>
      </c>
    </row>
    <row r="413" spans="1:5" x14ac:dyDescent="0.25">
      <c r="A413" s="8">
        <v>42478.895833333336</v>
      </c>
      <c r="B413" s="7">
        <v>432.72570800781301</v>
      </c>
      <c r="C413" s="7">
        <v>147.85879516601599</v>
      </c>
      <c r="D413" s="7">
        <v>789.64117431640602</v>
      </c>
      <c r="E413" s="5">
        <f t="shared" si="6"/>
        <v>0.92898961684283066</v>
      </c>
    </row>
    <row r="414" spans="1:5" x14ac:dyDescent="0.25">
      <c r="A414" s="8">
        <v>42478.90625</v>
      </c>
      <c r="B414" s="7">
        <v>433.88308715820301</v>
      </c>
      <c r="C414" s="7">
        <v>145.73205566406301</v>
      </c>
      <c r="D414" s="7">
        <v>778.35650634765602</v>
      </c>
      <c r="E414" s="5">
        <f t="shared" si="6"/>
        <v>0.91571353687959534</v>
      </c>
    </row>
    <row r="415" spans="1:5" x14ac:dyDescent="0.25">
      <c r="A415" s="8">
        <v>42478.916666666664</v>
      </c>
      <c r="B415" s="7">
        <v>435.61920166015602</v>
      </c>
      <c r="C415" s="7">
        <v>145.73205566406301</v>
      </c>
      <c r="D415" s="7">
        <v>737.557861328125</v>
      </c>
      <c r="E415" s="5">
        <f t="shared" si="6"/>
        <v>0.86771513097426467</v>
      </c>
    </row>
    <row r="416" spans="1:5" x14ac:dyDescent="0.25">
      <c r="A416" s="8">
        <v>42478.927083333336</v>
      </c>
      <c r="B416" s="7">
        <v>437.21063232421898</v>
      </c>
      <c r="C416" s="7">
        <v>145.02314758300801</v>
      </c>
      <c r="D416" s="7">
        <v>706.01849365234398</v>
      </c>
      <c r="E416" s="5">
        <f t="shared" si="6"/>
        <v>0.83060999253216938</v>
      </c>
    </row>
    <row r="417" spans="1:5" x14ac:dyDescent="0.25">
      <c r="A417" s="8">
        <v>42478.9375</v>
      </c>
      <c r="B417" s="7">
        <v>438.94674682617199</v>
      </c>
      <c r="C417" s="7">
        <v>143.70660400390599</v>
      </c>
      <c r="D417" s="7">
        <v>678.81945800781295</v>
      </c>
      <c r="E417" s="5">
        <f t="shared" si="6"/>
        <v>0.79861112706801529</v>
      </c>
    </row>
    <row r="418" spans="1:5" x14ac:dyDescent="0.25">
      <c r="A418" s="8">
        <v>42478.947916666664</v>
      </c>
      <c r="B418" s="7">
        <v>440.39352416992199</v>
      </c>
      <c r="C418" s="7">
        <v>142.28877258300801</v>
      </c>
      <c r="D418" s="7">
        <v>646.701416015625</v>
      </c>
      <c r="E418" s="5">
        <f t="shared" si="6"/>
        <v>0.76082519531250004</v>
      </c>
    </row>
    <row r="419" spans="1:5" x14ac:dyDescent="0.25">
      <c r="A419" s="8">
        <v>42478.958333333336</v>
      </c>
      <c r="B419" s="7">
        <v>442.99768066406301</v>
      </c>
      <c r="C419" s="7">
        <v>140.26330566406301</v>
      </c>
      <c r="D419" s="7">
        <v>626.736083984375</v>
      </c>
      <c r="E419" s="5">
        <f t="shared" si="6"/>
        <v>0.73733656939338232</v>
      </c>
    </row>
    <row r="420" spans="1:5" x14ac:dyDescent="0.25">
      <c r="A420" s="8">
        <v>42478.96875</v>
      </c>
      <c r="B420" s="7">
        <v>444.29977416992199</v>
      </c>
      <c r="C420" s="7">
        <v>138.84548950195301</v>
      </c>
      <c r="D420" s="7">
        <v>601.5625</v>
      </c>
      <c r="E420" s="5">
        <f t="shared" si="6"/>
        <v>0.70772058823529416</v>
      </c>
    </row>
    <row r="421" spans="1:5" x14ac:dyDescent="0.25">
      <c r="A421" s="8">
        <v>42478.979166666664</v>
      </c>
      <c r="B421" s="7">
        <v>444.29977416992199</v>
      </c>
      <c r="C421" s="7">
        <v>137.73147583007801</v>
      </c>
      <c r="D421" s="7">
        <v>593.46063232421898</v>
      </c>
      <c r="E421" s="5">
        <f t="shared" si="6"/>
        <v>0.69818897920496348</v>
      </c>
    </row>
    <row r="422" spans="1:5" x14ac:dyDescent="0.25">
      <c r="A422" s="8">
        <v>42478.989583333336</v>
      </c>
      <c r="B422" s="7">
        <v>445.02313232421898</v>
      </c>
      <c r="C422" s="7">
        <v>136.31365966796901</v>
      </c>
      <c r="D422" s="7">
        <v>578.41436767578102</v>
      </c>
      <c r="E422" s="5">
        <f t="shared" si="6"/>
        <v>0.6804874913832718</v>
      </c>
    </row>
    <row r="423" spans="1:5" x14ac:dyDescent="0.25">
      <c r="A423" s="8">
        <v>42479</v>
      </c>
      <c r="B423" s="7">
        <v>444.73379516601602</v>
      </c>
      <c r="C423" s="7">
        <v>135.80729675293</v>
      </c>
      <c r="D423" s="7">
        <v>593.46063232421898</v>
      </c>
      <c r="E423" s="5">
        <f t="shared" si="6"/>
        <v>0.69818897920496348</v>
      </c>
    </row>
    <row r="424" spans="1:5" x14ac:dyDescent="0.25">
      <c r="A424" s="8">
        <v>42479.010416666664</v>
      </c>
      <c r="B424" s="7">
        <v>445.16781616210898</v>
      </c>
      <c r="C424" s="7">
        <v>135.30093383789099</v>
      </c>
      <c r="D424" s="7">
        <v>597.51159667968795</v>
      </c>
      <c r="E424" s="5">
        <f t="shared" si="6"/>
        <v>0.70295481962316231</v>
      </c>
    </row>
    <row r="425" spans="1:5" x14ac:dyDescent="0.25">
      <c r="A425" s="8">
        <v>42479.020833333336</v>
      </c>
      <c r="B425" s="7">
        <v>444.15509033203102</v>
      </c>
      <c r="C425" s="7">
        <v>134.79455566406301</v>
      </c>
      <c r="D425" s="7">
        <v>621.817138671875</v>
      </c>
      <c r="E425" s="5">
        <f t="shared" si="6"/>
        <v>0.73154957490808825</v>
      </c>
    </row>
    <row r="426" spans="1:5" x14ac:dyDescent="0.25">
      <c r="A426" s="8">
        <v>42479.03125</v>
      </c>
      <c r="B426" s="7">
        <v>443.72106933593801</v>
      </c>
      <c r="C426" s="7">
        <v>134.79455566406301</v>
      </c>
      <c r="D426" s="7">
        <v>618.34490966796898</v>
      </c>
      <c r="E426" s="5">
        <f t="shared" si="6"/>
        <v>0.72746459960937526</v>
      </c>
    </row>
    <row r="427" spans="1:5" x14ac:dyDescent="0.25">
      <c r="A427" s="8">
        <v>42479.041666666664</v>
      </c>
      <c r="B427" s="7">
        <v>442.27429199218801</v>
      </c>
      <c r="C427" s="7">
        <v>132.56655883789099</v>
      </c>
      <c r="D427" s="7">
        <v>611.97918701171898</v>
      </c>
      <c r="E427" s="5">
        <f t="shared" si="6"/>
        <v>0.71997551413143412</v>
      </c>
    </row>
    <row r="428" spans="1:5" x14ac:dyDescent="0.25">
      <c r="A428" s="8">
        <v>42479.052083333336</v>
      </c>
      <c r="B428" s="7">
        <v>444.01040649414102</v>
      </c>
      <c r="C428" s="7">
        <v>134.18692016601599</v>
      </c>
      <c r="D428" s="7">
        <v>598.66900634765602</v>
      </c>
      <c r="E428" s="5">
        <f t="shared" si="6"/>
        <v>0.7043164780560659</v>
      </c>
    </row>
    <row r="429" spans="1:5" x14ac:dyDescent="0.25">
      <c r="A429" s="8">
        <v>42479.0625</v>
      </c>
      <c r="B429" s="7">
        <v>439.67013549804699</v>
      </c>
      <c r="C429" s="7">
        <v>127.09780120849599</v>
      </c>
      <c r="D429" s="7">
        <v>596.35418701171898</v>
      </c>
      <c r="E429" s="5">
        <f t="shared" si="6"/>
        <v>0.70159316119025761</v>
      </c>
    </row>
    <row r="430" spans="1:5" x14ac:dyDescent="0.25">
      <c r="A430" s="8">
        <v>42479.072916666664</v>
      </c>
      <c r="B430" s="7">
        <v>444.73379516601602</v>
      </c>
      <c r="C430" s="7">
        <v>132.16145324707</v>
      </c>
      <c r="D430" s="7">
        <v>585.64813232421898</v>
      </c>
      <c r="E430" s="5">
        <f t="shared" si="6"/>
        <v>0.68899780273437528</v>
      </c>
    </row>
    <row r="431" spans="1:5" x14ac:dyDescent="0.25">
      <c r="A431" s="8">
        <v>42479.083333333336</v>
      </c>
      <c r="B431" s="7">
        <v>436.34259033203102</v>
      </c>
      <c r="C431" s="7">
        <v>125.57870483398401</v>
      </c>
      <c r="D431" s="7">
        <v>587.673583984375</v>
      </c>
      <c r="E431" s="5">
        <f t="shared" si="6"/>
        <v>0.6913806870404412</v>
      </c>
    </row>
    <row r="432" spans="1:5" x14ac:dyDescent="0.25">
      <c r="A432" s="8">
        <v>42479.09375</v>
      </c>
      <c r="B432" s="7">
        <v>444.87847900390602</v>
      </c>
      <c r="C432" s="7">
        <v>132.56655883789099</v>
      </c>
      <c r="D432" s="7">
        <v>569.73376464843795</v>
      </c>
      <c r="E432" s="5">
        <f t="shared" si="6"/>
        <v>0.67027501723345639</v>
      </c>
    </row>
    <row r="433" spans="1:5" x14ac:dyDescent="0.25">
      <c r="A433" s="8">
        <v>42479.104166666664</v>
      </c>
      <c r="B433" s="7">
        <v>445.45718383789102</v>
      </c>
      <c r="C433" s="7">
        <v>135.098388671875</v>
      </c>
      <c r="D433" s="7">
        <v>591.72454833984398</v>
      </c>
      <c r="E433" s="5">
        <f t="shared" si="6"/>
        <v>0.69614652745863992</v>
      </c>
    </row>
    <row r="434" spans="1:5" x14ac:dyDescent="0.25">
      <c r="A434" s="8">
        <v>42479.114583333336</v>
      </c>
      <c r="B434" s="7">
        <v>439.23611450195301</v>
      </c>
      <c r="C434" s="7">
        <v>132.26272583007801</v>
      </c>
      <c r="D434" s="7">
        <v>592.30322265625</v>
      </c>
      <c r="E434" s="5">
        <f t="shared" si="6"/>
        <v>0.69682732077205878</v>
      </c>
    </row>
    <row r="435" spans="1:5" x14ac:dyDescent="0.25">
      <c r="A435" s="8">
        <v>42479.125</v>
      </c>
      <c r="B435" s="7">
        <v>442.129638671875</v>
      </c>
      <c r="C435" s="7">
        <v>130.33854675293</v>
      </c>
      <c r="D435" s="7">
        <v>593.46063232421898</v>
      </c>
      <c r="E435" s="5">
        <f t="shared" si="6"/>
        <v>0.69818897920496348</v>
      </c>
    </row>
    <row r="436" spans="1:5" x14ac:dyDescent="0.25">
      <c r="A436" s="8">
        <v>42479.135416666664</v>
      </c>
      <c r="B436" s="7">
        <v>428.964111328125</v>
      </c>
      <c r="C436" s="7">
        <v>124.66724395752</v>
      </c>
      <c r="D436" s="7">
        <v>593.46063232421898</v>
      </c>
      <c r="E436" s="5">
        <f t="shared" si="6"/>
        <v>0.69818897920496348</v>
      </c>
    </row>
    <row r="437" spans="1:5" x14ac:dyDescent="0.25">
      <c r="A437" s="8">
        <v>42479.145833333336</v>
      </c>
      <c r="B437" s="7">
        <v>442.99768066406301</v>
      </c>
      <c r="C437" s="7">
        <v>129.629638671875</v>
      </c>
      <c r="D437" s="7">
        <v>579.28240966796898</v>
      </c>
      <c r="E437" s="5">
        <f t="shared" si="6"/>
        <v>0.68150871725643414</v>
      </c>
    </row>
    <row r="438" spans="1:5" x14ac:dyDescent="0.25">
      <c r="A438" s="8">
        <v>42479.15625</v>
      </c>
      <c r="B438" s="7">
        <v>439.81481933593801</v>
      </c>
      <c r="C438" s="7">
        <v>124.768516540527</v>
      </c>
      <c r="D438" s="7">
        <v>576.09954833984398</v>
      </c>
      <c r="E438" s="5">
        <f t="shared" si="6"/>
        <v>0.67776417451746351</v>
      </c>
    </row>
    <row r="439" spans="1:5" x14ac:dyDescent="0.25">
      <c r="A439" s="8">
        <v>42479.166666666664</v>
      </c>
      <c r="B439" s="7">
        <v>429.25347900390602</v>
      </c>
      <c r="C439" s="7">
        <v>123.45196533203099</v>
      </c>
      <c r="D439" s="7">
        <v>583.33331298828102</v>
      </c>
      <c r="E439" s="5">
        <f t="shared" si="6"/>
        <v>0.68627448586856588</v>
      </c>
    </row>
    <row r="440" spans="1:5" x14ac:dyDescent="0.25">
      <c r="A440" s="8">
        <v>42479.177083333336</v>
      </c>
      <c r="B440" s="7">
        <v>442.129638671875</v>
      </c>
      <c r="C440" s="7">
        <v>126.692710876465</v>
      </c>
      <c r="D440" s="7">
        <v>585.64813232421898</v>
      </c>
      <c r="E440" s="5">
        <f t="shared" si="6"/>
        <v>0.68899780273437528</v>
      </c>
    </row>
    <row r="441" spans="1:5" x14ac:dyDescent="0.25">
      <c r="A441" s="8">
        <v>42479.1875</v>
      </c>
      <c r="B441" s="7">
        <v>437.64468383789102</v>
      </c>
      <c r="C441" s="7">
        <v>122.54051208496099</v>
      </c>
      <c r="D441" s="7">
        <v>583.33331298828102</v>
      </c>
      <c r="E441" s="5">
        <f t="shared" si="6"/>
        <v>0.68627448586856588</v>
      </c>
    </row>
    <row r="442" spans="1:5" x14ac:dyDescent="0.25">
      <c r="A442" s="8">
        <v>42479.197916666664</v>
      </c>
      <c r="B442" s="7">
        <v>425.20254516601602</v>
      </c>
      <c r="C442" s="7">
        <v>120.616317749023</v>
      </c>
      <c r="D442" s="7">
        <v>633.96990966796898</v>
      </c>
      <c r="E442" s="5">
        <f t="shared" si="6"/>
        <v>0.74584695255055178</v>
      </c>
    </row>
    <row r="443" spans="1:5" x14ac:dyDescent="0.25">
      <c r="A443" s="8">
        <v>42479.208333333336</v>
      </c>
      <c r="B443" s="7">
        <v>437.93402099609398</v>
      </c>
      <c r="C443" s="7">
        <v>124.46469879150401</v>
      </c>
      <c r="D443" s="7">
        <v>622.68518066406295</v>
      </c>
      <c r="E443" s="5">
        <f t="shared" si="6"/>
        <v>0.73257080078125059</v>
      </c>
    </row>
    <row r="444" spans="1:5" x14ac:dyDescent="0.25">
      <c r="A444" s="8">
        <v>42479.21875</v>
      </c>
      <c r="B444" s="7">
        <v>435.32986450195301</v>
      </c>
      <c r="C444" s="7">
        <v>123.65451812744099</v>
      </c>
      <c r="D444" s="7">
        <v>614.58331298828102</v>
      </c>
      <c r="E444" s="5">
        <f t="shared" si="6"/>
        <v>0.7230391917509188</v>
      </c>
    </row>
    <row r="445" spans="1:5" x14ac:dyDescent="0.25">
      <c r="A445" s="8">
        <v>42479.229166666664</v>
      </c>
      <c r="B445" s="7">
        <v>438.51272583007801</v>
      </c>
      <c r="C445" s="7">
        <v>130.23727416992199</v>
      </c>
      <c r="D445" s="7">
        <v>625.57867431640602</v>
      </c>
      <c r="E445" s="5">
        <f t="shared" si="6"/>
        <v>0.73597491096047762</v>
      </c>
    </row>
    <row r="446" spans="1:5" x14ac:dyDescent="0.25">
      <c r="A446" s="8">
        <v>42479.239583333336</v>
      </c>
      <c r="B446" s="7">
        <v>440.39352416992199</v>
      </c>
      <c r="C446" s="7">
        <v>132.76910400390599</v>
      </c>
      <c r="D446" s="7">
        <v>630.78704833984398</v>
      </c>
      <c r="E446" s="5">
        <f t="shared" si="6"/>
        <v>0.74210240981158115</v>
      </c>
    </row>
    <row r="447" spans="1:5" x14ac:dyDescent="0.25">
      <c r="A447" s="8">
        <v>42479.25</v>
      </c>
      <c r="B447" s="7">
        <v>437.5</v>
      </c>
      <c r="C447" s="7">
        <v>130.541091918945</v>
      </c>
      <c r="D447" s="7">
        <v>637.73150634765602</v>
      </c>
      <c r="E447" s="5">
        <f t="shared" si="6"/>
        <v>0.75027236040900713</v>
      </c>
    </row>
    <row r="448" spans="1:5" x14ac:dyDescent="0.25">
      <c r="A448" s="8">
        <v>42479.260416666664</v>
      </c>
      <c r="B448" s="7">
        <v>435.04049682617199</v>
      </c>
      <c r="C448" s="7">
        <v>130.33854675293</v>
      </c>
      <c r="D448" s="7">
        <v>656.82867431640602</v>
      </c>
      <c r="E448" s="5">
        <f t="shared" si="6"/>
        <v>0.77273961684283066</v>
      </c>
    </row>
    <row r="449" spans="1:5" x14ac:dyDescent="0.25">
      <c r="A449" s="8">
        <v>42479.270833333336</v>
      </c>
      <c r="B449" s="7">
        <v>436.19790649414102</v>
      </c>
      <c r="C449" s="7">
        <v>130.33854675293</v>
      </c>
      <c r="D449" s="7">
        <v>642.93981933593795</v>
      </c>
      <c r="E449" s="5">
        <f t="shared" si="6"/>
        <v>0.75639978745404468</v>
      </c>
    </row>
    <row r="450" spans="1:5" x14ac:dyDescent="0.25">
      <c r="A450" s="8">
        <v>42479.28125</v>
      </c>
      <c r="B450" s="7">
        <v>436.92129516601602</v>
      </c>
      <c r="C450" s="7">
        <v>130.541091918945</v>
      </c>
      <c r="D450" s="7">
        <v>645.54400634765602</v>
      </c>
      <c r="E450" s="5">
        <f t="shared" si="6"/>
        <v>0.75946353687959534</v>
      </c>
    </row>
    <row r="451" spans="1:5" x14ac:dyDescent="0.25">
      <c r="A451" s="8">
        <v>42479.291666666664</v>
      </c>
      <c r="B451" s="7">
        <v>434.75115966796898</v>
      </c>
      <c r="C451" s="7">
        <v>130.13600158691401</v>
      </c>
      <c r="D451" s="7">
        <v>678.81945800781295</v>
      </c>
      <c r="E451" s="5">
        <f t="shared" ref="E451:E514" si="7">+D451/850</f>
        <v>0.79861112706801529</v>
      </c>
    </row>
    <row r="452" spans="1:5" x14ac:dyDescent="0.25">
      <c r="A452" s="8">
        <v>42479.302083333336</v>
      </c>
      <c r="B452" s="7">
        <v>433.59375</v>
      </c>
      <c r="C452" s="7">
        <v>130.03472900390599</v>
      </c>
      <c r="D452" s="7">
        <v>703.70367431640602</v>
      </c>
      <c r="E452" s="5">
        <f t="shared" si="7"/>
        <v>0.82788667566635998</v>
      </c>
    </row>
    <row r="453" spans="1:5" x14ac:dyDescent="0.25">
      <c r="A453" s="8">
        <v>42479.3125</v>
      </c>
      <c r="B453" s="7">
        <v>431.71295166015602</v>
      </c>
      <c r="C453" s="7">
        <v>132.26272583007801</v>
      </c>
      <c r="D453" s="7">
        <v>709.201416015625</v>
      </c>
      <c r="E453" s="5">
        <f t="shared" si="7"/>
        <v>0.83435460707720588</v>
      </c>
    </row>
    <row r="454" spans="1:5" x14ac:dyDescent="0.25">
      <c r="A454" s="8">
        <v>42479.322916666664</v>
      </c>
      <c r="B454" s="7">
        <v>428.38540649414102</v>
      </c>
      <c r="C454" s="7">
        <v>125.57870483398401</v>
      </c>
      <c r="D454" s="7">
        <v>699.942138671875</v>
      </c>
      <c r="E454" s="5">
        <f t="shared" si="7"/>
        <v>0.82346133961397061</v>
      </c>
    </row>
    <row r="455" spans="1:5" x14ac:dyDescent="0.25">
      <c r="A455" s="8">
        <v>42479.333333333336</v>
      </c>
      <c r="B455" s="7">
        <v>435.47454833984398</v>
      </c>
      <c r="C455" s="7">
        <v>135.70602416992199</v>
      </c>
      <c r="D455" s="7">
        <v>697.048583984375</v>
      </c>
      <c r="E455" s="5">
        <f t="shared" si="7"/>
        <v>0.82005715762867648</v>
      </c>
    </row>
    <row r="456" spans="1:5" x14ac:dyDescent="0.25">
      <c r="A456" s="8">
        <v>42479.34375</v>
      </c>
      <c r="B456" s="7">
        <v>422.01968383789102</v>
      </c>
      <c r="C456" s="7">
        <v>126.793983459473</v>
      </c>
      <c r="D456" s="7">
        <v>716.14581298828102</v>
      </c>
      <c r="E456" s="5">
        <f t="shared" si="7"/>
        <v>0.84252448586856588</v>
      </c>
    </row>
    <row r="457" spans="1:5" x14ac:dyDescent="0.25">
      <c r="A457" s="8">
        <v>42479.354166666664</v>
      </c>
      <c r="B457" s="7">
        <v>430.70022583007801</v>
      </c>
      <c r="C457" s="7">
        <v>131.14872741699199</v>
      </c>
      <c r="D457" s="7">
        <v>712.09490966796898</v>
      </c>
      <c r="E457" s="5">
        <f t="shared" si="7"/>
        <v>0.83775871725643414</v>
      </c>
    </row>
    <row r="458" spans="1:5" x14ac:dyDescent="0.25">
      <c r="A458" s="8">
        <v>42479.364583333336</v>
      </c>
      <c r="B458" s="7">
        <v>431.42361450195301</v>
      </c>
      <c r="C458" s="7">
        <v>129.52835083007801</v>
      </c>
      <c r="D458" s="7">
        <v>727.43054199218795</v>
      </c>
      <c r="E458" s="5">
        <f t="shared" si="7"/>
        <v>0.85580063763786818</v>
      </c>
    </row>
    <row r="459" spans="1:5" x14ac:dyDescent="0.25">
      <c r="A459" s="8">
        <v>42479.375</v>
      </c>
      <c r="B459" s="7">
        <v>423.03240966796898</v>
      </c>
      <c r="C459" s="7">
        <v>123.958335876465</v>
      </c>
      <c r="D459" s="7">
        <v>703.70367431640602</v>
      </c>
      <c r="E459" s="5">
        <f t="shared" si="7"/>
        <v>0.82788667566635998</v>
      </c>
    </row>
    <row r="460" spans="1:5" x14ac:dyDescent="0.25">
      <c r="A460" s="8">
        <v>42479.385416666664</v>
      </c>
      <c r="B460" s="7">
        <v>426.93865966796898</v>
      </c>
      <c r="C460" s="7">
        <v>125.78125</v>
      </c>
      <c r="D460" s="7">
        <v>709.201416015625</v>
      </c>
      <c r="E460" s="5">
        <f t="shared" si="7"/>
        <v>0.83435460707720588</v>
      </c>
    </row>
    <row r="461" spans="1:5" x14ac:dyDescent="0.25">
      <c r="A461" s="8">
        <v>42479.395833333336</v>
      </c>
      <c r="B461" s="7">
        <v>424.62384033203102</v>
      </c>
      <c r="C461" s="7">
        <v>122.945602416992</v>
      </c>
      <c r="D461" s="7">
        <v>722.22222900390602</v>
      </c>
      <c r="E461" s="5">
        <f t="shared" si="7"/>
        <v>0.84967321059283063</v>
      </c>
    </row>
    <row r="462" spans="1:5" x14ac:dyDescent="0.25">
      <c r="A462" s="8">
        <v>42479.40625</v>
      </c>
      <c r="B462" s="7">
        <v>424.62384033203102</v>
      </c>
      <c r="C462" s="7">
        <v>123.45196533203099</v>
      </c>
      <c r="D462" s="7">
        <v>730.32409667968795</v>
      </c>
      <c r="E462" s="5">
        <f t="shared" si="7"/>
        <v>0.85920481962316231</v>
      </c>
    </row>
    <row r="463" spans="1:5" x14ac:dyDescent="0.25">
      <c r="A463" s="8">
        <v>42479.416666666664</v>
      </c>
      <c r="B463" s="7">
        <v>420.86227416992199</v>
      </c>
      <c r="C463" s="7">
        <v>119.704864501953</v>
      </c>
      <c r="D463" s="7">
        <v>712.09490966796898</v>
      </c>
      <c r="E463" s="5">
        <f t="shared" si="7"/>
        <v>0.83775871725643414</v>
      </c>
    </row>
    <row r="464" spans="1:5" x14ac:dyDescent="0.25">
      <c r="A464" s="8">
        <v>42479.427083333336</v>
      </c>
      <c r="B464" s="7">
        <v>421.875</v>
      </c>
      <c r="C464" s="7">
        <v>119.19849395752</v>
      </c>
      <c r="D464" s="7">
        <v>733.21759033203102</v>
      </c>
      <c r="E464" s="5">
        <f t="shared" si="7"/>
        <v>0.86260892980238946</v>
      </c>
    </row>
    <row r="465" spans="1:5" x14ac:dyDescent="0.25">
      <c r="A465" s="8">
        <v>42479.4375</v>
      </c>
      <c r="B465" s="7">
        <v>420.57290649414102</v>
      </c>
      <c r="C465" s="7">
        <v>118.590858459473</v>
      </c>
      <c r="D465" s="7">
        <v>722.22222900390602</v>
      </c>
      <c r="E465" s="5">
        <f t="shared" si="7"/>
        <v>0.84967321059283063</v>
      </c>
    </row>
    <row r="466" spans="1:5" x14ac:dyDescent="0.25">
      <c r="A466" s="8">
        <v>42479.447916666664</v>
      </c>
      <c r="B466" s="7">
        <v>418.83679199218801</v>
      </c>
      <c r="C466" s="7">
        <v>115.55266571044901</v>
      </c>
      <c r="D466" s="7">
        <v>694.15509033203102</v>
      </c>
      <c r="E466" s="5">
        <f t="shared" si="7"/>
        <v>0.81665304744944822</v>
      </c>
    </row>
    <row r="467" spans="1:5" x14ac:dyDescent="0.25">
      <c r="A467" s="8">
        <v>42479.458333333336</v>
      </c>
      <c r="B467" s="7">
        <v>423.03240966796898</v>
      </c>
      <c r="C467" s="7">
        <v>115.45139312744099</v>
      </c>
      <c r="D467" s="7">
        <v>666.95599365234398</v>
      </c>
      <c r="E467" s="5">
        <f t="shared" si="7"/>
        <v>0.78465411017922826</v>
      </c>
    </row>
    <row r="468" spans="1:5" x14ac:dyDescent="0.25">
      <c r="A468" s="8">
        <v>42479.46875</v>
      </c>
      <c r="B468" s="7">
        <v>424.62384033203102</v>
      </c>
      <c r="C468" s="7">
        <v>117.17303466796901</v>
      </c>
      <c r="D468" s="7">
        <v>678.24072265625</v>
      </c>
      <c r="E468" s="5">
        <f t="shared" si="7"/>
        <v>0.79793026194852945</v>
      </c>
    </row>
    <row r="469" spans="1:5" x14ac:dyDescent="0.25">
      <c r="A469" s="8">
        <v>42479.479166666664</v>
      </c>
      <c r="B469" s="7">
        <v>425.49188232421898</v>
      </c>
      <c r="C469" s="7">
        <v>114.945022583008</v>
      </c>
      <c r="D469" s="7">
        <v>579.28240966796898</v>
      </c>
      <c r="E469" s="5">
        <f t="shared" si="7"/>
        <v>0.68150871725643414</v>
      </c>
    </row>
    <row r="470" spans="1:5" x14ac:dyDescent="0.25">
      <c r="A470" s="8">
        <v>42479.489583333336</v>
      </c>
      <c r="B470" s="7">
        <v>430.26620483398398</v>
      </c>
      <c r="C470" s="7">
        <v>114.539932250977</v>
      </c>
      <c r="D470" s="7">
        <v>644.96527099609398</v>
      </c>
      <c r="E470" s="5">
        <f t="shared" si="7"/>
        <v>0.75878267176011061</v>
      </c>
    </row>
    <row r="471" spans="1:5" x14ac:dyDescent="0.25">
      <c r="A471" s="8">
        <v>42479.5</v>
      </c>
      <c r="B471" s="7">
        <v>436.34259033203102</v>
      </c>
      <c r="C471" s="7">
        <v>129.12326049804699</v>
      </c>
      <c r="D471" s="7">
        <v>701.96759033203102</v>
      </c>
      <c r="E471" s="5">
        <f t="shared" si="7"/>
        <v>0.82584422392003654</v>
      </c>
    </row>
    <row r="472" spans="1:5" x14ac:dyDescent="0.25">
      <c r="A472" s="8">
        <v>42479.510416666664</v>
      </c>
      <c r="B472" s="7">
        <v>435.61920166015602</v>
      </c>
      <c r="C472" s="7">
        <v>135.70602416992199</v>
      </c>
      <c r="D472" s="7">
        <v>708.04400634765602</v>
      </c>
      <c r="E472" s="5">
        <f t="shared" si="7"/>
        <v>0.83299294864430118</v>
      </c>
    </row>
    <row r="473" spans="1:5" x14ac:dyDescent="0.25">
      <c r="A473" s="8">
        <v>42479.520833333336</v>
      </c>
      <c r="B473" s="7">
        <v>436.19790649414102</v>
      </c>
      <c r="C473" s="7">
        <v>138.13658142089801</v>
      </c>
      <c r="D473" s="7">
        <v>712.09490966796898</v>
      </c>
      <c r="E473" s="5">
        <f t="shared" si="7"/>
        <v>0.83775871725643414</v>
      </c>
    </row>
    <row r="474" spans="1:5" x14ac:dyDescent="0.25">
      <c r="A474" s="8">
        <v>42479.53125</v>
      </c>
      <c r="B474" s="7">
        <v>435.32986450195301</v>
      </c>
      <c r="C474" s="7">
        <v>140.26330566406301</v>
      </c>
      <c r="D474" s="7">
        <v>722.22222900390602</v>
      </c>
      <c r="E474" s="5">
        <f t="shared" si="7"/>
        <v>0.84967321059283063</v>
      </c>
    </row>
    <row r="475" spans="1:5" x14ac:dyDescent="0.25">
      <c r="A475" s="8">
        <v>42479.541666666664</v>
      </c>
      <c r="B475" s="7">
        <v>429.97683715820301</v>
      </c>
      <c r="C475" s="7">
        <v>137.22511291503901</v>
      </c>
      <c r="D475" s="7">
        <v>734.08563232421898</v>
      </c>
      <c r="E475" s="5">
        <f t="shared" si="7"/>
        <v>0.86363015567555179</v>
      </c>
    </row>
    <row r="476" spans="1:5" x14ac:dyDescent="0.25">
      <c r="A476" s="8">
        <v>42479.552083333336</v>
      </c>
      <c r="B476" s="7">
        <v>429.10879516601602</v>
      </c>
      <c r="C476" s="7">
        <v>134.79455566406301</v>
      </c>
      <c r="D476" s="7">
        <v>758.39117431640602</v>
      </c>
      <c r="E476" s="5">
        <f t="shared" si="7"/>
        <v>0.89222491096047762</v>
      </c>
    </row>
    <row r="477" spans="1:5" x14ac:dyDescent="0.25">
      <c r="A477" s="8">
        <v>42479.5625</v>
      </c>
      <c r="B477" s="7">
        <v>426.35995483398398</v>
      </c>
      <c r="C477" s="7">
        <v>132.66783142089801</v>
      </c>
      <c r="D477" s="7">
        <v>760.12731933593795</v>
      </c>
      <c r="E477" s="5">
        <f t="shared" si="7"/>
        <v>0.89426743451286816</v>
      </c>
    </row>
    <row r="478" spans="1:5" x14ac:dyDescent="0.25">
      <c r="A478" s="8">
        <v>42479.572916666664</v>
      </c>
      <c r="B478" s="7">
        <v>424.76852416992199</v>
      </c>
      <c r="C478" s="7">
        <v>129.52835083007801</v>
      </c>
      <c r="D478" s="7">
        <v>752.31481933593795</v>
      </c>
      <c r="E478" s="5">
        <f t="shared" si="7"/>
        <v>0.88507625804227996</v>
      </c>
    </row>
    <row r="479" spans="1:5" x14ac:dyDescent="0.25">
      <c r="A479" s="8">
        <v>42479.583333333336</v>
      </c>
      <c r="B479" s="7">
        <v>427.51736450195301</v>
      </c>
      <c r="C479" s="7">
        <v>132.56655883789099</v>
      </c>
      <c r="D479" s="7">
        <v>764.17822265625</v>
      </c>
      <c r="E479" s="5">
        <f t="shared" si="7"/>
        <v>0.89903320312500001</v>
      </c>
    </row>
    <row r="480" spans="1:5" x14ac:dyDescent="0.25">
      <c r="A480" s="8">
        <v>42479.59375</v>
      </c>
      <c r="B480" s="7">
        <v>424.47915649414102</v>
      </c>
      <c r="C480" s="7">
        <v>129.73091125488301</v>
      </c>
      <c r="D480" s="7">
        <v>743.923583984375</v>
      </c>
      <c r="E480" s="5">
        <f t="shared" si="7"/>
        <v>0.87520421645220592</v>
      </c>
    </row>
    <row r="481" spans="1:5" x14ac:dyDescent="0.25">
      <c r="A481" s="8">
        <v>42479.604166666664</v>
      </c>
      <c r="B481" s="7">
        <v>424.76852416992199</v>
      </c>
      <c r="C481" s="7">
        <v>129.73091125488301</v>
      </c>
      <c r="D481" s="7">
        <v>755.78704833984398</v>
      </c>
      <c r="E481" s="5">
        <f t="shared" si="7"/>
        <v>0.88916123334099295</v>
      </c>
    </row>
    <row r="482" spans="1:5" x14ac:dyDescent="0.25">
      <c r="A482" s="8">
        <v>42479.614583333336</v>
      </c>
      <c r="B482" s="7">
        <v>422.74304199218801</v>
      </c>
      <c r="C482" s="7">
        <v>130.541091918945</v>
      </c>
      <c r="D482" s="7">
        <v>791.37731933593795</v>
      </c>
      <c r="E482" s="5">
        <f t="shared" si="7"/>
        <v>0.93103214039522109</v>
      </c>
    </row>
    <row r="483" spans="1:5" x14ac:dyDescent="0.25">
      <c r="A483" s="8">
        <v>42479.625</v>
      </c>
      <c r="B483" s="7">
        <v>422.74304199218801</v>
      </c>
      <c r="C483" s="7">
        <v>129.32580566406301</v>
      </c>
      <c r="D483" s="7">
        <v>779.513916015625</v>
      </c>
      <c r="E483" s="5">
        <f t="shared" si="7"/>
        <v>0.91707519531250004</v>
      </c>
    </row>
    <row r="484" spans="1:5" x14ac:dyDescent="0.25">
      <c r="A484" s="8">
        <v>42479.635416666664</v>
      </c>
      <c r="B484" s="7">
        <v>423.03240966796898</v>
      </c>
      <c r="C484" s="7">
        <v>129.52835083007801</v>
      </c>
      <c r="D484" s="7">
        <v>749.42126464843795</v>
      </c>
      <c r="E484" s="5">
        <f t="shared" si="7"/>
        <v>0.88167207605698583</v>
      </c>
    </row>
    <row r="485" spans="1:5" x14ac:dyDescent="0.25">
      <c r="A485" s="8">
        <v>42479.645833333336</v>
      </c>
      <c r="B485" s="7">
        <v>421.58563232421898</v>
      </c>
      <c r="C485" s="7">
        <v>124.565971374512</v>
      </c>
      <c r="D485" s="7">
        <v>709.201416015625</v>
      </c>
      <c r="E485" s="5">
        <f t="shared" si="7"/>
        <v>0.83435460707720588</v>
      </c>
    </row>
    <row r="486" spans="1:5" x14ac:dyDescent="0.25">
      <c r="A486" s="8">
        <v>42479.65625</v>
      </c>
      <c r="B486" s="7">
        <v>423.90045166015602</v>
      </c>
      <c r="C486" s="7">
        <v>125.98379516601599</v>
      </c>
      <c r="D486" s="7">
        <v>731.192138671875</v>
      </c>
      <c r="E486" s="5">
        <f t="shared" si="7"/>
        <v>0.86022604549632353</v>
      </c>
    </row>
    <row r="487" spans="1:5" x14ac:dyDescent="0.25">
      <c r="A487" s="8">
        <v>42479.666666666664</v>
      </c>
      <c r="B487" s="7">
        <v>387.58679199218801</v>
      </c>
      <c r="C487" s="7">
        <v>110.79282379150401</v>
      </c>
      <c r="D487" s="7">
        <v>721.06481933593795</v>
      </c>
      <c r="E487" s="5">
        <f t="shared" si="7"/>
        <v>0.84831155215992704</v>
      </c>
    </row>
    <row r="488" spans="1:5" x14ac:dyDescent="0.25">
      <c r="A488" s="8">
        <v>42479.677083333336</v>
      </c>
      <c r="B488" s="7">
        <v>372.68518066406301</v>
      </c>
      <c r="C488" s="7">
        <v>101.171875</v>
      </c>
      <c r="D488" s="7">
        <v>706.01849365234398</v>
      </c>
      <c r="E488" s="5">
        <f t="shared" si="7"/>
        <v>0.83060999253216938</v>
      </c>
    </row>
    <row r="489" spans="1:5" x14ac:dyDescent="0.25">
      <c r="A489" s="8">
        <v>42479.6875</v>
      </c>
      <c r="B489" s="7">
        <v>360.96643066406301</v>
      </c>
      <c r="C489" s="7">
        <v>94.386573791503906</v>
      </c>
      <c r="D489" s="7">
        <v>541.37731933593795</v>
      </c>
      <c r="E489" s="5">
        <f t="shared" si="7"/>
        <v>0.6369144933363976</v>
      </c>
    </row>
    <row r="490" spans="1:5" x14ac:dyDescent="0.25">
      <c r="A490" s="8">
        <v>42479.697916666664</v>
      </c>
      <c r="B490" s="7">
        <v>359.375</v>
      </c>
      <c r="C490" s="7">
        <v>91.652198791503906</v>
      </c>
      <c r="D490" s="7">
        <v>690.682861328125</v>
      </c>
      <c r="E490" s="5">
        <f t="shared" si="7"/>
        <v>0.81256807215073534</v>
      </c>
    </row>
    <row r="491" spans="1:5" x14ac:dyDescent="0.25">
      <c r="A491" s="8">
        <v>42479.708333333336</v>
      </c>
      <c r="B491" s="7">
        <v>356.77084350585898</v>
      </c>
      <c r="C491" s="7">
        <v>90.335647583007798</v>
      </c>
      <c r="D491" s="7">
        <v>684.89581298828102</v>
      </c>
      <c r="E491" s="5">
        <f t="shared" si="7"/>
        <v>0.80575977998621295</v>
      </c>
    </row>
    <row r="492" spans="1:5" x14ac:dyDescent="0.25">
      <c r="A492" s="8">
        <v>42479.71875</v>
      </c>
      <c r="B492" s="7">
        <v>348.09027099609398</v>
      </c>
      <c r="C492" s="7">
        <v>90.031829833984403</v>
      </c>
      <c r="D492" s="7">
        <v>528.35650634765602</v>
      </c>
      <c r="E492" s="5">
        <f t="shared" si="7"/>
        <v>0.62159588982077174</v>
      </c>
    </row>
    <row r="493" spans="1:5" x14ac:dyDescent="0.25">
      <c r="A493" s="8">
        <v>42479.729166666664</v>
      </c>
      <c r="B493" s="7">
        <v>345.77545166015602</v>
      </c>
      <c r="C493" s="7">
        <v>90.538192749023395</v>
      </c>
      <c r="D493" s="7">
        <v>542.53472900390602</v>
      </c>
      <c r="E493" s="5">
        <f t="shared" si="7"/>
        <v>0.63827615176930119</v>
      </c>
    </row>
    <row r="494" spans="1:5" x14ac:dyDescent="0.25">
      <c r="A494" s="8">
        <v>42479.739583333336</v>
      </c>
      <c r="B494" s="7">
        <v>345.92013549804699</v>
      </c>
      <c r="C494" s="7">
        <v>91.044563293457003</v>
      </c>
      <c r="D494" s="7">
        <v>555.55554199218795</v>
      </c>
      <c r="E494" s="5">
        <f t="shared" si="7"/>
        <v>0.65359475528492705</v>
      </c>
    </row>
    <row r="495" spans="1:5" x14ac:dyDescent="0.25">
      <c r="A495" s="8">
        <v>42479.75</v>
      </c>
      <c r="B495" s="7">
        <v>411.89236450195301</v>
      </c>
      <c r="C495" s="7">
        <v>102.28588104248</v>
      </c>
      <c r="D495" s="7">
        <v>684.89581298828102</v>
      </c>
      <c r="E495" s="5">
        <f t="shared" si="7"/>
        <v>0.80575977998621295</v>
      </c>
    </row>
    <row r="496" spans="1:5" x14ac:dyDescent="0.25">
      <c r="A496" s="8">
        <v>42479.760416666664</v>
      </c>
      <c r="B496" s="7">
        <v>423.90045166015602</v>
      </c>
      <c r="C496" s="7">
        <v>130.23727416992199</v>
      </c>
      <c r="D496" s="7">
        <v>808.73840332031295</v>
      </c>
      <c r="E496" s="5">
        <f t="shared" si="7"/>
        <v>0.95145694508272116</v>
      </c>
    </row>
    <row r="497" spans="1:5" x14ac:dyDescent="0.25">
      <c r="A497" s="8">
        <v>42479.770833333336</v>
      </c>
      <c r="B497" s="7">
        <v>425.63656616210898</v>
      </c>
      <c r="C497" s="7">
        <v>138.64294433593801</v>
      </c>
      <c r="D497" s="7">
        <v>818.576416015625</v>
      </c>
      <c r="E497" s="5">
        <f t="shared" si="7"/>
        <v>0.96303107766544116</v>
      </c>
    </row>
    <row r="498" spans="1:5" x14ac:dyDescent="0.25">
      <c r="A498" s="8">
        <v>42479.78125</v>
      </c>
      <c r="B498" s="7">
        <v>426.35995483398398</v>
      </c>
      <c r="C498" s="7">
        <v>141.78240966796901</v>
      </c>
      <c r="D498" s="7">
        <v>817.41900634765602</v>
      </c>
      <c r="E498" s="5">
        <f t="shared" si="7"/>
        <v>0.96166941923253646</v>
      </c>
    </row>
    <row r="499" spans="1:5" x14ac:dyDescent="0.25">
      <c r="A499" s="8">
        <v>42479.791666666664</v>
      </c>
      <c r="B499" s="7">
        <v>426.93865966796898</v>
      </c>
      <c r="C499" s="7">
        <v>143.50405883789099</v>
      </c>
      <c r="D499" s="7">
        <v>825.23150634765602</v>
      </c>
      <c r="E499" s="5">
        <f t="shared" si="7"/>
        <v>0.97086059570312477</v>
      </c>
    </row>
    <row r="500" spans="1:5" x14ac:dyDescent="0.25">
      <c r="A500" s="8">
        <v>42479.802083333336</v>
      </c>
      <c r="B500" s="7">
        <v>427.08334350585898</v>
      </c>
      <c r="C500" s="7">
        <v>144.921875</v>
      </c>
      <c r="D500" s="7">
        <v>825.81018066406295</v>
      </c>
      <c r="E500" s="5">
        <f t="shared" si="7"/>
        <v>0.97154138901654463</v>
      </c>
    </row>
    <row r="501" spans="1:5" x14ac:dyDescent="0.25">
      <c r="A501" s="8">
        <v>42479.8125</v>
      </c>
      <c r="B501" s="7">
        <v>427.66204833984398</v>
      </c>
      <c r="C501" s="7">
        <v>145.52951049804699</v>
      </c>
      <c r="D501" s="7">
        <v>817.70831298828102</v>
      </c>
      <c r="E501" s="5">
        <f t="shared" si="7"/>
        <v>0.96200977998621295</v>
      </c>
    </row>
    <row r="502" spans="1:5" x14ac:dyDescent="0.25">
      <c r="A502" s="8">
        <v>42479.822916666664</v>
      </c>
      <c r="B502" s="7">
        <v>427.66204833984398</v>
      </c>
      <c r="C502" s="7">
        <v>146.23843383789099</v>
      </c>
      <c r="D502" s="7">
        <v>817.70831298828102</v>
      </c>
      <c r="E502" s="5">
        <f t="shared" si="7"/>
        <v>0.96200977998621295</v>
      </c>
    </row>
    <row r="503" spans="1:5" x14ac:dyDescent="0.25">
      <c r="A503" s="8">
        <v>42479.833333333336</v>
      </c>
      <c r="B503" s="7">
        <v>429.25347900390602</v>
      </c>
      <c r="C503" s="7">
        <v>145.52951049804699</v>
      </c>
      <c r="D503" s="7">
        <v>784.432861328125</v>
      </c>
      <c r="E503" s="5">
        <f t="shared" si="7"/>
        <v>0.92286218979779411</v>
      </c>
    </row>
    <row r="504" spans="1:5" x14ac:dyDescent="0.25">
      <c r="A504" s="8">
        <v>42479.84375</v>
      </c>
      <c r="B504" s="7">
        <v>433.88308715820301</v>
      </c>
      <c r="C504" s="7">
        <v>142.79513549804699</v>
      </c>
      <c r="D504" s="7">
        <v>758.39117431640602</v>
      </c>
      <c r="E504" s="5">
        <f t="shared" si="7"/>
        <v>0.89222491096047762</v>
      </c>
    </row>
    <row r="505" spans="1:5" x14ac:dyDescent="0.25">
      <c r="A505" s="8">
        <v>42479.854166666664</v>
      </c>
      <c r="B505" s="7">
        <v>433.15972900390602</v>
      </c>
      <c r="C505" s="7">
        <v>144.01042175293</v>
      </c>
      <c r="D505" s="7">
        <v>741.31945800781295</v>
      </c>
      <c r="E505" s="5">
        <f t="shared" si="7"/>
        <v>0.87214053883272113</v>
      </c>
    </row>
    <row r="506" spans="1:5" x14ac:dyDescent="0.25">
      <c r="A506" s="8">
        <v>42479.864583333336</v>
      </c>
      <c r="B506" s="7">
        <v>433.44906616210898</v>
      </c>
      <c r="C506" s="7">
        <v>144.212966918945</v>
      </c>
      <c r="D506" s="7">
        <v>723.379638671875</v>
      </c>
      <c r="E506" s="5">
        <f t="shared" si="7"/>
        <v>0.85103486902573533</v>
      </c>
    </row>
    <row r="507" spans="1:5" x14ac:dyDescent="0.25">
      <c r="A507" s="8">
        <v>42479.875</v>
      </c>
      <c r="B507" s="7">
        <v>435.04049682617199</v>
      </c>
      <c r="C507" s="7">
        <v>143.50405883789099</v>
      </c>
      <c r="D507" s="7">
        <v>707.17590332031295</v>
      </c>
      <c r="E507" s="5">
        <f t="shared" si="7"/>
        <v>0.83197165096507408</v>
      </c>
    </row>
    <row r="508" spans="1:5" x14ac:dyDescent="0.25">
      <c r="A508" s="8">
        <v>42479.885416666664</v>
      </c>
      <c r="B508" s="7">
        <v>434.60647583007801</v>
      </c>
      <c r="C508" s="7">
        <v>143.40278625488301</v>
      </c>
      <c r="D508" s="7">
        <v>723.95831298828102</v>
      </c>
      <c r="E508" s="5">
        <f t="shared" si="7"/>
        <v>0.85171566233915419</v>
      </c>
    </row>
    <row r="509" spans="1:5" x14ac:dyDescent="0.25">
      <c r="A509" s="8">
        <v>42479.895833333336</v>
      </c>
      <c r="B509" s="7">
        <v>434.89584350585898</v>
      </c>
      <c r="C509" s="7">
        <v>142.896408081055</v>
      </c>
      <c r="D509" s="7">
        <v>714.98840332031295</v>
      </c>
      <c r="E509" s="5">
        <f t="shared" si="7"/>
        <v>0.84116282743566229</v>
      </c>
    </row>
    <row r="510" spans="1:5" x14ac:dyDescent="0.25">
      <c r="A510" s="8">
        <v>42479.90625</v>
      </c>
      <c r="B510" s="7">
        <v>436.34259033203102</v>
      </c>
      <c r="C510" s="7">
        <v>142.39004516601599</v>
      </c>
      <c r="D510" s="7">
        <v>692.129638671875</v>
      </c>
      <c r="E510" s="5">
        <f t="shared" si="7"/>
        <v>0.81427016314338241</v>
      </c>
    </row>
    <row r="511" spans="1:5" x14ac:dyDescent="0.25">
      <c r="A511" s="8">
        <v>42479.916666666664</v>
      </c>
      <c r="B511" s="7">
        <v>436.05325317382801</v>
      </c>
      <c r="C511" s="7">
        <v>141.98495483398401</v>
      </c>
      <c r="D511" s="7">
        <v>714.40972900390602</v>
      </c>
      <c r="E511" s="5">
        <f t="shared" si="7"/>
        <v>0.84048203412224243</v>
      </c>
    </row>
    <row r="512" spans="1:5" x14ac:dyDescent="0.25">
      <c r="A512" s="8">
        <v>42479.927083333336</v>
      </c>
      <c r="B512" s="7">
        <v>435.61920166015602</v>
      </c>
      <c r="C512" s="7">
        <v>142.39004516601599</v>
      </c>
      <c r="D512" s="7">
        <v>692.129638671875</v>
      </c>
      <c r="E512" s="5">
        <f t="shared" si="7"/>
        <v>0.81427016314338241</v>
      </c>
    </row>
    <row r="513" spans="1:5" x14ac:dyDescent="0.25">
      <c r="A513" s="8">
        <v>42479.9375</v>
      </c>
      <c r="B513" s="7">
        <v>438.65740966796898</v>
      </c>
      <c r="C513" s="7">
        <v>140.66841125488301</v>
      </c>
      <c r="D513" s="7">
        <v>649.88427734375</v>
      </c>
      <c r="E513" s="5">
        <f t="shared" si="7"/>
        <v>0.76456973805147055</v>
      </c>
    </row>
    <row r="514" spans="1:5" x14ac:dyDescent="0.25">
      <c r="A514" s="8">
        <v>42479.947916666664</v>
      </c>
      <c r="B514" s="7">
        <v>427.80670166015602</v>
      </c>
      <c r="C514" s="7">
        <v>130.74363708496099</v>
      </c>
      <c r="D514" s="7">
        <v>650.75231933593795</v>
      </c>
      <c r="E514" s="5">
        <f t="shared" si="7"/>
        <v>0.76559096392463288</v>
      </c>
    </row>
    <row r="515" spans="1:5" x14ac:dyDescent="0.25">
      <c r="A515" s="8">
        <v>42479.958333333336</v>
      </c>
      <c r="B515" s="7">
        <v>438.36804199218801</v>
      </c>
      <c r="C515" s="7">
        <v>135.70602416992199</v>
      </c>
      <c r="D515" s="7">
        <v>642.93981933593795</v>
      </c>
      <c r="E515" s="5">
        <f t="shared" ref="E515:E578" si="8">+D515/850</f>
        <v>0.75639978745404468</v>
      </c>
    </row>
    <row r="516" spans="1:5" x14ac:dyDescent="0.25">
      <c r="A516" s="8">
        <v>42479.96875</v>
      </c>
      <c r="B516" s="7">
        <v>441.98495483398398</v>
      </c>
      <c r="C516" s="7">
        <v>136.61747741699199</v>
      </c>
      <c r="D516" s="7">
        <v>605.32409667968795</v>
      </c>
      <c r="E516" s="5">
        <f t="shared" si="8"/>
        <v>0.71214599609375051</v>
      </c>
    </row>
    <row r="517" spans="1:5" x14ac:dyDescent="0.25">
      <c r="A517" s="8">
        <v>42479.979166666664</v>
      </c>
      <c r="B517" s="7">
        <v>431.13424682617199</v>
      </c>
      <c r="C517" s="7">
        <v>127.300346374512</v>
      </c>
      <c r="D517" s="7">
        <v>588.54168701171898</v>
      </c>
      <c r="E517" s="5">
        <f t="shared" si="8"/>
        <v>0.69240198471966941</v>
      </c>
    </row>
    <row r="518" spans="1:5" x14ac:dyDescent="0.25">
      <c r="A518" s="8">
        <v>42479.989583333336</v>
      </c>
      <c r="B518" s="7">
        <v>442.27429199218801</v>
      </c>
      <c r="C518" s="7">
        <v>132.56655883789099</v>
      </c>
      <c r="D518" s="7">
        <v>587.38427734375</v>
      </c>
      <c r="E518" s="5">
        <f t="shared" si="8"/>
        <v>0.69104032628676471</v>
      </c>
    </row>
    <row r="519" spans="1:5" x14ac:dyDescent="0.25">
      <c r="A519" s="8">
        <v>42480</v>
      </c>
      <c r="B519" s="7">
        <v>443.57638549804699</v>
      </c>
      <c r="C519" s="7">
        <v>135.19966125488301</v>
      </c>
      <c r="D519" s="7">
        <v>588.54168701171898</v>
      </c>
      <c r="E519" s="5">
        <f t="shared" si="8"/>
        <v>0.69240198471966941</v>
      </c>
    </row>
    <row r="520" spans="1:5" x14ac:dyDescent="0.25">
      <c r="A520" s="8">
        <v>42480.010416666664</v>
      </c>
      <c r="B520" s="7">
        <v>443.28704833984398</v>
      </c>
      <c r="C520" s="7">
        <v>135.60475158691401</v>
      </c>
      <c r="D520" s="7">
        <v>583.33331298828102</v>
      </c>
      <c r="E520" s="5">
        <f t="shared" si="8"/>
        <v>0.68627448586856588</v>
      </c>
    </row>
    <row r="521" spans="1:5" x14ac:dyDescent="0.25">
      <c r="A521" s="8">
        <v>42480.020833333336</v>
      </c>
      <c r="B521" s="7">
        <v>432.72570800781301</v>
      </c>
      <c r="C521" s="7">
        <v>126.085067749023</v>
      </c>
      <c r="D521" s="7">
        <v>571.75927734375</v>
      </c>
      <c r="E521" s="5">
        <f t="shared" si="8"/>
        <v>0.67265797334558819</v>
      </c>
    </row>
    <row r="522" spans="1:5" x14ac:dyDescent="0.25">
      <c r="A522" s="8">
        <v>42480.03125</v>
      </c>
      <c r="B522" s="7">
        <v>443.43170166015602</v>
      </c>
      <c r="C522" s="7">
        <v>132.06018066406301</v>
      </c>
      <c r="D522" s="7">
        <v>566.26159667968795</v>
      </c>
      <c r="E522" s="5">
        <f t="shared" si="8"/>
        <v>0.66619011374080939</v>
      </c>
    </row>
    <row r="523" spans="1:5" x14ac:dyDescent="0.25">
      <c r="A523" s="8">
        <v>42480.041666666664</v>
      </c>
      <c r="B523" s="7">
        <v>444.73379516601602</v>
      </c>
      <c r="C523" s="7">
        <v>134.28819274902301</v>
      </c>
      <c r="D523" s="7">
        <v>569.73376464843795</v>
      </c>
      <c r="E523" s="5">
        <f t="shared" si="8"/>
        <v>0.67027501723345639</v>
      </c>
    </row>
    <row r="524" spans="1:5" x14ac:dyDescent="0.25">
      <c r="A524" s="8">
        <v>42480.052083333336</v>
      </c>
      <c r="B524" s="7">
        <v>439.67013549804699</v>
      </c>
      <c r="C524" s="7">
        <v>132.16145324707</v>
      </c>
      <c r="D524" s="7">
        <v>559.60650634765602</v>
      </c>
      <c r="E524" s="5">
        <f t="shared" si="8"/>
        <v>0.65836059570312477</v>
      </c>
    </row>
    <row r="525" spans="1:5" x14ac:dyDescent="0.25">
      <c r="A525" s="8">
        <v>42480.0625</v>
      </c>
      <c r="B525" s="7">
        <v>442.85299682617199</v>
      </c>
      <c r="C525" s="7">
        <v>129.83218383789099</v>
      </c>
      <c r="D525" s="7">
        <v>560.47454833984398</v>
      </c>
      <c r="E525" s="5">
        <f t="shared" si="8"/>
        <v>0.659381821576287</v>
      </c>
    </row>
    <row r="526" spans="1:5" x14ac:dyDescent="0.25">
      <c r="A526" s="8">
        <v>42480.072916666664</v>
      </c>
      <c r="B526" s="7">
        <v>444.73379516601602</v>
      </c>
      <c r="C526" s="7">
        <v>133.17419433593801</v>
      </c>
      <c r="D526" s="7">
        <v>563.36804199218795</v>
      </c>
      <c r="E526" s="5">
        <f t="shared" si="8"/>
        <v>0.66278593175551526</v>
      </c>
    </row>
    <row r="527" spans="1:5" x14ac:dyDescent="0.25">
      <c r="A527" s="8">
        <v>42480.083333333336</v>
      </c>
      <c r="B527" s="7">
        <v>433.88308715820301</v>
      </c>
      <c r="C527" s="7">
        <v>124.66724395752</v>
      </c>
      <c r="D527" s="7">
        <v>556.13427734375</v>
      </c>
      <c r="E527" s="5">
        <f t="shared" si="8"/>
        <v>0.65427562040441178</v>
      </c>
    </row>
    <row r="528" spans="1:5" x14ac:dyDescent="0.25">
      <c r="A528" s="8">
        <v>42480.09375</v>
      </c>
      <c r="B528" s="7">
        <v>444.73379516601602</v>
      </c>
      <c r="C528" s="7">
        <v>129.83218383789099</v>
      </c>
      <c r="D528" s="7">
        <v>555.55554199218795</v>
      </c>
      <c r="E528" s="5">
        <f t="shared" si="8"/>
        <v>0.65359475528492705</v>
      </c>
    </row>
    <row r="529" spans="1:5" x14ac:dyDescent="0.25">
      <c r="A529" s="8">
        <v>42480.104166666664</v>
      </c>
      <c r="B529" s="7">
        <v>436.05325317382801</v>
      </c>
      <c r="C529" s="7">
        <v>127.806716918945</v>
      </c>
      <c r="D529" s="7">
        <v>542.53472900390602</v>
      </c>
      <c r="E529" s="5">
        <f t="shared" si="8"/>
        <v>0.63827615176930119</v>
      </c>
    </row>
    <row r="530" spans="1:5" x14ac:dyDescent="0.25">
      <c r="A530" s="8">
        <v>42480.114583333336</v>
      </c>
      <c r="B530" s="7">
        <v>443.28704833984398</v>
      </c>
      <c r="C530" s="7">
        <v>127.806716918945</v>
      </c>
      <c r="D530" s="7">
        <v>557.29168701171898</v>
      </c>
      <c r="E530" s="5">
        <f t="shared" si="8"/>
        <v>0.65563727883731648</v>
      </c>
    </row>
    <row r="531" spans="1:5" x14ac:dyDescent="0.25">
      <c r="A531" s="8">
        <v>42480.125</v>
      </c>
      <c r="B531" s="7">
        <v>442.27429199218801</v>
      </c>
      <c r="C531" s="7">
        <v>129.224533081055</v>
      </c>
      <c r="D531" s="7">
        <v>555.55554199218795</v>
      </c>
      <c r="E531" s="5">
        <f t="shared" si="8"/>
        <v>0.65359475528492705</v>
      </c>
    </row>
    <row r="532" spans="1:5" x14ac:dyDescent="0.25">
      <c r="A532" s="8">
        <v>42480.135416666664</v>
      </c>
      <c r="B532" s="7">
        <v>442.85299682617199</v>
      </c>
      <c r="C532" s="7">
        <v>126.18634033203099</v>
      </c>
      <c r="D532" s="7">
        <v>554.39813232421898</v>
      </c>
      <c r="E532" s="5">
        <f t="shared" si="8"/>
        <v>0.65223309685202235</v>
      </c>
    </row>
    <row r="533" spans="1:5" x14ac:dyDescent="0.25">
      <c r="A533" s="8">
        <v>42480.145833333336</v>
      </c>
      <c r="B533" s="7">
        <v>429.6875</v>
      </c>
      <c r="C533" s="7">
        <v>123.148147583008</v>
      </c>
      <c r="D533" s="7">
        <v>543.11340332031295</v>
      </c>
      <c r="E533" s="5">
        <f t="shared" si="8"/>
        <v>0.63895694508272116</v>
      </c>
    </row>
    <row r="534" spans="1:5" x14ac:dyDescent="0.25">
      <c r="A534" s="8">
        <v>42480.15625</v>
      </c>
      <c r="B534" s="7">
        <v>444.73379516601602</v>
      </c>
      <c r="C534" s="7">
        <v>126.996528625488</v>
      </c>
      <c r="D534" s="7">
        <v>545.42822265625</v>
      </c>
      <c r="E534" s="5">
        <f t="shared" si="8"/>
        <v>0.64168026194852945</v>
      </c>
    </row>
    <row r="535" spans="1:5" x14ac:dyDescent="0.25">
      <c r="A535" s="8">
        <v>42480.166666666664</v>
      </c>
      <c r="B535" s="7">
        <v>428.38540649414102</v>
      </c>
      <c r="C535" s="7">
        <v>121.62905120849599</v>
      </c>
      <c r="D535" s="7">
        <v>548.32177734375</v>
      </c>
      <c r="E535" s="5">
        <f t="shared" si="8"/>
        <v>0.64508444393382358</v>
      </c>
    </row>
    <row r="536" spans="1:5" x14ac:dyDescent="0.25">
      <c r="A536" s="8">
        <v>42480.177083333336</v>
      </c>
      <c r="B536" s="7">
        <v>444.44445800781301</v>
      </c>
      <c r="C536" s="7">
        <v>127.09780120849599</v>
      </c>
      <c r="D536" s="7">
        <v>550.34722900390602</v>
      </c>
      <c r="E536" s="5">
        <f t="shared" si="8"/>
        <v>0.64746732823988939</v>
      </c>
    </row>
    <row r="537" spans="1:5" x14ac:dyDescent="0.25">
      <c r="A537" s="8">
        <v>42480.1875</v>
      </c>
      <c r="B537" s="7">
        <v>438.36804199218801</v>
      </c>
      <c r="C537" s="7">
        <v>122.13542175293</v>
      </c>
      <c r="D537" s="7">
        <v>561.34259033203102</v>
      </c>
      <c r="E537" s="5">
        <f t="shared" si="8"/>
        <v>0.66040304744944822</v>
      </c>
    </row>
    <row r="538" spans="1:5" x14ac:dyDescent="0.25">
      <c r="A538" s="8">
        <v>42480.197916666664</v>
      </c>
      <c r="B538" s="7">
        <v>441.84027099609398</v>
      </c>
      <c r="C538" s="7">
        <v>127.19907379150401</v>
      </c>
      <c r="D538" s="7">
        <v>583.33331298828102</v>
      </c>
      <c r="E538" s="5">
        <f t="shared" si="8"/>
        <v>0.68627448586856588</v>
      </c>
    </row>
    <row r="539" spans="1:5" x14ac:dyDescent="0.25">
      <c r="A539" s="8">
        <v>42480.208333333336</v>
      </c>
      <c r="B539" s="7">
        <v>436.34259033203102</v>
      </c>
      <c r="C539" s="7">
        <v>123.45196533203099</v>
      </c>
      <c r="D539" s="7">
        <v>600.98376464843795</v>
      </c>
      <c r="E539" s="5">
        <f t="shared" si="8"/>
        <v>0.70703972311580932</v>
      </c>
    </row>
    <row r="540" spans="1:5" x14ac:dyDescent="0.25">
      <c r="A540" s="8">
        <v>42480.21875</v>
      </c>
      <c r="B540" s="7">
        <v>434.75115966796898</v>
      </c>
      <c r="C540" s="7">
        <v>121.223960876465</v>
      </c>
      <c r="D540" s="7">
        <v>592.30322265625</v>
      </c>
      <c r="E540" s="5">
        <f t="shared" si="8"/>
        <v>0.69682732077205878</v>
      </c>
    </row>
    <row r="541" spans="1:5" x14ac:dyDescent="0.25">
      <c r="A541" s="8">
        <v>42480.229166666664</v>
      </c>
      <c r="B541" s="7">
        <v>436.05325317382801</v>
      </c>
      <c r="C541" s="7">
        <v>122.236694335938</v>
      </c>
      <c r="D541" s="7">
        <v>598.66900634765602</v>
      </c>
      <c r="E541" s="5">
        <f t="shared" si="8"/>
        <v>0.7043164780560659</v>
      </c>
    </row>
    <row r="542" spans="1:5" x14ac:dyDescent="0.25">
      <c r="A542" s="8">
        <v>42480.239583333336</v>
      </c>
      <c r="B542" s="7">
        <v>435.76388549804699</v>
      </c>
      <c r="C542" s="7">
        <v>121.527778625488</v>
      </c>
      <c r="D542" s="7">
        <v>591.72454833984398</v>
      </c>
      <c r="E542" s="5">
        <f t="shared" si="8"/>
        <v>0.69614652745863992</v>
      </c>
    </row>
    <row r="543" spans="1:5" x14ac:dyDescent="0.25">
      <c r="A543" s="8">
        <v>42480.25</v>
      </c>
      <c r="B543" s="7">
        <v>434.89584350585898</v>
      </c>
      <c r="C543" s="7">
        <v>120.616317749023</v>
      </c>
      <c r="D543" s="7">
        <v>592.30322265625</v>
      </c>
      <c r="E543" s="5">
        <f t="shared" si="8"/>
        <v>0.69682732077205878</v>
      </c>
    </row>
    <row r="544" spans="1:5" x14ac:dyDescent="0.25">
      <c r="A544" s="8">
        <v>42480.260416666664</v>
      </c>
      <c r="B544" s="7">
        <v>432.870361328125</v>
      </c>
      <c r="C544" s="7">
        <v>121.02141571044901</v>
      </c>
      <c r="D544" s="7">
        <v>644.96527099609398</v>
      </c>
      <c r="E544" s="5">
        <f t="shared" si="8"/>
        <v>0.75878267176011061</v>
      </c>
    </row>
    <row r="545" spans="1:5" x14ac:dyDescent="0.25">
      <c r="A545" s="8">
        <v>42480.270833333336</v>
      </c>
      <c r="B545" s="7">
        <v>430.70022583007801</v>
      </c>
      <c r="C545" s="7">
        <v>119.097221374512</v>
      </c>
      <c r="D545" s="7">
        <v>612.557861328125</v>
      </c>
      <c r="E545" s="5">
        <f t="shared" si="8"/>
        <v>0.72065630744485298</v>
      </c>
    </row>
    <row r="546" spans="1:5" x14ac:dyDescent="0.25">
      <c r="A546" s="8">
        <v>42480.28125</v>
      </c>
      <c r="B546" s="7">
        <v>429.54281616210898</v>
      </c>
      <c r="C546" s="7">
        <v>118.08449554443401</v>
      </c>
      <c r="D546" s="7">
        <v>634.83795166015602</v>
      </c>
      <c r="E546" s="5">
        <f t="shared" si="8"/>
        <v>0.746868178423713</v>
      </c>
    </row>
    <row r="547" spans="1:5" x14ac:dyDescent="0.25">
      <c r="A547" s="8">
        <v>42480.291666666664</v>
      </c>
      <c r="B547" s="7">
        <v>428.53009033203102</v>
      </c>
      <c r="C547" s="7">
        <v>117.07176208496099</v>
      </c>
      <c r="D547" s="7">
        <v>647.85876464843795</v>
      </c>
      <c r="E547" s="5">
        <f t="shared" si="8"/>
        <v>0.76218678193933875</v>
      </c>
    </row>
    <row r="548" spans="1:5" x14ac:dyDescent="0.25">
      <c r="A548" s="8">
        <v>42480.302083333336</v>
      </c>
      <c r="B548" s="7">
        <v>431.42361450195301</v>
      </c>
      <c r="C548" s="7">
        <v>119.19849395752</v>
      </c>
      <c r="D548" s="7">
        <v>648.72686767578102</v>
      </c>
      <c r="E548" s="5">
        <f t="shared" si="8"/>
        <v>0.76320807961856596</v>
      </c>
    </row>
    <row r="549" spans="1:5" x14ac:dyDescent="0.25">
      <c r="A549" s="8">
        <v>42480.3125</v>
      </c>
      <c r="B549" s="7">
        <v>428.09606933593801</v>
      </c>
      <c r="C549" s="7">
        <v>119.704864501953</v>
      </c>
      <c r="D549" s="7">
        <v>671.00695800781295</v>
      </c>
      <c r="E549" s="5">
        <f t="shared" si="8"/>
        <v>0.78941995059742698</v>
      </c>
    </row>
    <row r="550" spans="1:5" x14ac:dyDescent="0.25">
      <c r="A550" s="8">
        <v>42480.322916666664</v>
      </c>
      <c r="B550" s="7">
        <v>426.35995483398398</v>
      </c>
      <c r="C550" s="7">
        <v>118.99594879150401</v>
      </c>
      <c r="D550" s="7">
        <v>679.10876464843795</v>
      </c>
      <c r="E550" s="5">
        <f t="shared" si="8"/>
        <v>0.79895148782169167</v>
      </c>
    </row>
    <row r="551" spans="1:5" x14ac:dyDescent="0.25">
      <c r="A551" s="8">
        <v>42480.333333333336</v>
      </c>
      <c r="B551" s="7">
        <v>428.09606933593801</v>
      </c>
      <c r="C551" s="7">
        <v>121.42650604248</v>
      </c>
      <c r="D551" s="7">
        <v>684.02777099609398</v>
      </c>
      <c r="E551" s="5">
        <f t="shared" si="8"/>
        <v>0.80473855411305173</v>
      </c>
    </row>
    <row r="552" spans="1:5" x14ac:dyDescent="0.25">
      <c r="A552" s="8">
        <v>42480.34375</v>
      </c>
      <c r="B552" s="7">
        <v>423.75579833984398</v>
      </c>
      <c r="C552" s="7">
        <v>120.008682250977</v>
      </c>
      <c r="D552" s="7">
        <v>716.14581298828102</v>
      </c>
      <c r="E552" s="5">
        <f t="shared" si="8"/>
        <v>0.84252448586856588</v>
      </c>
    </row>
    <row r="553" spans="1:5" x14ac:dyDescent="0.25">
      <c r="A553" s="8">
        <v>42480.354166666664</v>
      </c>
      <c r="B553" s="7">
        <v>423.46643066406301</v>
      </c>
      <c r="C553" s="7">
        <v>119.19849395752</v>
      </c>
      <c r="D553" s="7">
        <v>710.9375</v>
      </c>
      <c r="E553" s="5">
        <f t="shared" si="8"/>
        <v>0.83639705882352944</v>
      </c>
    </row>
    <row r="554" spans="1:5" x14ac:dyDescent="0.25">
      <c r="A554" s="8">
        <v>42480.364583333336</v>
      </c>
      <c r="B554" s="7">
        <v>424.04513549804699</v>
      </c>
      <c r="C554" s="7">
        <v>121.223960876465</v>
      </c>
      <c r="D554" s="7">
        <v>732.34954833984398</v>
      </c>
      <c r="E554" s="5">
        <f t="shared" si="8"/>
        <v>0.86158770392922823</v>
      </c>
    </row>
    <row r="555" spans="1:5" x14ac:dyDescent="0.25">
      <c r="A555" s="8">
        <v>42480.375</v>
      </c>
      <c r="B555" s="7">
        <v>423.32174682617199</v>
      </c>
      <c r="C555" s="7">
        <v>122.64178466796901</v>
      </c>
      <c r="D555" s="7">
        <v>743.923583984375</v>
      </c>
      <c r="E555" s="5">
        <f t="shared" si="8"/>
        <v>0.87520421645220592</v>
      </c>
    </row>
    <row r="556" spans="1:5" x14ac:dyDescent="0.25">
      <c r="A556" s="8">
        <v>42480.385416666664</v>
      </c>
      <c r="B556" s="7">
        <v>420.28356933593801</v>
      </c>
      <c r="C556" s="7">
        <v>120.008682250977</v>
      </c>
      <c r="D556" s="7">
        <v>741.31945800781295</v>
      </c>
      <c r="E556" s="5">
        <f t="shared" si="8"/>
        <v>0.87214053883272113</v>
      </c>
    </row>
    <row r="557" spans="1:5" x14ac:dyDescent="0.25">
      <c r="A557" s="8">
        <v>42480.395833333336</v>
      </c>
      <c r="B557" s="7">
        <v>421.58563232421898</v>
      </c>
      <c r="C557" s="7">
        <v>121.42650604248</v>
      </c>
      <c r="D557" s="7">
        <v>765.91436767578102</v>
      </c>
      <c r="E557" s="5">
        <f t="shared" si="8"/>
        <v>0.90107572667738944</v>
      </c>
    </row>
    <row r="558" spans="1:5" x14ac:dyDescent="0.25">
      <c r="A558" s="8">
        <v>42480.40625</v>
      </c>
      <c r="B558" s="7">
        <v>417.245361328125</v>
      </c>
      <c r="C558" s="7">
        <v>120.008682250977</v>
      </c>
      <c r="D558" s="7">
        <v>769.38659667968795</v>
      </c>
      <c r="E558" s="5">
        <f t="shared" si="8"/>
        <v>0.90516070197610343</v>
      </c>
    </row>
    <row r="559" spans="1:5" x14ac:dyDescent="0.25">
      <c r="A559" s="8">
        <v>42480.416666666664</v>
      </c>
      <c r="B559" s="7">
        <v>417.67938232421898</v>
      </c>
      <c r="C559" s="7">
        <v>119.097221374512</v>
      </c>
      <c r="D559" s="7">
        <v>748.263916015625</v>
      </c>
      <c r="E559" s="5">
        <f t="shared" si="8"/>
        <v>0.88031048943014711</v>
      </c>
    </row>
    <row r="560" spans="1:5" x14ac:dyDescent="0.25">
      <c r="A560" s="8">
        <v>42480.427083333336</v>
      </c>
      <c r="B560" s="7">
        <v>421.151611328125</v>
      </c>
      <c r="C560" s="7">
        <v>122.54051208496099</v>
      </c>
      <c r="D560" s="7">
        <v>764.17822265625</v>
      </c>
      <c r="E560" s="5">
        <f t="shared" si="8"/>
        <v>0.89903320312500001</v>
      </c>
    </row>
    <row r="561" spans="1:5" x14ac:dyDescent="0.25">
      <c r="A561" s="8">
        <v>42480.4375</v>
      </c>
      <c r="B561" s="7">
        <v>400.31829833984398</v>
      </c>
      <c r="C561" s="7">
        <v>114.43865966796901</v>
      </c>
      <c r="D561" s="7">
        <v>582.754638671875</v>
      </c>
      <c r="E561" s="5">
        <f t="shared" si="8"/>
        <v>0.68559369255514702</v>
      </c>
    </row>
    <row r="562" spans="1:5" x14ac:dyDescent="0.25">
      <c r="A562" s="8">
        <v>42480.447916666664</v>
      </c>
      <c r="B562" s="7">
        <v>374.13195800781301</v>
      </c>
      <c r="C562" s="7">
        <v>104.31134033203099</v>
      </c>
      <c r="D562" s="7">
        <v>540.21990966796898</v>
      </c>
      <c r="E562" s="5">
        <f t="shared" si="8"/>
        <v>0.6355528349034929</v>
      </c>
    </row>
    <row r="563" spans="1:5" x14ac:dyDescent="0.25">
      <c r="A563" s="8">
        <v>42480.458333333336</v>
      </c>
      <c r="B563" s="7">
        <v>359.80902099609398</v>
      </c>
      <c r="C563" s="7">
        <v>99.348960876464801</v>
      </c>
      <c r="D563" s="7">
        <v>506.36575317382801</v>
      </c>
      <c r="E563" s="5">
        <f t="shared" si="8"/>
        <v>0.59572441549862121</v>
      </c>
    </row>
    <row r="564" spans="1:5" x14ac:dyDescent="0.25">
      <c r="A564" s="8">
        <v>42480.46875</v>
      </c>
      <c r="B564" s="7">
        <v>350.839111328125</v>
      </c>
      <c r="C564" s="7">
        <v>95.601852416992202</v>
      </c>
      <c r="D564" s="7">
        <v>501.15740966796898</v>
      </c>
      <c r="E564" s="5">
        <f t="shared" si="8"/>
        <v>0.58959695255055178</v>
      </c>
    </row>
    <row r="565" spans="1:5" x14ac:dyDescent="0.25">
      <c r="A565" s="8">
        <v>42480.479166666664</v>
      </c>
      <c r="B565" s="7">
        <v>346.64352416992199</v>
      </c>
      <c r="C565" s="7">
        <v>93.373840332031307</v>
      </c>
      <c r="D565" s="7">
        <v>521.12268066406295</v>
      </c>
      <c r="E565" s="5">
        <f t="shared" si="8"/>
        <v>0.61308550666360351</v>
      </c>
    </row>
    <row r="566" spans="1:5" x14ac:dyDescent="0.25">
      <c r="A566" s="8">
        <v>42480.489583333336</v>
      </c>
      <c r="B566" s="7">
        <v>343.75</v>
      </c>
      <c r="C566" s="7">
        <v>92.057289123535199</v>
      </c>
      <c r="D566" s="7">
        <v>514.17822265625</v>
      </c>
      <c r="E566" s="5">
        <f t="shared" si="8"/>
        <v>0.60491555606617642</v>
      </c>
    </row>
    <row r="567" spans="1:5" x14ac:dyDescent="0.25">
      <c r="A567" s="8">
        <v>42480.5</v>
      </c>
      <c r="B567" s="7">
        <v>391.20370483398398</v>
      </c>
      <c r="C567" s="7">
        <v>93.677665710449205</v>
      </c>
      <c r="D567" s="7">
        <v>521.12268066406295</v>
      </c>
      <c r="E567" s="5">
        <f t="shared" si="8"/>
        <v>0.61308550666360351</v>
      </c>
    </row>
    <row r="568" spans="1:5" x14ac:dyDescent="0.25">
      <c r="A568" s="8">
        <v>42480.510416666664</v>
      </c>
      <c r="B568" s="7">
        <v>418.11343383789102</v>
      </c>
      <c r="C568" s="7">
        <v>99.348960876464801</v>
      </c>
      <c r="D568" s="7">
        <v>558.44909667968795</v>
      </c>
      <c r="E568" s="5">
        <f t="shared" si="8"/>
        <v>0.65699893727022107</v>
      </c>
    </row>
    <row r="569" spans="1:5" x14ac:dyDescent="0.25">
      <c r="A569" s="8">
        <v>42480.520833333336</v>
      </c>
      <c r="B569" s="7">
        <v>430.70022583007801</v>
      </c>
      <c r="C569" s="7">
        <v>123.75579071044901</v>
      </c>
      <c r="D569" s="7">
        <v>743.34490966796898</v>
      </c>
      <c r="E569" s="5">
        <f t="shared" si="8"/>
        <v>0.87452342313878706</v>
      </c>
    </row>
    <row r="570" spans="1:5" x14ac:dyDescent="0.25">
      <c r="A570" s="8">
        <v>42480.53125</v>
      </c>
      <c r="B570" s="7">
        <v>431.85763549804699</v>
      </c>
      <c r="C570" s="7">
        <v>134.28819274902301</v>
      </c>
      <c r="D570" s="7">
        <v>758.39117431640602</v>
      </c>
      <c r="E570" s="5">
        <f t="shared" si="8"/>
        <v>0.89222491096047762</v>
      </c>
    </row>
    <row r="571" spans="1:5" x14ac:dyDescent="0.25">
      <c r="A571" s="8">
        <v>42480.541666666664</v>
      </c>
      <c r="B571" s="7">
        <v>432.58102416992199</v>
      </c>
      <c r="C571" s="7">
        <v>138.13658142089801</v>
      </c>
      <c r="D571" s="7">
        <v>743.923583984375</v>
      </c>
      <c r="E571" s="5">
        <f t="shared" si="8"/>
        <v>0.87520421645220592</v>
      </c>
    </row>
    <row r="572" spans="1:5" x14ac:dyDescent="0.25">
      <c r="A572" s="8">
        <v>42480.552083333336</v>
      </c>
      <c r="B572" s="7">
        <v>432.870361328125</v>
      </c>
      <c r="C572" s="7">
        <v>141.17477416992199</v>
      </c>
      <c r="D572" s="7">
        <v>655.96063232421898</v>
      </c>
      <c r="E572" s="5">
        <f t="shared" si="8"/>
        <v>0.77171839096966943</v>
      </c>
    </row>
    <row r="573" spans="1:5" x14ac:dyDescent="0.25">
      <c r="A573" s="8">
        <v>42480.5625</v>
      </c>
      <c r="B573" s="7">
        <v>428.964111328125</v>
      </c>
      <c r="C573" s="7">
        <v>144.41551208496099</v>
      </c>
      <c r="D573" s="7">
        <v>823.495361328125</v>
      </c>
      <c r="E573" s="5">
        <f t="shared" si="8"/>
        <v>0.96881807215073534</v>
      </c>
    </row>
    <row r="574" spans="1:5" x14ac:dyDescent="0.25">
      <c r="A574" s="8">
        <v>42480.572916666664</v>
      </c>
      <c r="B574" s="7">
        <v>427.66204833984398</v>
      </c>
      <c r="C574" s="7">
        <v>145.83332824707</v>
      </c>
      <c r="D574" s="7">
        <v>822.33795166015602</v>
      </c>
      <c r="E574" s="5">
        <f t="shared" si="8"/>
        <v>0.96745641371783064</v>
      </c>
    </row>
    <row r="575" spans="1:5" x14ac:dyDescent="0.25">
      <c r="A575" s="8">
        <v>42480.583333333336</v>
      </c>
      <c r="B575" s="7">
        <v>427.37268066406301</v>
      </c>
      <c r="C575" s="7">
        <v>147.04861450195301</v>
      </c>
      <c r="D575" s="7">
        <v>817.70831298828102</v>
      </c>
      <c r="E575" s="5">
        <f t="shared" si="8"/>
        <v>0.96200977998621295</v>
      </c>
    </row>
    <row r="576" spans="1:5" x14ac:dyDescent="0.25">
      <c r="A576" s="8">
        <v>42480.59375</v>
      </c>
      <c r="B576" s="7">
        <v>433.59375</v>
      </c>
      <c r="C576" s="7">
        <v>141.98495483398401</v>
      </c>
      <c r="D576" s="7">
        <v>690.682861328125</v>
      </c>
      <c r="E576" s="5">
        <f t="shared" si="8"/>
        <v>0.81256807215073534</v>
      </c>
    </row>
    <row r="577" spans="1:5" x14ac:dyDescent="0.25">
      <c r="A577" s="8">
        <v>42480.604166666664</v>
      </c>
      <c r="B577" s="7">
        <v>413.62847900390602</v>
      </c>
      <c r="C577" s="7">
        <v>129.02198791503901</v>
      </c>
      <c r="D577" s="7">
        <v>701.96759033203102</v>
      </c>
      <c r="E577" s="5">
        <f t="shared" si="8"/>
        <v>0.82584422392003654</v>
      </c>
    </row>
    <row r="578" spans="1:5" x14ac:dyDescent="0.25">
      <c r="A578" s="8">
        <v>42480.614583333336</v>
      </c>
      <c r="B578" s="7">
        <v>430.55554199218801</v>
      </c>
      <c r="C578" s="7">
        <v>133.57928466796901</v>
      </c>
      <c r="D578" s="7">
        <v>742.1875</v>
      </c>
      <c r="E578" s="5">
        <f t="shared" si="8"/>
        <v>0.87316176470588236</v>
      </c>
    </row>
    <row r="579" spans="1:5" x14ac:dyDescent="0.25">
      <c r="A579" s="8">
        <v>42480.625</v>
      </c>
      <c r="B579" s="7">
        <v>433.44906616210898</v>
      </c>
      <c r="C579" s="7">
        <v>139.453125</v>
      </c>
      <c r="D579" s="7">
        <v>725.11572265625</v>
      </c>
      <c r="E579" s="5">
        <f t="shared" ref="E579:E642" si="9">+D579/850</f>
        <v>0.85307732077205878</v>
      </c>
    </row>
    <row r="580" spans="1:5" x14ac:dyDescent="0.25">
      <c r="A580" s="8">
        <v>42480.635416666664</v>
      </c>
      <c r="B580" s="7">
        <v>431.71295166015602</v>
      </c>
      <c r="C580" s="7">
        <v>140.66841125488301</v>
      </c>
      <c r="D580" s="7">
        <v>745.370361328125</v>
      </c>
      <c r="E580" s="5">
        <f t="shared" si="9"/>
        <v>0.87690630744485298</v>
      </c>
    </row>
    <row r="581" spans="1:5" x14ac:dyDescent="0.25">
      <c r="A581" s="8">
        <v>42480.645833333336</v>
      </c>
      <c r="B581" s="7">
        <v>426.79397583007801</v>
      </c>
      <c r="C581" s="7">
        <v>131.35127258300801</v>
      </c>
      <c r="D581" s="7">
        <v>707.17590332031295</v>
      </c>
      <c r="E581" s="5">
        <f t="shared" si="9"/>
        <v>0.83197165096507408</v>
      </c>
    </row>
    <row r="582" spans="1:5" x14ac:dyDescent="0.25">
      <c r="A582" s="8">
        <v>42480.65625</v>
      </c>
      <c r="B582" s="7">
        <v>411.74768066406301</v>
      </c>
      <c r="C582" s="7">
        <v>118.99594879150401</v>
      </c>
      <c r="D582" s="7">
        <v>608.79626464843795</v>
      </c>
      <c r="E582" s="5">
        <f t="shared" si="9"/>
        <v>0.71623089958639763</v>
      </c>
    </row>
    <row r="583" spans="1:5" x14ac:dyDescent="0.25">
      <c r="A583" s="8">
        <v>42480.666666666664</v>
      </c>
      <c r="B583" s="7">
        <v>432.72570800781301</v>
      </c>
      <c r="C583" s="7">
        <v>125.98379516601599</v>
      </c>
      <c r="D583" s="7">
        <v>697.048583984375</v>
      </c>
      <c r="E583" s="5">
        <f t="shared" si="9"/>
        <v>0.82005715762867648</v>
      </c>
    </row>
    <row r="584" spans="1:5" x14ac:dyDescent="0.25">
      <c r="A584" s="8">
        <v>42480.677083333336</v>
      </c>
      <c r="B584" s="7">
        <v>436.19790649414102</v>
      </c>
      <c r="C584" s="7">
        <v>134.79455566406301</v>
      </c>
      <c r="D584" s="7">
        <v>687.21063232421898</v>
      </c>
      <c r="E584" s="5">
        <f t="shared" si="9"/>
        <v>0.80848309685202235</v>
      </c>
    </row>
    <row r="585" spans="1:5" x14ac:dyDescent="0.25">
      <c r="A585" s="8">
        <v>42480.6875</v>
      </c>
      <c r="B585" s="7">
        <v>433.59375</v>
      </c>
      <c r="C585" s="7">
        <v>129.629638671875</v>
      </c>
      <c r="D585" s="7">
        <v>648.72686767578102</v>
      </c>
      <c r="E585" s="5">
        <f t="shared" si="9"/>
        <v>0.76320807961856596</v>
      </c>
    </row>
    <row r="586" spans="1:5" x14ac:dyDescent="0.25">
      <c r="A586" s="8">
        <v>42480.697916666664</v>
      </c>
      <c r="B586" s="7">
        <v>438.51272583007801</v>
      </c>
      <c r="C586" s="7">
        <v>135.098388671875</v>
      </c>
      <c r="D586" s="7">
        <v>652.77777099609398</v>
      </c>
      <c r="E586" s="5">
        <f t="shared" si="9"/>
        <v>0.76797384823069881</v>
      </c>
    </row>
    <row r="587" spans="1:5" x14ac:dyDescent="0.25">
      <c r="A587" s="8">
        <v>42480.708333333336</v>
      </c>
      <c r="B587" s="7">
        <v>436.34259033203102</v>
      </c>
      <c r="C587" s="7">
        <v>135.80729675293</v>
      </c>
      <c r="D587" s="7">
        <v>684.89581298828102</v>
      </c>
      <c r="E587" s="5">
        <f t="shared" si="9"/>
        <v>0.80575977998621295</v>
      </c>
    </row>
    <row r="588" spans="1:5" x14ac:dyDescent="0.25">
      <c r="A588" s="8">
        <v>42480.71875</v>
      </c>
      <c r="B588" s="7">
        <v>435.61920166015602</v>
      </c>
      <c r="C588" s="7">
        <v>138.744216918945</v>
      </c>
      <c r="D588" s="7">
        <v>727.43054199218795</v>
      </c>
      <c r="E588" s="5">
        <f t="shared" si="9"/>
        <v>0.85580063763786818</v>
      </c>
    </row>
    <row r="589" spans="1:5" x14ac:dyDescent="0.25">
      <c r="A589" s="8">
        <v>42480.729166666664</v>
      </c>
      <c r="B589" s="7">
        <v>432.14700317382801</v>
      </c>
      <c r="C589" s="7">
        <v>143.20022583007801</v>
      </c>
      <c r="D589" s="7">
        <v>774.30554199218795</v>
      </c>
      <c r="E589" s="5">
        <f t="shared" si="9"/>
        <v>0.91094769646139762</v>
      </c>
    </row>
    <row r="590" spans="1:5" x14ac:dyDescent="0.25">
      <c r="A590" s="8">
        <v>42480.739583333336</v>
      </c>
      <c r="B590" s="7">
        <v>431.71295166015602</v>
      </c>
      <c r="C590" s="7">
        <v>144.41551208496099</v>
      </c>
      <c r="D590" s="7">
        <v>773.14813232421898</v>
      </c>
      <c r="E590" s="5">
        <f t="shared" si="9"/>
        <v>0.90958603802849292</v>
      </c>
    </row>
    <row r="591" spans="1:5" x14ac:dyDescent="0.25">
      <c r="A591" s="8">
        <v>42480.75</v>
      </c>
      <c r="B591" s="7">
        <v>430.26620483398398</v>
      </c>
      <c r="C591" s="7">
        <v>145.52951049804699</v>
      </c>
      <c r="D591" s="7">
        <v>810.47454833984398</v>
      </c>
      <c r="E591" s="5">
        <f t="shared" si="9"/>
        <v>0.95349946863511059</v>
      </c>
    </row>
    <row r="592" spans="1:5" x14ac:dyDescent="0.25">
      <c r="A592" s="8">
        <v>42480.760416666664</v>
      </c>
      <c r="B592" s="7">
        <v>437.06597900390602</v>
      </c>
      <c r="C592" s="7">
        <v>141.88368225097699</v>
      </c>
      <c r="D592" s="7">
        <v>671.875</v>
      </c>
      <c r="E592" s="5">
        <f t="shared" si="9"/>
        <v>0.7904411764705882</v>
      </c>
    </row>
    <row r="593" spans="1:5" x14ac:dyDescent="0.25">
      <c r="A593" s="8">
        <v>42480.770833333336</v>
      </c>
      <c r="B593" s="7">
        <v>437.21063232421898</v>
      </c>
      <c r="C593" s="7">
        <v>140.46585083007801</v>
      </c>
      <c r="D593" s="7">
        <v>675.92590332031295</v>
      </c>
      <c r="E593" s="5">
        <f t="shared" si="9"/>
        <v>0.79520694508272116</v>
      </c>
    </row>
    <row r="594" spans="1:5" x14ac:dyDescent="0.25">
      <c r="A594" s="8">
        <v>42480.78125</v>
      </c>
      <c r="B594" s="7">
        <v>436.48727416992199</v>
      </c>
      <c r="C594" s="7">
        <v>140.46585083007801</v>
      </c>
      <c r="D594" s="7">
        <v>679.10876464843795</v>
      </c>
      <c r="E594" s="5">
        <f t="shared" si="9"/>
        <v>0.79895148782169167</v>
      </c>
    </row>
    <row r="595" spans="1:5" x14ac:dyDescent="0.25">
      <c r="A595" s="8">
        <v>42480.791666666664</v>
      </c>
      <c r="B595" s="7">
        <v>436.92129516601602</v>
      </c>
      <c r="C595" s="7">
        <v>140.162033081055</v>
      </c>
      <c r="D595" s="7">
        <v>661.74768066406295</v>
      </c>
      <c r="E595" s="5">
        <f t="shared" si="9"/>
        <v>0.77852668313419171</v>
      </c>
    </row>
    <row r="596" spans="1:5" x14ac:dyDescent="0.25">
      <c r="A596" s="8">
        <v>42480.802083333336</v>
      </c>
      <c r="B596" s="7">
        <v>436.776611328125</v>
      </c>
      <c r="C596" s="7">
        <v>139.95948791503901</v>
      </c>
      <c r="D596" s="7">
        <v>716.14581298828102</v>
      </c>
      <c r="E596" s="5">
        <f t="shared" si="9"/>
        <v>0.84252448586856588</v>
      </c>
    </row>
    <row r="597" spans="1:5" x14ac:dyDescent="0.25">
      <c r="A597" s="8">
        <v>42480.8125</v>
      </c>
      <c r="B597" s="7">
        <v>437.78933715820301</v>
      </c>
      <c r="C597" s="7">
        <v>139.75694274902301</v>
      </c>
      <c r="D597" s="7">
        <v>679.97686767578102</v>
      </c>
      <c r="E597" s="5">
        <f t="shared" si="9"/>
        <v>0.79997278550091888</v>
      </c>
    </row>
    <row r="598" spans="1:5" x14ac:dyDescent="0.25">
      <c r="A598" s="8">
        <v>42480.822916666664</v>
      </c>
      <c r="B598" s="7">
        <v>437.78933715820301</v>
      </c>
      <c r="C598" s="7">
        <v>139.453125</v>
      </c>
      <c r="D598" s="7">
        <v>688.94677734375</v>
      </c>
      <c r="E598" s="5">
        <f t="shared" si="9"/>
        <v>0.81052562040441178</v>
      </c>
    </row>
    <row r="599" spans="1:5" x14ac:dyDescent="0.25">
      <c r="A599" s="8">
        <v>42480.833333333336</v>
      </c>
      <c r="B599" s="7">
        <v>431.85763549804699</v>
      </c>
      <c r="C599" s="7">
        <v>142.896408081055</v>
      </c>
      <c r="D599" s="7">
        <v>787.326416015625</v>
      </c>
      <c r="E599" s="5">
        <f t="shared" si="9"/>
        <v>0.92626637178308824</v>
      </c>
    </row>
    <row r="600" spans="1:5" x14ac:dyDescent="0.25">
      <c r="A600" s="8">
        <v>42480.84375</v>
      </c>
      <c r="B600" s="7">
        <v>431.13424682617199</v>
      </c>
      <c r="C600" s="7">
        <v>144.41551208496099</v>
      </c>
      <c r="D600" s="7">
        <v>775.46295166015602</v>
      </c>
      <c r="E600" s="5">
        <f t="shared" si="9"/>
        <v>0.91230935489430121</v>
      </c>
    </row>
    <row r="601" spans="1:5" x14ac:dyDescent="0.25">
      <c r="A601" s="8">
        <v>42480.854166666664</v>
      </c>
      <c r="B601" s="7">
        <v>431.13424682617199</v>
      </c>
      <c r="C601" s="7">
        <v>144.41551208496099</v>
      </c>
      <c r="D601" s="7">
        <v>768.51849365234398</v>
      </c>
      <c r="E601" s="5">
        <f t="shared" si="9"/>
        <v>0.90413940429687523</v>
      </c>
    </row>
    <row r="602" spans="1:5" x14ac:dyDescent="0.25">
      <c r="A602" s="8">
        <v>42480.864583333336</v>
      </c>
      <c r="B602" s="7">
        <v>431.85763549804699</v>
      </c>
      <c r="C602" s="7">
        <v>144.41551208496099</v>
      </c>
      <c r="D602" s="7">
        <v>762.442138671875</v>
      </c>
      <c r="E602" s="5">
        <f t="shared" si="9"/>
        <v>0.89699075137867645</v>
      </c>
    </row>
    <row r="603" spans="1:5" x14ac:dyDescent="0.25">
      <c r="A603" s="8">
        <v>42480.875</v>
      </c>
      <c r="B603" s="7">
        <v>432.58102416992199</v>
      </c>
      <c r="C603" s="7">
        <v>144.51678466796901</v>
      </c>
      <c r="D603" s="7">
        <v>761.28472900390602</v>
      </c>
      <c r="E603" s="5">
        <f t="shared" si="9"/>
        <v>0.89562909294577175</v>
      </c>
    </row>
    <row r="604" spans="1:5" x14ac:dyDescent="0.25">
      <c r="A604" s="8">
        <v>42480.885416666664</v>
      </c>
      <c r="B604" s="7">
        <v>433.15972900390602</v>
      </c>
      <c r="C604" s="7">
        <v>144.41551208496099</v>
      </c>
      <c r="D604" s="7">
        <v>753.47222900390602</v>
      </c>
      <c r="E604" s="5">
        <f t="shared" si="9"/>
        <v>0.88643791647518355</v>
      </c>
    </row>
    <row r="605" spans="1:5" x14ac:dyDescent="0.25">
      <c r="A605" s="8">
        <v>42480.895833333336</v>
      </c>
      <c r="B605" s="7">
        <v>436.05325317382801</v>
      </c>
      <c r="C605" s="7">
        <v>143.20022583007801</v>
      </c>
      <c r="D605" s="7">
        <v>716.14581298828102</v>
      </c>
      <c r="E605" s="5">
        <f t="shared" si="9"/>
        <v>0.84252448586856588</v>
      </c>
    </row>
    <row r="606" spans="1:5" x14ac:dyDescent="0.25">
      <c r="A606" s="8">
        <v>42480.90625</v>
      </c>
      <c r="B606" s="7">
        <v>437.06597900390602</v>
      </c>
      <c r="C606" s="7">
        <v>142.79513549804699</v>
      </c>
      <c r="D606" s="7">
        <v>694.15509033203102</v>
      </c>
      <c r="E606" s="5">
        <f t="shared" si="9"/>
        <v>0.81665304744944822</v>
      </c>
    </row>
    <row r="607" spans="1:5" x14ac:dyDescent="0.25">
      <c r="A607" s="8">
        <v>42480.916666666664</v>
      </c>
      <c r="B607" s="7">
        <v>437.5</v>
      </c>
      <c r="C607" s="7">
        <v>142.69386291503901</v>
      </c>
      <c r="D607" s="7">
        <v>687.78936767578102</v>
      </c>
      <c r="E607" s="5">
        <f t="shared" si="9"/>
        <v>0.80916396197150708</v>
      </c>
    </row>
    <row r="608" spans="1:5" x14ac:dyDescent="0.25">
      <c r="A608" s="8">
        <v>42480.927083333336</v>
      </c>
      <c r="B608" s="7">
        <v>439.23611450195301</v>
      </c>
      <c r="C608" s="7">
        <v>141.68113708496099</v>
      </c>
      <c r="D608" s="7">
        <v>647.85876464843795</v>
      </c>
      <c r="E608" s="5">
        <f t="shared" si="9"/>
        <v>0.76218678193933875</v>
      </c>
    </row>
    <row r="609" spans="1:5" x14ac:dyDescent="0.25">
      <c r="A609" s="8">
        <v>42480.9375</v>
      </c>
      <c r="B609" s="7">
        <v>440.53820800781301</v>
      </c>
      <c r="C609" s="7">
        <v>140.36457824707</v>
      </c>
      <c r="D609" s="7">
        <v>637.73150634765602</v>
      </c>
      <c r="E609" s="5">
        <f t="shared" si="9"/>
        <v>0.75027236040900713</v>
      </c>
    </row>
    <row r="610" spans="1:5" x14ac:dyDescent="0.25">
      <c r="A610" s="8">
        <v>42480.947916666664</v>
      </c>
      <c r="B610" s="7">
        <v>441.26156616210898</v>
      </c>
      <c r="C610" s="7">
        <v>139.14930725097699</v>
      </c>
      <c r="D610" s="7">
        <v>636.86340332031295</v>
      </c>
      <c r="E610" s="5">
        <f t="shared" si="9"/>
        <v>0.74925106272977993</v>
      </c>
    </row>
    <row r="611" spans="1:5" x14ac:dyDescent="0.25">
      <c r="A611" s="8">
        <v>42480.958333333336</v>
      </c>
      <c r="B611" s="7">
        <v>443.43170166015602</v>
      </c>
      <c r="C611" s="7">
        <v>137.427658081055</v>
      </c>
      <c r="D611" s="7">
        <v>585.64813232421898</v>
      </c>
      <c r="E611" s="5">
        <f t="shared" si="9"/>
        <v>0.68899780273437528</v>
      </c>
    </row>
    <row r="612" spans="1:5" x14ac:dyDescent="0.25">
      <c r="A612" s="8">
        <v>42480.96875</v>
      </c>
      <c r="B612" s="7">
        <v>444.44445800781301</v>
      </c>
      <c r="C612" s="7">
        <v>135.098388671875</v>
      </c>
      <c r="D612" s="7">
        <v>571.75927734375</v>
      </c>
      <c r="E612" s="5">
        <f t="shared" si="9"/>
        <v>0.67265797334558819</v>
      </c>
    </row>
    <row r="613" spans="1:5" x14ac:dyDescent="0.25">
      <c r="A613" s="8">
        <v>42480.979166666664</v>
      </c>
      <c r="B613" s="7">
        <v>445.89120483398398</v>
      </c>
      <c r="C613" s="7">
        <v>133.275466918945</v>
      </c>
      <c r="D613" s="7">
        <v>542.53472900390602</v>
      </c>
      <c r="E613" s="5">
        <f t="shared" si="9"/>
        <v>0.63827615176930119</v>
      </c>
    </row>
    <row r="614" spans="1:5" x14ac:dyDescent="0.25">
      <c r="A614" s="8">
        <v>42480.989583333336</v>
      </c>
      <c r="B614" s="7">
        <v>445.45718383789102</v>
      </c>
      <c r="C614" s="7">
        <v>132.87037658691401</v>
      </c>
      <c r="D614" s="7">
        <v>572.62731933593795</v>
      </c>
      <c r="E614" s="5">
        <f t="shared" si="9"/>
        <v>0.67367919921875052</v>
      </c>
    </row>
    <row r="615" spans="1:5" x14ac:dyDescent="0.25">
      <c r="A615" s="8">
        <v>42481</v>
      </c>
      <c r="B615" s="7">
        <v>446.18054199218801</v>
      </c>
      <c r="C615" s="7">
        <v>132.56655883789099</v>
      </c>
      <c r="D615" s="7">
        <v>541.37731933593795</v>
      </c>
      <c r="E615" s="5">
        <f t="shared" si="9"/>
        <v>0.6369144933363976</v>
      </c>
    </row>
    <row r="616" spans="1:5" x14ac:dyDescent="0.25">
      <c r="A616" s="8">
        <v>42481.010416666664</v>
      </c>
      <c r="B616" s="7">
        <v>445.60183715820301</v>
      </c>
      <c r="C616" s="7">
        <v>131.75636291503901</v>
      </c>
      <c r="D616" s="7">
        <v>562.5</v>
      </c>
      <c r="E616" s="5">
        <f t="shared" si="9"/>
        <v>0.66176470588235292</v>
      </c>
    </row>
    <row r="617" spans="1:5" x14ac:dyDescent="0.25">
      <c r="A617" s="8">
        <v>42481.020833333336</v>
      </c>
      <c r="B617" s="7">
        <v>445.60183715820301</v>
      </c>
      <c r="C617" s="7">
        <v>131.65509033203099</v>
      </c>
      <c r="D617" s="7">
        <v>561.34259033203102</v>
      </c>
      <c r="E617" s="5">
        <f t="shared" si="9"/>
        <v>0.66040304744944822</v>
      </c>
    </row>
    <row r="618" spans="1:5" x14ac:dyDescent="0.25">
      <c r="A618" s="8">
        <v>42481.03125</v>
      </c>
      <c r="B618" s="7">
        <v>446.18054199218801</v>
      </c>
      <c r="C618" s="7">
        <v>131.55381774902301</v>
      </c>
      <c r="D618" s="7">
        <v>553.24072265625</v>
      </c>
      <c r="E618" s="5">
        <f t="shared" si="9"/>
        <v>0.65087143841911765</v>
      </c>
    </row>
    <row r="619" spans="1:5" x14ac:dyDescent="0.25">
      <c r="A619" s="8">
        <v>42481.041666666664</v>
      </c>
      <c r="B619" s="7">
        <v>445.89120483398398</v>
      </c>
      <c r="C619" s="7">
        <v>131.04745483398401</v>
      </c>
      <c r="D619" s="7">
        <v>549.47918701171898</v>
      </c>
      <c r="E619" s="5">
        <f t="shared" si="9"/>
        <v>0.64644610236672817</v>
      </c>
    </row>
    <row r="620" spans="1:5" x14ac:dyDescent="0.25">
      <c r="A620" s="8">
        <v>42481.052083333336</v>
      </c>
      <c r="B620" s="7">
        <v>445.89120483398398</v>
      </c>
      <c r="C620" s="7">
        <v>130.33854675293</v>
      </c>
      <c r="D620" s="7">
        <v>549.47918701171898</v>
      </c>
      <c r="E620" s="5">
        <f t="shared" si="9"/>
        <v>0.64644610236672817</v>
      </c>
    </row>
    <row r="621" spans="1:5" x14ac:dyDescent="0.25">
      <c r="A621" s="8">
        <v>42481.0625</v>
      </c>
      <c r="B621" s="7">
        <v>446.61459350585898</v>
      </c>
      <c r="C621" s="7">
        <v>129.83218383789099</v>
      </c>
      <c r="D621" s="7">
        <v>528.35650634765602</v>
      </c>
      <c r="E621" s="5">
        <f t="shared" si="9"/>
        <v>0.62159588982077174</v>
      </c>
    </row>
    <row r="622" spans="1:5" x14ac:dyDescent="0.25">
      <c r="A622" s="8">
        <v>42481.072916666664</v>
      </c>
      <c r="B622" s="7">
        <v>446.46990966796898</v>
      </c>
      <c r="C622" s="7">
        <v>129.83218383789099</v>
      </c>
      <c r="D622" s="7">
        <v>541.37731933593795</v>
      </c>
      <c r="E622" s="5">
        <f t="shared" si="9"/>
        <v>0.6369144933363976</v>
      </c>
    </row>
    <row r="623" spans="1:5" x14ac:dyDescent="0.25">
      <c r="A623" s="8">
        <v>42481.083333333336</v>
      </c>
      <c r="B623" s="7">
        <v>446.32522583007801</v>
      </c>
      <c r="C623" s="7">
        <v>130.03472900390599</v>
      </c>
      <c r="D623" s="7">
        <v>538.48376464843795</v>
      </c>
      <c r="E623" s="5">
        <f t="shared" si="9"/>
        <v>0.63351031135110347</v>
      </c>
    </row>
    <row r="624" spans="1:5" x14ac:dyDescent="0.25">
      <c r="A624" s="8">
        <v>42481.09375</v>
      </c>
      <c r="B624" s="7">
        <v>446.61459350585898</v>
      </c>
      <c r="C624" s="7">
        <v>129.73091125488301</v>
      </c>
      <c r="D624" s="7">
        <v>538.48376464843795</v>
      </c>
      <c r="E624" s="5">
        <f t="shared" si="9"/>
        <v>0.63351031135110347</v>
      </c>
    </row>
    <row r="625" spans="1:5" x14ac:dyDescent="0.25">
      <c r="A625" s="8">
        <v>42481.104166666664</v>
      </c>
      <c r="B625" s="7">
        <v>446.46990966796898</v>
      </c>
      <c r="C625" s="7">
        <v>129.73091125488301</v>
      </c>
      <c r="D625" s="7">
        <v>534.14349365234398</v>
      </c>
      <c r="E625" s="5">
        <f t="shared" si="9"/>
        <v>0.62840411017922826</v>
      </c>
    </row>
    <row r="626" spans="1:5" x14ac:dyDescent="0.25">
      <c r="A626" s="8">
        <v>42481.114583333336</v>
      </c>
      <c r="B626" s="7">
        <v>447.04861450195301</v>
      </c>
      <c r="C626" s="7">
        <v>129.224533081055</v>
      </c>
      <c r="D626" s="7">
        <v>529.513916015625</v>
      </c>
      <c r="E626" s="5">
        <f t="shared" si="9"/>
        <v>0.62295754825367644</v>
      </c>
    </row>
    <row r="627" spans="1:5" x14ac:dyDescent="0.25">
      <c r="A627" s="8">
        <v>42481.125</v>
      </c>
      <c r="B627" s="7">
        <v>446.18054199218801</v>
      </c>
      <c r="C627" s="7">
        <v>128.11053466796901</v>
      </c>
      <c r="D627" s="7">
        <v>527.19909667968795</v>
      </c>
      <c r="E627" s="5">
        <f t="shared" si="9"/>
        <v>0.62023423138786815</v>
      </c>
    </row>
    <row r="628" spans="1:5" x14ac:dyDescent="0.25">
      <c r="A628" s="8">
        <v>42481.135416666664</v>
      </c>
      <c r="B628" s="7">
        <v>445.45718383789102</v>
      </c>
      <c r="C628" s="7">
        <v>127.09780120849599</v>
      </c>
      <c r="D628" s="7">
        <v>533.56481933593795</v>
      </c>
      <c r="E628" s="5">
        <f t="shared" si="9"/>
        <v>0.6277233168658094</v>
      </c>
    </row>
    <row r="629" spans="1:5" x14ac:dyDescent="0.25">
      <c r="A629" s="8">
        <v>42481.145833333336</v>
      </c>
      <c r="B629" s="7">
        <v>445.89120483398398</v>
      </c>
      <c r="C629" s="7">
        <v>127.19907379150401</v>
      </c>
      <c r="D629" s="7">
        <v>530.09259033203102</v>
      </c>
      <c r="E629" s="5">
        <f t="shared" si="9"/>
        <v>0.6236383415670953</v>
      </c>
    </row>
    <row r="630" spans="1:5" x14ac:dyDescent="0.25">
      <c r="A630" s="8">
        <v>42481.15625</v>
      </c>
      <c r="B630" s="7">
        <v>447.04861450195301</v>
      </c>
      <c r="C630" s="7">
        <v>128.11053466796901</v>
      </c>
      <c r="D630" s="7">
        <v>530.09259033203102</v>
      </c>
      <c r="E630" s="5">
        <f t="shared" si="9"/>
        <v>0.6236383415670953</v>
      </c>
    </row>
    <row r="631" spans="1:5" x14ac:dyDescent="0.25">
      <c r="A631" s="8">
        <v>42481.166666666664</v>
      </c>
      <c r="B631" s="7">
        <v>447.33795166015602</v>
      </c>
      <c r="C631" s="7">
        <v>128.515625</v>
      </c>
      <c r="D631" s="7">
        <v>533.56481933593795</v>
      </c>
      <c r="E631" s="5">
        <f t="shared" si="9"/>
        <v>0.6277233168658094</v>
      </c>
    </row>
    <row r="632" spans="1:5" x14ac:dyDescent="0.25">
      <c r="A632" s="8">
        <v>42481.177083333336</v>
      </c>
      <c r="B632" s="7">
        <v>445.45718383789102</v>
      </c>
      <c r="C632" s="7">
        <v>128.71817016601599</v>
      </c>
      <c r="D632" s="7">
        <v>562.5</v>
      </c>
      <c r="E632" s="5">
        <f t="shared" si="9"/>
        <v>0.66176470588235292</v>
      </c>
    </row>
    <row r="633" spans="1:5" x14ac:dyDescent="0.25">
      <c r="A633" s="8">
        <v>42481.1875</v>
      </c>
      <c r="B633" s="7">
        <v>445.74652099609398</v>
      </c>
      <c r="C633" s="7">
        <v>129.73091125488301</v>
      </c>
      <c r="D633" s="7">
        <v>556.13427734375</v>
      </c>
      <c r="E633" s="5">
        <f t="shared" si="9"/>
        <v>0.65427562040441178</v>
      </c>
    </row>
    <row r="634" spans="1:5" x14ac:dyDescent="0.25">
      <c r="A634" s="8">
        <v>42481.197916666664</v>
      </c>
      <c r="B634" s="7">
        <v>445.45718383789102</v>
      </c>
      <c r="C634" s="7">
        <v>131.65509033203099</v>
      </c>
      <c r="D634" s="7">
        <v>587.38427734375</v>
      </c>
      <c r="E634" s="5">
        <f t="shared" si="9"/>
        <v>0.69104032628676471</v>
      </c>
    </row>
    <row r="635" spans="1:5" x14ac:dyDescent="0.25">
      <c r="A635" s="8">
        <v>42481.208333333336</v>
      </c>
      <c r="B635" s="7">
        <v>444.73379516601602</v>
      </c>
      <c r="C635" s="7">
        <v>133.17419433593801</v>
      </c>
      <c r="D635" s="7">
        <v>598.66900634765602</v>
      </c>
      <c r="E635" s="5">
        <f t="shared" si="9"/>
        <v>0.7043164780560659</v>
      </c>
    </row>
    <row r="636" spans="1:5" x14ac:dyDescent="0.25">
      <c r="A636" s="8">
        <v>42481.21875</v>
      </c>
      <c r="B636" s="7">
        <v>444.87847900390602</v>
      </c>
      <c r="C636" s="7">
        <v>134.08564758300801</v>
      </c>
      <c r="D636" s="7">
        <v>577.54626464843795</v>
      </c>
      <c r="E636" s="5">
        <f t="shared" si="9"/>
        <v>0.67946619370404471</v>
      </c>
    </row>
    <row r="637" spans="1:5" x14ac:dyDescent="0.25">
      <c r="A637" s="8">
        <v>42481.229166666664</v>
      </c>
      <c r="B637" s="7">
        <v>444.73379516601602</v>
      </c>
      <c r="C637" s="7">
        <v>133.88310241699199</v>
      </c>
      <c r="D637" s="7">
        <v>592.30322265625</v>
      </c>
      <c r="E637" s="5">
        <f t="shared" si="9"/>
        <v>0.69682732077205878</v>
      </c>
    </row>
    <row r="638" spans="1:5" x14ac:dyDescent="0.25">
      <c r="A638" s="8">
        <v>42481.239583333336</v>
      </c>
      <c r="B638" s="7">
        <v>445.02313232421898</v>
      </c>
      <c r="C638" s="7">
        <v>134.18692016601599</v>
      </c>
      <c r="D638" s="7">
        <v>574.36340332031295</v>
      </c>
      <c r="E638" s="5">
        <f t="shared" si="9"/>
        <v>0.67572165096507408</v>
      </c>
    </row>
    <row r="639" spans="1:5" x14ac:dyDescent="0.25">
      <c r="A639" s="8">
        <v>42481.25</v>
      </c>
      <c r="B639" s="7">
        <v>444.15509033203102</v>
      </c>
      <c r="C639" s="7">
        <v>134.38946533203099</v>
      </c>
      <c r="D639" s="7">
        <v>599.53704833984398</v>
      </c>
      <c r="E639" s="5">
        <f t="shared" si="9"/>
        <v>0.70533770392922823</v>
      </c>
    </row>
    <row r="640" spans="1:5" x14ac:dyDescent="0.25">
      <c r="A640" s="8">
        <v>42481.260416666664</v>
      </c>
      <c r="B640" s="7">
        <v>427.37268066406301</v>
      </c>
      <c r="C640" s="7">
        <v>126.591438293457</v>
      </c>
      <c r="D640" s="7">
        <v>597.51159667968795</v>
      </c>
      <c r="E640" s="5">
        <f t="shared" si="9"/>
        <v>0.70295481962316231</v>
      </c>
    </row>
    <row r="641" spans="1:5" x14ac:dyDescent="0.25">
      <c r="A641" s="8">
        <v>42481.270833333336</v>
      </c>
      <c r="B641" s="7">
        <v>441.84027099609398</v>
      </c>
      <c r="C641" s="7">
        <v>130.64236450195301</v>
      </c>
      <c r="D641" s="7">
        <v>601.5625</v>
      </c>
      <c r="E641" s="5">
        <f t="shared" si="9"/>
        <v>0.70772058823529416</v>
      </c>
    </row>
    <row r="642" spans="1:5" x14ac:dyDescent="0.25">
      <c r="A642" s="8">
        <v>42481.28125</v>
      </c>
      <c r="B642" s="7">
        <v>442.129638671875</v>
      </c>
      <c r="C642" s="7">
        <v>135.40220642089801</v>
      </c>
      <c r="D642" s="7">
        <v>619.50231933593795</v>
      </c>
      <c r="E642" s="5">
        <f t="shared" si="9"/>
        <v>0.72882625804227996</v>
      </c>
    </row>
    <row r="643" spans="1:5" x14ac:dyDescent="0.25">
      <c r="A643" s="8">
        <v>42481.291666666664</v>
      </c>
      <c r="B643" s="7">
        <v>436.34259033203102</v>
      </c>
      <c r="C643" s="7">
        <v>127.502891540527</v>
      </c>
      <c r="D643" s="7">
        <v>614.58331298828102</v>
      </c>
      <c r="E643" s="5">
        <f t="shared" ref="E643:E706" si="10">+D643/850</f>
        <v>0.7230391917509188</v>
      </c>
    </row>
    <row r="644" spans="1:5" x14ac:dyDescent="0.25">
      <c r="A644" s="8">
        <v>42481.302083333336</v>
      </c>
      <c r="B644" s="7">
        <v>431.13424682617199</v>
      </c>
      <c r="C644" s="7">
        <v>129.629638671875</v>
      </c>
      <c r="D644" s="7">
        <v>653.93518066406295</v>
      </c>
      <c r="E644" s="5">
        <f t="shared" si="10"/>
        <v>0.76933550666360351</v>
      </c>
    </row>
    <row r="645" spans="1:5" x14ac:dyDescent="0.25">
      <c r="A645" s="8">
        <v>42481.3125</v>
      </c>
      <c r="B645" s="7">
        <v>431.42361450195301</v>
      </c>
      <c r="C645" s="7">
        <v>125.98379516601599</v>
      </c>
      <c r="D645" s="7">
        <v>662.90509033203102</v>
      </c>
      <c r="E645" s="5">
        <f t="shared" si="10"/>
        <v>0.7798883415670953</v>
      </c>
    </row>
    <row r="646" spans="1:5" x14ac:dyDescent="0.25">
      <c r="A646" s="8">
        <v>42481.322916666664</v>
      </c>
      <c r="B646" s="7">
        <v>424.18981933593801</v>
      </c>
      <c r="C646" s="7">
        <v>122.945602416992</v>
      </c>
      <c r="D646" s="7">
        <v>698.78472900390602</v>
      </c>
      <c r="E646" s="5">
        <f t="shared" si="10"/>
        <v>0.82209968118106591</v>
      </c>
    </row>
    <row r="647" spans="1:5" x14ac:dyDescent="0.25">
      <c r="A647" s="8">
        <v>42481.333333333336</v>
      </c>
      <c r="B647" s="7">
        <v>422.45370483398398</v>
      </c>
      <c r="C647" s="7">
        <v>121.122688293457</v>
      </c>
      <c r="D647" s="7">
        <v>722.22222900390602</v>
      </c>
      <c r="E647" s="5">
        <f t="shared" si="10"/>
        <v>0.84967321059283063</v>
      </c>
    </row>
    <row r="648" spans="1:5" x14ac:dyDescent="0.25">
      <c r="A648" s="8">
        <v>42481.34375</v>
      </c>
      <c r="B648" s="7">
        <v>423.03240966796898</v>
      </c>
      <c r="C648" s="7">
        <v>122.13542175293</v>
      </c>
      <c r="D648" s="7">
        <v>733.21759033203102</v>
      </c>
      <c r="E648" s="5">
        <f t="shared" si="10"/>
        <v>0.86260892980238946</v>
      </c>
    </row>
    <row r="649" spans="1:5" x14ac:dyDescent="0.25">
      <c r="A649" s="8">
        <v>42481.354166666664</v>
      </c>
      <c r="B649" s="7">
        <v>428.24075317382801</v>
      </c>
      <c r="C649" s="7">
        <v>128.11053466796901</v>
      </c>
      <c r="D649" s="7">
        <v>749.42126464843795</v>
      </c>
      <c r="E649" s="5">
        <f t="shared" si="10"/>
        <v>0.88167207605698583</v>
      </c>
    </row>
    <row r="650" spans="1:5" x14ac:dyDescent="0.25">
      <c r="A650" s="8">
        <v>42481.364583333336</v>
      </c>
      <c r="B650" s="7">
        <v>426.07058715820301</v>
      </c>
      <c r="C650" s="7">
        <v>125.477432250977</v>
      </c>
      <c r="D650" s="7">
        <v>722.22222900390602</v>
      </c>
      <c r="E650" s="5">
        <f t="shared" si="10"/>
        <v>0.84967321059283063</v>
      </c>
    </row>
    <row r="651" spans="1:5" x14ac:dyDescent="0.25">
      <c r="A651" s="8">
        <v>42481.375</v>
      </c>
      <c r="B651" s="7">
        <v>425.34722900390602</v>
      </c>
      <c r="C651" s="7">
        <v>130.541091918945</v>
      </c>
      <c r="D651" s="7">
        <v>739.29400634765602</v>
      </c>
      <c r="E651" s="5">
        <f t="shared" si="10"/>
        <v>0.8697576545266541</v>
      </c>
    </row>
    <row r="652" spans="1:5" x14ac:dyDescent="0.25">
      <c r="A652" s="8">
        <v>42481.385416666664</v>
      </c>
      <c r="B652" s="7">
        <v>425.63656616210898</v>
      </c>
      <c r="C652" s="7">
        <v>123.55324554443401</v>
      </c>
      <c r="D652" s="7">
        <v>640.91436767578102</v>
      </c>
      <c r="E652" s="5">
        <f t="shared" si="10"/>
        <v>0.75401690314797765</v>
      </c>
    </row>
    <row r="653" spans="1:5" x14ac:dyDescent="0.25">
      <c r="A653" s="8">
        <v>42481.395833333336</v>
      </c>
      <c r="B653" s="7">
        <v>436.92129516601602</v>
      </c>
      <c r="C653" s="7">
        <v>131.04745483398401</v>
      </c>
      <c r="D653" s="7">
        <v>671.00695800781295</v>
      </c>
      <c r="E653" s="5">
        <f t="shared" si="10"/>
        <v>0.78941995059742698</v>
      </c>
    </row>
    <row r="654" spans="1:5" x14ac:dyDescent="0.25">
      <c r="A654" s="8">
        <v>42481.40625</v>
      </c>
      <c r="B654" s="7">
        <v>437.06597900390602</v>
      </c>
      <c r="C654" s="7">
        <v>137.427658081055</v>
      </c>
      <c r="D654" s="7">
        <v>705.15045166015602</v>
      </c>
      <c r="E654" s="5">
        <f t="shared" si="10"/>
        <v>0.82958876665900705</v>
      </c>
    </row>
    <row r="655" spans="1:5" x14ac:dyDescent="0.25">
      <c r="A655" s="8">
        <v>42481.416666666664</v>
      </c>
      <c r="B655" s="7">
        <v>437.21063232421898</v>
      </c>
      <c r="C655" s="7">
        <v>140.26330566406301</v>
      </c>
      <c r="D655" s="7">
        <v>703.70367431640602</v>
      </c>
      <c r="E655" s="5">
        <f t="shared" si="10"/>
        <v>0.82788667566635998</v>
      </c>
    </row>
    <row r="656" spans="1:5" x14ac:dyDescent="0.25">
      <c r="A656" s="8">
        <v>42481.427083333336</v>
      </c>
      <c r="B656" s="7">
        <v>431.13424682617199</v>
      </c>
      <c r="C656" s="7">
        <v>137.832763671875</v>
      </c>
      <c r="D656" s="7">
        <v>648.72686767578102</v>
      </c>
      <c r="E656" s="5">
        <f t="shared" si="10"/>
        <v>0.76320807961856596</v>
      </c>
    </row>
    <row r="657" spans="1:5" x14ac:dyDescent="0.25">
      <c r="A657" s="8">
        <v>42481.4375</v>
      </c>
      <c r="B657" s="7">
        <v>437.5</v>
      </c>
      <c r="C657" s="7">
        <v>134.79455566406301</v>
      </c>
      <c r="D657" s="7">
        <v>653.93518066406295</v>
      </c>
      <c r="E657" s="5">
        <f t="shared" si="10"/>
        <v>0.76933550666360351</v>
      </c>
    </row>
    <row r="658" spans="1:5" x14ac:dyDescent="0.25">
      <c r="A658" s="8">
        <v>42481.447916666664</v>
      </c>
      <c r="B658" s="7">
        <v>439.38079833984398</v>
      </c>
      <c r="C658" s="7">
        <v>137.73147583007801</v>
      </c>
      <c r="D658" s="7">
        <v>649.88427734375</v>
      </c>
      <c r="E658" s="5">
        <f t="shared" si="10"/>
        <v>0.76456973805147055</v>
      </c>
    </row>
    <row r="659" spans="1:5" x14ac:dyDescent="0.25">
      <c r="A659" s="8">
        <v>42481.458333333336</v>
      </c>
      <c r="B659" s="7">
        <v>440.53820800781301</v>
      </c>
      <c r="C659" s="7">
        <v>138.23785400390599</v>
      </c>
      <c r="D659" s="7">
        <v>643.807861328125</v>
      </c>
      <c r="E659" s="5">
        <f t="shared" si="10"/>
        <v>0.75742101332720591</v>
      </c>
    </row>
    <row r="660" spans="1:5" x14ac:dyDescent="0.25">
      <c r="A660" s="8">
        <v>42481.46875</v>
      </c>
      <c r="B660" s="7">
        <v>442.85299682617199</v>
      </c>
      <c r="C660" s="7">
        <v>138.744216918945</v>
      </c>
      <c r="D660" s="7">
        <v>477.14120483398398</v>
      </c>
      <c r="E660" s="5">
        <f t="shared" si="10"/>
        <v>0.5613425939223341</v>
      </c>
    </row>
    <row r="661" spans="1:5" x14ac:dyDescent="0.25">
      <c r="A661" s="8">
        <v>42481.479166666664</v>
      </c>
      <c r="B661" s="7">
        <v>350.26040649414102</v>
      </c>
      <c r="C661" s="7">
        <v>121.42650604248</v>
      </c>
      <c r="D661" s="7">
        <v>1.1574074029922501</v>
      </c>
      <c r="E661" s="5"/>
    </row>
    <row r="662" spans="1:5" x14ac:dyDescent="0.25">
      <c r="A662" s="8">
        <v>42481.489583333336</v>
      </c>
      <c r="B662" s="7">
        <v>274.45022583007801</v>
      </c>
      <c r="C662" s="7">
        <v>109.88137054443401</v>
      </c>
      <c r="D662" s="7">
        <v>1.1574074029922501</v>
      </c>
      <c r="E662" s="5"/>
    </row>
    <row r="663" spans="1:5" x14ac:dyDescent="0.25">
      <c r="A663" s="8">
        <v>42481.5</v>
      </c>
      <c r="B663" s="7">
        <v>225.98379516601599</v>
      </c>
      <c r="C663" s="7">
        <v>100.260414123535</v>
      </c>
      <c r="D663" s="7">
        <v>1.1574074029922501</v>
      </c>
      <c r="E663" s="5"/>
    </row>
    <row r="664" spans="1:5" x14ac:dyDescent="0.25">
      <c r="A664" s="8">
        <v>42481.510416666664</v>
      </c>
      <c r="B664" s="7">
        <v>243.63426208496099</v>
      </c>
      <c r="C664" s="7">
        <v>92.259841918945298</v>
      </c>
      <c r="D664" s="7">
        <v>302.66204833984398</v>
      </c>
      <c r="E664" s="5">
        <f t="shared" si="10"/>
        <v>0.35607299804687526</v>
      </c>
    </row>
    <row r="665" spans="1:5" x14ac:dyDescent="0.25">
      <c r="A665" s="8">
        <v>42481.520833333336</v>
      </c>
      <c r="B665" s="7">
        <v>365.59606933593801</v>
      </c>
      <c r="C665" s="7">
        <v>91.550926208496094</v>
      </c>
      <c r="D665" s="7">
        <v>721.06481933593795</v>
      </c>
      <c r="E665" s="5">
        <f t="shared" si="10"/>
        <v>0.84831155215992704</v>
      </c>
    </row>
    <row r="666" spans="1:5" x14ac:dyDescent="0.25">
      <c r="A666" s="8">
        <v>42481.53125</v>
      </c>
      <c r="B666" s="7">
        <v>421.73031616210898</v>
      </c>
      <c r="C666" s="7">
        <v>119.603591918945</v>
      </c>
      <c r="D666" s="7">
        <v>745.370361328125</v>
      </c>
      <c r="E666" s="5">
        <f t="shared" si="10"/>
        <v>0.87690630744485298</v>
      </c>
    </row>
    <row r="667" spans="1:5" x14ac:dyDescent="0.25">
      <c r="A667" s="8">
        <v>42481.541666666664</v>
      </c>
      <c r="B667" s="7">
        <v>429.83218383789102</v>
      </c>
      <c r="C667" s="7">
        <v>133.07292175293</v>
      </c>
      <c r="D667" s="7">
        <v>749.42126464843795</v>
      </c>
      <c r="E667" s="5">
        <f t="shared" si="10"/>
        <v>0.88167207605698583</v>
      </c>
    </row>
    <row r="668" spans="1:5" x14ac:dyDescent="0.25">
      <c r="A668" s="8">
        <v>42481.552083333336</v>
      </c>
      <c r="B668" s="7">
        <v>431.13424682617199</v>
      </c>
      <c r="C668" s="7">
        <v>138.64294433593801</v>
      </c>
      <c r="D668" s="7">
        <v>768.51849365234398</v>
      </c>
      <c r="E668" s="5">
        <f t="shared" si="10"/>
        <v>0.90413940429687523</v>
      </c>
    </row>
    <row r="669" spans="1:5" x14ac:dyDescent="0.25">
      <c r="A669" s="8">
        <v>42481.5625</v>
      </c>
      <c r="B669" s="7">
        <v>430.70022583007801</v>
      </c>
      <c r="C669" s="7">
        <v>141.37731933593801</v>
      </c>
      <c r="D669" s="7">
        <v>789.64117431640602</v>
      </c>
      <c r="E669" s="5">
        <f t="shared" si="10"/>
        <v>0.92898961684283066</v>
      </c>
    </row>
    <row r="670" spans="1:5" x14ac:dyDescent="0.25">
      <c r="A670" s="8">
        <v>42481.572916666664</v>
      </c>
      <c r="B670" s="7">
        <v>431.85763549804699</v>
      </c>
      <c r="C670" s="7">
        <v>142.28877258300801</v>
      </c>
      <c r="D670" s="7">
        <v>761.28472900390602</v>
      </c>
      <c r="E670" s="5">
        <f t="shared" si="10"/>
        <v>0.89562909294577175</v>
      </c>
    </row>
    <row r="671" spans="1:5" x14ac:dyDescent="0.25">
      <c r="A671" s="8">
        <v>42481.583333333336</v>
      </c>
      <c r="B671" s="7">
        <v>432.00231933593801</v>
      </c>
      <c r="C671" s="7">
        <v>143.20022583007801</v>
      </c>
      <c r="D671" s="7">
        <v>756.36572265625</v>
      </c>
      <c r="E671" s="5">
        <f t="shared" si="10"/>
        <v>0.88984202665441181</v>
      </c>
    </row>
    <row r="672" spans="1:5" x14ac:dyDescent="0.25">
      <c r="A672" s="8">
        <v>42481.59375</v>
      </c>
      <c r="B672" s="7">
        <v>431.85763549804699</v>
      </c>
      <c r="C672" s="7">
        <v>143.70660400390599</v>
      </c>
      <c r="D672" s="7">
        <v>775.46295166015602</v>
      </c>
      <c r="E672" s="5">
        <f t="shared" si="10"/>
        <v>0.91230935489430121</v>
      </c>
    </row>
    <row r="673" spans="1:5" x14ac:dyDescent="0.25">
      <c r="A673" s="8">
        <v>42481.604166666664</v>
      </c>
      <c r="B673" s="7">
        <v>432.43634033203102</v>
      </c>
      <c r="C673" s="7">
        <v>143.90914916992199</v>
      </c>
      <c r="D673" s="7">
        <v>774.30554199218795</v>
      </c>
      <c r="E673" s="5">
        <f t="shared" si="10"/>
        <v>0.91094769646139762</v>
      </c>
    </row>
    <row r="674" spans="1:5" x14ac:dyDescent="0.25">
      <c r="A674" s="8">
        <v>42481.614583333336</v>
      </c>
      <c r="B674" s="7">
        <v>432.870361328125</v>
      </c>
      <c r="C674" s="7">
        <v>144.31423950195301</v>
      </c>
      <c r="D674" s="7">
        <v>753.47222900390602</v>
      </c>
      <c r="E674" s="5">
        <f t="shared" si="10"/>
        <v>0.88643791647518355</v>
      </c>
    </row>
    <row r="675" spans="1:5" x14ac:dyDescent="0.25">
      <c r="A675" s="8">
        <v>42481.625</v>
      </c>
      <c r="B675" s="7">
        <v>434.17245483398398</v>
      </c>
      <c r="C675" s="7">
        <v>144.31423950195301</v>
      </c>
      <c r="D675" s="7">
        <v>729.16668701171898</v>
      </c>
      <c r="E675" s="5">
        <f t="shared" si="10"/>
        <v>0.85784316119025761</v>
      </c>
    </row>
    <row r="676" spans="1:5" x14ac:dyDescent="0.25">
      <c r="A676" s="8">
        <v>42481.635416666664</v>
      </c>
      <c r="B676" s="7">
        <v>434.317138671875</v>
      </c>
      <c r="C676" s="7">
        <v>143.80787658691401</v>
      </c>
      <c r="D676" s="7">
        <v>734.08563232421898</v>
      </c>
      <c r="E676" s="5">
        <f t="shared" si="10"/>
        <v>0.86363015567555179</v>
      </c>
    </row>
    <row r="677" spans="1:5" x14ac:dyDescent="0.25">
      <c r="A677" s="8">
        <v>42481.645833333336</v>
      </c>
      <c r="B677" s="7">
        <v>424.47915649414102</v>
      </c>
      <c r="C677" s="7">
        <v>132.66783142089801</v>
      </c>
      <c r="D677" s="7">
        <v>736.40045166015602</v>
      </c>
      <c r="E677" s="5">
        <f t="shared" si="10"/>
        <v>0.86635347254136008</v>
      </c>
    </row>
    <row r="678" spans="1:5" x14ac:dyDescent="0.25">
      <c r="A678" s="8">
        <v>42481.65625</v>
      </c>
      <c r="B678" s="7">
        <v>421.58563232421898</v>
      </c>
      <c r="C678" s="7">
        <v>131.75636291503901</v>
      </c>
      <c r="D678" s="7">
        <v>723.379638671875</v>
      </c>
      <c r="E678" s="5">
        <f t="shared" si="10"/>
        <v>0.85103486902573533</v>
      </c>
    </row>
    <row r="679" spans="1:5" x14ac:dyDescent="0.25">
      <c r="A679" s="8">
        <v>42481.666666666664</v>
      </c>
      <c r="B679" s="7">
        <v>428.964111328125</v>
      </c>
      <c r="C679" s="7">
        <v>127.09780120849599</v>
      </c>
      <c r="D679" s="7">
        <v>617.76617431640602</v>
      </c>
      <c r="E679" s="5">
        <f t="shared" si="10"/>
        <v>0.72678373448988942</v>
      </c>
    </row>
    <row r="680" spans="1:5" x14ac:dyDescent="0.25">
      <c r="A680" s="8">
        <v>42481.677083333336</v>
      </c>
      <c r="B680" s="7">
        <v>436.05325317382801</v>
      </c>
      <c r="C680" s="7">
        <v>123.958335876465</v>
      </c>
      <c r="D680" s="7">
        <v>577.54626464843795</v>
      </c>
      <c r="E680" s="5">
        <f t="shared" si="10"/>
        <v>0.67946619370404471</v>
      </c>
    </row>
    <row r="681" spans="1:5" x14ac:dyDescent="0.25">
      <c r="A681" s="8">
        <v>42481.6875</v>
      </c>
      <c r="B681" s="7">
        <v>442.27429199218801</v>
      </c>
      <c r="C681" s="7">
        <v>130.84490966796901</v>
      </c>
      <c r="D681" s="7">
        <v>581.59722900390602</v>
      </c>
      <c r="E681" s="5">
        <f t="shared" si="10"/>
        <v>0.68423203412224243</v>
      </c>
    </row>
    <row r="682" spans="1:5" x14ac:dyDescent="0.25">
      <c r="A682" s="8">
        <v>42481.697916666664</v>
      </c>
      <c r="B682" s="7">
        <v>428.81945800781301</v>
      </c>
      <c r="C682" s="7">
        <v>125.78125</v>
      </c>
      <c r="D682" s="7">
        <v>679.10876464843795</v>
      </c>
      <c r="E682" s="5">
        <f t="shared" si="10"/>
        <v>0.79895148782169167</v>
      </c>
    </row>
    <row r="683" spans="1:5" x14ac:dyDescent="0.25">
      <c r="A683" s="8">
        <v>42481.708333333336</v>
      </c>
      <c r="B683" s="7">
        <v>436.05325317382801</v>
      </c>
      <c r="C683" s="7">
        <v>136.11111450195301</v>
      </c>
      <c r="D683" s="7">
        <v>718.17126464843795</v>
      </c>
      <c r="E683" s="5">
        <f t="shared" si="10"/>
        <v>0.84490737017463291</v>
      </c>
    </row>
    <row r="684" spans="1:5" x14ac:dyDescent="0.25">
      <c r="A684" s="8">
        <v>42481.71875</v>
      </c>
      <c r="B684" s="7">
        <v>434.75115966796898</v>
      </c>
      <c r="C684" s="7">
        <v>140.162033081055</v>
      </c>
      <c r="D684" s="7">
        <v>747.10650634765602</v>
      </c>
      <c r="E684" s="5">
        <f t="shared" si="10"/>
        <v>0.87894883099724241</v>
      </c>
    </row>
    <row r="685" spans="1:5" x14ac:dyDescent="0.25">
      <c r="A685" s="8">
        <v>42481.729166666664</v>
      </c>
      <c r="B685" s="7">
        <v>435.04049682617199</v>
      </c>
      <c r="C685" s="7">
        <v>142.1875</v>
      </c>
      <c r="D685" s="7">
        <v>704.28240966796898</v>
      </c>
      <c r="E685" s="5">
        <f t="shared" si="10"/>
        <v>0.82856754078584582</v>
      </c>
    </row>
    <row r="686" spans="1:5" x14ac:dyDescent="0.25">
      <c r="A686" s="8">
        <v>42481.739583333336</v>
      </c>
      <c r="B686" s="7">
        <v>436.05325317382801</v>
      </c>
      <c r="C686" s="7">
        <v>141.478591918945</v>
      </c>
      <c r="D686" s="7">
        <v>725.11572265625</v>
      </c>
      <c r="E686" s="5">
        <f t="shared" si="10"/>
        <v>0.85307732077205878</v>
      </c>
    </row>
    <row r="687" spans="1:5" x14ac:dyDescent="0.25">
      <c r="A687" s="8">
        <v>42481.75</v>
      </c>
      <c r="B687" s="7">
        <v>436.19790649414102</v>
      </c>
      <c r="C687" s="7">
        <v>141.68113708496099</v>
      </c>
      <c r="D687" s="7">
        <v>703.70367431640602</v>
      </c>
      <c r="E687" s="5">
        <f t="shared" si="10"/>
        <v>0.82788667566635998</v>
      </c>
    </row>
    <row r="688" spans="1:5" x14ac:dyDescent="0.25">
      <c r="A688" s="8">
        <v>42481.760416666664</v>
      </c>
      <c r="B688" s="7">
        <v>436.05325317382801</v>
      </c>
      <c r="C688" s="7">
        <v>141.88368225097699</v>
      </c>
      <c r="D688" s="7">
        <v>712.09490966796898</v>
      </c>
      <c r="E688" s="5">
        <f t="shared" si="10"/>
        <v>0.83775871725643414</v>
      </c>
    </row>
    <row r="689" spans="1:5" x14ac:dyDescent="0.25">
      <c r="A689" s="8">
        <v>42481.770833333336</v>
      </c>
      <c r="B689" s="7">
        <v>436.34259033203102</v>
      </c>
      <c r="C689" s="7">
        <v>141.68113708496099</v>
      </c>
      <c r="D689" s="7">
        <v>690.682861328125</v>
      </c>
      <c r="E689" s="5">
        <f t="shared" si="10"/>
        <v>0.81256807215073534</v>
      </c>
    </row>
    <row r="690" spans="1:5" x14ac:dyDescent="0.25">
      <c r="A690" s="8">
        <v>42481.78125</v>
      </c>
      <c r="B690" s="7">
        <v>436.48727416992199</v>
      </c>
      <c r="C690" s="7">
        <v>141.478591918945</v>
      </c>
      <c r="D690" s="7">
        <v>681.13427734375</v>
      </c>
      <c r="E690" s="5">
        <f t="shared" si="10"/>
        <v>0.80133444393382358</v>
      </c>
    </row>
    <row r="691" spans="1:5" x14ac:dyDescent="0.25">
      <c r="A691" s="8">
        <v>42481.791666666664</v>
      </c>
      <c r="B691" s="7">
        <v>437.64468383789102</v>
      </c>
      <c r="C691" s="7">
        <v>140.46585083007801</v>
      </c>
      <c r="D691" s="7">
        <v>683.15972900390602</v>
      </c>
      <c r="E691" s="5">
        <f t="shared" si="10"/>
        <v>0.80371732823988939</v>
      </c>
    </row>
    <row r="692" spans="1:5" x14ac:dyDescent="0.25">
      <c r="A692" s="8">
        <v>42481.802083333336</v>
      </c>
      <c r="B692" s="7">
        <v>437.78933715820301</v>
      </c>
      <c r="C692" s="7">
        <v>140.36457824707</v>
      </c>
      <c r="D692" s="7">
        <v>672.74304199218795</v>
      </c>
      <c r="E692" s="5">
        <f t="shared" si="10"/>
        <v>0.79146240234375054</v>
      </c>
    </row>
    <row r="693" spans="1:5" x14ac:dyDescent="0.25">
      <c r="A693" s="8">
        <v>42481.8125</v>
      </c>
      <c r="B693" s="7">
        <v>439.95950317382801</v>
      </c>
      <c r="C693" s="7">
        <v>138.84548950195301</v>
      </c>
      <c r="D693" s="7">
        <v>650.75231933593795</v>
      </c>
      <c r="E693" s="5">
        <f t="shared" si="10"/>
        <v>0.76559096392463288</v>
      </c>
    </row>
    <row r="694" spans="1:5" x14ac:dyDescent="0.25">
      <c r="A694" s="8">
        <v>42481.822916666664</v>
      </c>
      <c r="B694" s="7">
        <v>439.38079833984398</v>
      </c>
      <c r="C694" s="7">
        <v>137.12384033203099</v>
      </c>
      <c r="D694" s="7">
        <v>678.24072265625</v>
      </c>
      <c r="E694" s="5">
        <f t="shared" si="10"/>
        <v>0.79793026194852945</v>
      </c>
    </row>
    <row r="695" spans="1:5" x14ac:dyDescent="0.25">
      <c r="A695" s="8">
        <v>42481.833333333336</v>
      </c>
      <c r="B695" s="7">
        <v>431.85763549804699</v>
      </c>
      <c r="C695" s="7">
        <v>142.79513549804699</v>
      </c>
      <c r="D695" s="7">
        <v>795.42822265625</v>
      </c>
      <c r="E695" s="5">
        <f t="shared" si="10"/>
        <v>0.93579790900735293</v>
      </c>
    </row>
    <row r="696" spans="1:5" x14ac:dyDescent="0.25">
      <c r="A696" s="8">
        <v>42481.84375</v>
      </c>
      <c r="B696" s="7">
        <v>431.27893066406301</v>
      </c>
      <c r="C696" s="7">
        <v>144.01042175293</v>
      </c>
      <c r="D696" s="7">
        <v>776.620361328125</v>
      </c>
      <c r="E696" s="5">
        <f t="shared" si="10"/>
        <v>0.91367101332720591</v>
      </c>
    </row>
    <row r="697" spans="1:5" x14ac:dyDescent="0.25">
      <c r="A697" s="8">
        <v>42481.854166666664</v>
      </c>
      <c r="B697" s="7">
        <v>431.85763549804699</v>
      </c>
      <c r="C697" s="7">
        <v>144.51678466796901</v>
      </c>
      <c r="D697" s="7">
        <v>772.56945800781295</v>
      </c>
      <c r="E697" s="5">
        <f t="shared" si="10"/>
        <v>0.90890524471507406</v>
      </c>
    </row>
    <row r="698" spans="1:5" x14ac:dyDescent="0.25">
      <c r="A698" s="8">
        <v>42481.864583333336</v>
      </c>
      <c r="B698" s="7">
        <v>431.85763549804699</v>
      </c>
      <c r="C698" s="7">
        <v>145.42823791503901</v>
      </c>
      <c r="D698" s="7">
        <v>788.77313232421898</v>
      </c>
      <c r="E698" s="5">
        <f t="shared" si="10"/>
        <v>0.92796839096966943</v>
      </c>
    </row>
    <row r="699" spans="1:5" x14ac:dyDescent="0.25">
      <c r="A699" s="8">
        <v>42481.875</v>
      </c>
      <c r="B699" s="7">
        <v>432.870361328125</v>
      </c>
      <c r="C699" s="7">
        <v>145.52951049804699</v>
      </c>
      <c r="D699" s="7">
        <v>763.59954833984398</v>
      </c>
      <c r="E699" s="5">
        <f t="shared" si="10"/>
        <v>0.89835240981158115</v>
      </c>
    </row>
    <row r="700" spans="1:5" x14ac:dyDescent="0.25">
      <c r="A700" s="8">
        <v>42481.885416666664</v>
      </c>
      <c r="B700" s="7">
        <v>435.61920166015602</v>
      </c>
      <c r="C700" s="7">
        <v>143.90914916992199</v>
      </c>
      <c r="D700" s="7">
        <v>722.51159667968795</v>
      </c>
      <c r="E700" s="5">
        <f t="shared" si="10"/>
        <v>0.85001364315257411</v>
      </c>
    </row>
    <row r="701" spans="1:5" x14ac:dyDescent="0.25">
      <c r="A701" s="8">
        <v>42481.895833333336</v>
      </c>
      <c r="B701" s="7">
        <v>436.776611328125</v>
      </c>
      <c r="C701" s="7">
        <v>143.80787658691401</v>
      </c>
      <c r="D701" s="7">
        <v>721.06481933593795</v>
      </c>
      <c r="E701" s="5">
        <f t="shared" si="10"/>
        <v>0.84831155215992704</v>
      </c>
    </row>
    <row r="702" spans="1:5" x14ac:dyDescent="0.25">
      <c r="A702" s="8">
        <v>42481.90625</v>
      </c>
      <c r="B702" s="7">
        <v>437.21063232421898</v>
      </c>
      <c r="C702" s="7">
        <v>143.70660400390599</v>
      </c>
      <c r="D702" s="7">
        <v>714.40972900390602</v>
      </c>
      <c r="E702" s="5">
        <f t="shared" si="10"/>
        <v>0.84048203412224243</v>
      </c>
    </row>
    <row r="703" spans="1:5" x14ac:dyDescent="0.25">
      <c r="A703" s="8">
        <v>42481.916666666664</v>
      </c>
      <c r="B703" s="7">
        <v>437.78933715820301</v>
      </c>
      <c r="C703" s="7">
        <v>143.90914916992199</v>
      </c>
      <c r="D703" s="7">
        <v>696.18054199218795</v>
      </c>
      <c r="E703" s="5">
        <f t="shared" si="10"/>
        <v>0.81903593175551526</v>
      </c>
    </row>
    <row r="704" spans="1:5" x14ac:dyDescent="0.25">
      <c r="A704" s="8">
        <v>42481.927083333336</v>
      </c>
      <c r="B704" s="7">
        <v>439.67013549804699</v>
      </c>
      <c r="C704" s="7">
        <v>142.79513549804699</v>
      </c>
      <c r="D704" s="7">
        <v>674.76849365234398</v>
      </c>
      <c r="E704" s="5">
        <f t="shared" si="10"/>
        <v>0.79384528664981646</v>
      </c>
    </row>
    <row r="705" spans="1:5" x14ac:dyDescent="0.25">
      <c r="A705" s="8">
        <v>42481.9375</v>
      </c>
      <c r="B705" s="7">
        <v>440.39352416992199</v>
      </c>
      <c r="C705" s="7">
        <v>141.78240966796901</v>
      </c>
      <c r="D705" s="7">
        <v>670.138916015625</v>
      </c>
      <c r="E705" s="5">
        <f t="shared" si="10"/>
        <v>0.78839872472426475</v>
      </c>
    </row>
    <row r="706" spans="1:5" x14ac:dyDescent="0.25">
      <c r="A706" s="8">
        <v>42481.947916666664</v>
      </c>
      <c r="B706" s="7">
        <v>441.26156616210898</v>
      </c>
      <c r="C706" s="7">
        <v>140.87095642089801</v>
      </c>
      <c r="D706" s="7">
        <v>655.96063232421898</v>
      </c>
      <c r="E706" s="5">
        <f t="shared" si="10"/>
        <v>0.77171839096966943</v>
      </c>
    </row>
    <row r="707" spans="1:5" x14ac:dyDescent="0.25">
      <c r="A707" s="8">
        <v>42481.958333333336</v>
      </c>
      <c r="B707" s="7">
        <v>443.57638549804699</v>
      </c>
      <c r="C707" s="7">
        <v>139.25057983398401</v>
      </c>
      <c r="D707" s="7">
        <v>619.50231933593795</v>
      </c>
      <c r="E707" s="5">
        <f t="shared" ref="E707:E755" si="11">+D707/850</f>
        <v>0.72882625804227996</v>
      </c>
    </row>
    <row r="708" spans="1:5" x14ac:dyDescent="0.25">
      <c r="A708" s="8">
        <v>42481.96875</v>
      </c>
      <c r="B708" s="7">
        <v>445.45718383789102</v>
      </c>
      <c r="C708" s="7">
        <v>137.22511291503901</v>
      </c>
      <c r="D708" s="7">
        <v>576.388916015625</v>
      </c>
      <c r="E708" s="5">
        <f t="shared" si="11"/>
        <v>0.67810460707720588</v>
      </c>
    </row>
    <row r="709" spans="1:5" x14ac:dyDescent="0.25">
      <c r="A709" s="8">
        <v>42481.979166666664</v>
      </c>
      <c r="B709" s="7">
        <v>446.61459350585898</v>
      </c>
      <c r="C709" s="7">
        <v>135.30093383789099</v>
      </c>
      <c r="D709" s="7">
        <v>559.60650634765602</v>
      </c>
      <c r="E709" s="5">
        <f t="shared" si="11"/>
        <v>0.65836059570312477</v>
      </c>
    </row>
    <row r="710" spans="1:5" x14ac:dyDescent="0.25">
      <c r="A710" s="8">
        <v>42481.989583333336</v>
      </c>
      <c r="B710" s="7">
        <v>447.04861450195301</v>
      </c>
      <c r="C710" s="7">
        <v>133.78182983398401</v>
      </c>
      <c r="D710" s="7">
        <v>560.47454833984398</v>
      </c>
      <c r="E710" s="5">
        <f t="shared" si="11"/>
        <v>0.659381821576287</v>
      </c>
    </row>
    <row r="711" spans="1:5" x14ac:dyDescent="0.25">
      <c r="A711" s="8">
        <v>42482</v>
      </c>
      <c r="B711" s="7">
        <v>447.19329833984398</v>
      </c>
      <c r="C711" s="7">
        <v>133.17419433593801</v>
      </c>
      <c r="D711" s="7">
        <v>560.47454833984398</v>
      </c>
      <c r="E711" s="5">
        <f t="shared" si="11"/>
        <v>0.659381821576287</v>
      </c>
    </row>
    <row r="712" spans="1:5" x14ac:dyDescent="0.25">
      <c r="A712" s="8">
        <v>42482.010416666664</v>
      </c>
      <c r="B712" s="7">
        <v>447.19329833984398</v>
      </c>
      <c r="C712" s="7">
        <v>132.16145324707</v>
      </c>
      <c r="D712" s="7">
        <v>549.47918701171898</v>
      </c>
      <c r="E712" s="5">
        <f t="shared" si="11"/>
        <v>0.64644610236672817</v>
      </c>
    </row>
    <row r="713" spans="1:5" x14ac:dyDescent="0.25">
      <c r="A713" s="8">
        <v>42482.020833333336</v>
      </c>
      <c r="B713" s="7">
        <v>447.33795166015602</v>
      </c>
      <c r="C713" s="7">
        <v>131.14872741699199</v>
      </c>
      <c r="D713" s="7">
        <v>543.11340332031295</v>
      </c>
      <c r="E713" s="5">
        <f t="shared" si="11"/>
        <v>0.63895694508272116</v>
      </c>
    </row>
    <row r="714" spans="1:5" x14ac:dyDescent="0.25">
      <c r="A714" s="8">
        <v>42482.03125</v>
      </c>
      <c r="B714" s="7">
        <v>447.33795166015602</v>
      </c>
      <c r="C714" s="7">
        <v>131.04745483398401</v>
      </c>
      <c r="D714" s="7">
        <v>556.13427734375</v>
      </c>
      <c r="E714" s="5">
        <f t="shared" si="11"/>
        <v>0.65427562040441178</v>
      </c>
    </row>
    <row r="715" spans="1:5" x14ac:dyDescent="0.25">
      <c r="A715" s="8">
        <v>42482.041666666664</v>
      </c>
      <c r="B715" s="7">
        <v>447.62731933593801</v>
      </c>
      <c r="C715" s="7">
        <v>130.64236450195301</v>
      </c>
      <c r="D715" s="7">
        <v>541.37731933593795</v>
      </c>
      <c r="E715" s="5">
        <f t="shared" si="11"/>
        <v>0.6369144933363976</v>
      </c>
    </row>
    <row r="716" spans="1:5" x14ac:dyDescent="0.25">
      <c r="A716" s="8">
        <v>42482.052083333336</v>
      </c>
      <c r="B716" s="7">
        <v>447.77200317382801</v>
      </c>
      <c r="C716" s="7">
        <v>130.13600158691401</v>
      </c>
      <c r="D716" s="7">
        <v>549.47918701171898</v>
      </c>
      <c r="E716" s="5">
        <f t="shared" si="11"/>
        <v>0.64644610236672817</v>
      </c>
    </row>
    <row r="717" spans="1:5" x14ac:dyDescent="0.25">
      <c r="A717" s="8">
        <v>42482.0625</v>
      </c>
      <c r="B717" s="7">
        <v>447.19329833984398</v>
      </c>
      <c r="C717" s="7">
        <v>130.23727416992199</v>
      </c>
      <c r="D717" s="7">
        <v>560.47454833984398</v>
      </c>
      <c r="E717" s="5">
        <f t="shared" si="11"/>
        <v>0.659381821576287</v>
      </c>
    </row>
    <row r="718" spans="1:5" x14ac:dyDescent="0.25">
      <c r="A718" s="8">
        <v>42482.072916666664</v>
      </c>
      <c r="B718" s="7">
        <v>447.04861450195301</v>
      </c>
      <c r="C718" s="7">
        <v>130.23727416992199</v>
      </c>
      <c r="D718" s="7">
        <v>553.24072265625</v>
      </c>
      <c r="E718" s="5">
        <f t="shared" si="11"/>
        <v>0.65087143841911765</v>
      </c>
    </row>
    <row r="719" spans="1:5" x14ac:dyDescent="0.25">
      <c r="A719" s="8">
        <v>42482.083333333336</v>
      </c>
      <c r="B719" s="7">
        <v>447.33795166015602</v>
      </c>
      <c r="C719" s="7">
        <v>130.23727416992199</v>
      </c>
      <c r="D719" s="7">
        <v>555.55554199218795</v>
      </c>
      <c r="E719" s="5">
        <f t="shared" si="11"/>
        <v>0.65359475528492705</v>
      </c>
    </row>
    <row r="720" spans="1:5" x14ac:dyDescent="0.25">
      <c r="A720" s="8">
        <v>42482.09375</v>
      </c>
      <c r="B720" s="7">
        <v>447.62731933593801</v>
      </c>
      <c r="C720" s="7">
        <v>130.23727416992199</v>
      </c>
      <c r="D720" s="7">
        <v>538.19445800781295</v>
      </c>
      <c r="E720" s="5">
        <f t="shared" si="11"/>
        <v>0.63316995059742698</v>
      </c>
    </row>
    <row r="721" spans="1:5" x14ac:dyDescent="0.25">
      <c r="A721" s="8">
        <v>42482.104166666664</v>
      </c>
      <c r="B721" s="7">
        <v>447.91665649414102</v>
      </c>
      <c r="C721" s="7">
        <v>129.73091125488301</v>
      </c>
      <c r="D721" s="7">
        <v>538.48376464843795</v>
      </c>
      <c r="E721" s="5">
        <f t="shared" si="11"/>
        <v>0.63351031135110347</v>
      </c>
    </row>
    <row r="722" spans="1:5" x14ac:dyDescent="0.25">
      <c r="A722" s="8">
        <v>42482.114583333336</v>
      </c>
      <c r="B722" s="7">
        <v>448.06134033203102</v>
      </c>
      <c r="C722" s="7">
        <v>129.224533081055</v>
      </c>
      <c r="D722" s="7">
        <v>531.25</v>
      </c>
      <c r="E722" s="5">
        <f t="shared" si="11"/>
        <v>0.625</v>
      </c>
    </row>
    <row r="723" spans="1:5" x14ac:dyDescent="0.25">
      <c r="A723" s="8">
        <v>42482.125</v>
      </c>
      <c r="B723" s="7">
        <v>448.06134033203102</v>
      </c>
      <c r="C723" s="7">
        <v>129.12326049804699</v>
      </c>
      <c r="D723" s="7">
        <v>524.30554199218795</v>
      </c>
      <c r="E723" s="5">
        <f t="shared" si="11"/>
        <v>0.61683004940257402</v>
      </c>
    </row>
    <row r="724" spans="1:5" x14ac:dyDescent="0.25">
      <c r="A724" s="8">
        <v>42482.135416666664</v>
      </c>
      <c r="B724" s="7">
        <v>447.91665649414102</v>
      </c>
      <c r="C724" s="7">
        <v>129.02198791503901</v>
      </c>
      <c r="D724" s="7">
        <v>541.37731933593795</v>
      </c>
      <c r="E724" s="5">
        <f t="shared" si="11"/>
        <v>0.6369144933363976</v>
      </c>
    </row>
    <row r="725" spans="1:5" x14ac:dyDescent="0.25">
      <c r="A725" s="8">
        <v>42482.145833333336</v>
      </c>
      <c r="B725" s="7">
        <v>447.77200317382801</v>
      </c>
      <c r="C725" s="7">
        <v>128.71817016601599</v>
      </c>
      <c r="D725" s="7">
        <v>531.25</v>
      </c>
      <c r="E725" s="5">
        <f t="shared" si="11"/>
        <v>0.625</v>
      </c>
    </row>
    <row r="726" spans="1:5" x14ac:dyDescent="0.25">
      <c r="A726" s="8">
        <v>42482.15625</v>
      </c>
      <c r="B726" s="7">
        <v>448.06134033203102</v>
      </c>
      <c r="C726" s="7">
        <v>128.515625</v>
      </c>
      <c r="D726" s="7">
        <v>528.35650634765602</v>
      </c>
      <c r="E726" s="5">
        <f t="shared" si="11"/>
        <v>0.62159588982077174</v>
      </c>
    </row>
    <row r="727" spans="1:5" x14ac:dyDescent="0.25">
      <c r="A727" s="8">
        <v>42482.166666666664</v>
      </c>
      <c r="B727" s="7">
        <v>448.35067749023398</v>
      </c>
      <c r="C727" s="7">
        <v>128.515625</v>
      </c>
      <c r="D727" s="7">
        <v>530.09259033203102</v>
      </c>
      <c r="E727" s="5">
        <f t="shared" si="11"/>
        <v>0.6236383415670953</v>
      </c>
    </row>
    <row r="728" spans="1:5" x14ac:dyDescent="0.25">
      <c r="A728" s="8">
        <v>42482.177083333336</v>
      </c>
      <c r="B728" s="7">
        <v>448.06134033203102</v>
      </c>
      <c r="C728" s="7">
        <v>128.71817016601599</v>
      </c>
      <c r="D728" s="7">
        <v>532.40740966796898</v>
      </c>
      <c r="E728" s="5">
        <f t="shared" si="11"/>
        <v>0.6263616584329047</v>
      </c>
    </row>
    <row r="729" spans="1:5" x14ac:dyDescent="0.25">
      <c r="A729" s="8">
        <v>42482.1875</v>
      </c>
      <c r="B729" s="7">
        <v>447.33795166015602</v>
      </c>
      <c r="C729" s="7">
        <v>129.02198791503901</v>
      </c>
      <c r="D729" s="7">
        <v>546.58563232421898</v>
      </c>
      <c r="E729" s="5">
        <f t="shared" si="11"/>
        <v>0.64304192038143404</v>
      </c>
    </row>
    <row r="730" spans="1:5" x14ac:dyDescent="0.25">
      <c r="A730" s="8">
        <v>42482.197916666664</v>
      </c>
      <c r="B730" s="7">
        <v>446.61459350585898</v>
      </c>
      <c r="C730" s="7">
        <v>131.55381774902301</v>
      </c>
      <c r="D730" s="7">
        <v>567.41900634765602</v>
      </c>
      <c r="E730" s="5">
        <f t="shared" si="11"/>
        <v>0.66755177217371298</v>
      </c>
    </row>
    <row r="731" spans="1:5" x14ac:dyDescent="0.25">
      <c r="A731" s="8">
        <v>42482.208333333336</v>
      </c>
      <c r="B731" s="7">
        <v>446.61459350585898</v>
      </c>
      <c r="C731" s="7">
        <v>132.66783142089801</v>
      </c>
      <c r="D731" s="7">
        <v>568.576416015625</v>
      </c>
      <c r="E731" s="5">
        <f t="shared" si="11"/>
        <v>0.66891343060661768</v>
      </c>
    </row>
    <row r="732" spans="1:5" x14ac:dyDescent="0.25">
      <c r="A732" s="8">
        <v>42482.21875</v>
      </c>
      <c r="B732" s="7">
        <v>446.61459350585898</v>
      </c>
      <c r="C732" s="7">
        <v>133.17419433593801</v>
      </c>
      <c r="D732" s="7">
        <v>565.39349365234398</v>
      </c>
      <c r="E732" s="5">
        <f t="shared" si="11"/>
        <v>0.66516881606158118</v>
      </c>
    </row>
    <row r="733" spans="1:5" x14ac:dyDescent="0.25">
      <c r="A733" s="8">
        <v>42482.229166666664</v>
      </c>
      <c r="B733" s="7">
        <v>447.04861450195301</v>
      </c>
      <c r="C733" s="7">
        <v>132.87037658691401</v>
      </c>
      <c r="D733" s="7">
        <v>558.44909667968795</v>
      </c>
      <c r="E733" s="5">
        <f t="shared" si="11"/>
        <v>0.65699893727022107</v>
      </c>
    </row>
    <row r="734" spans="1:5" x14ac:dyDescent="0.25">
      <c r="A734" s="8">
        <v>42482.239583333336</v>
      </c>
      <c r="B734" s="7">
        <v>447.04861450195301</v>
      </c>
      <c r="C734" s="7">
        <v>132.56655883789099</v>
      </c>
      <c r="D734" s="7">
        <v>564.52545166015602</v>
      </c>
      <c r="E734" s="5">
        <f t="shared" si="11"/>
        <v>0.66414759018841885</v>
      </c>
    </row>
    <row r="735" spans="1:5" x14ac:dyDescent="0.25">
      <c r="A735" s="8">
        <v>42482.25</v>
      </c>
      <c r="B735" s="7">
        <v>446.46990966796898</v>
      </c>
      <c r="C735" s="7">
        <v>131.85763549804699</v>
      </c>
      <c r="D735" s="7">
        <v>551.504638671875</v>
      </c>
      <c r="E735" s="5">
        <f t="shared" si="11"/>
        <v>0.64882898667279409</v>
      </c>
    </row>
    <row r="736" spans="1:5" x14ac:dyDescent="0.25">
      <c r="A736" s="8">
        <v>42482.260416666664</v>
      </c>
      <c r="B736" s="7">
        <v>444.73379516601602</v>
      </c>
      <c r="C736" s="7">
        <v>133.78182983398401</v>
      </c>
      <c r="D736" s="7">
        <v>615.451416015625</v>
      </c>
      <c r="E736" s="5">
        <f t="shared" si="11"/>
        <v>0.72406048943014711</v>
      </c>
    </row>
    <row r="737" spans="1:5" x14ac:dyDescent="0.25">
      <c r="A737" s="8">
        <v>42482.270833333336</v>
      </c>
      <c r="B737" s="7">
        <v>444.44445800781301</v>
      </c>
      <c r="C737" s="7">
        <v>134.79455566406301</v>
      </c>
      <c r="D737" s="7">
        <v>607.638916015625</v>
      </c>
      <c r="E737" s="5">
        <f t="shared" si="11"/>
        <v>0.7148693129595588</v>
      </c>
    </row>
    <row r="738" spans="1:5" x14ac:dyDescent="0.25">
      <c r="A738" s="8">
        <v>42482.28125</v>
      </c>
      <c r="B738" s="7">
        <v>445.16781616210898</v>
      </c>
      <c r="C738" s="7">
        <v>134.89582824707</v>
      </c>
      <c r="D738" s="7">
        <v>592.30322265625</v>
      </c>
      <c r="E738" s="5">
        <f t="shared" si="11"/>
        <v>0.69682732077205878</v>
      </c>
    </row>
    <row r="739" spans="1:5" x14ac:dyDescent="0.25">
      <c r="A739" s="8">
        <v>42482.291666666664</v>
      </c>
      <c r="B739" s="7">
        <v>445.02313232421898</v>
      </c>
      <c r="C739" s="7">
        <v>135.30093383789099</v>
      </c>
      <c r="D739" s="7">
        <v>600.69445800781295</v>
      </c>
      <c r="E739" s="5">
        <f t="shared" si="11"/>
        <v>0.70669936236213293</v>
      </c>
    </row>
    <row r="740" spans="1:5" x14ac:dyDescent="0.25">
      <c r="A740" s="8">
        <v>42482.302083333336</v>
      </c>
      <c r="B740" s="7">
        <v>444.01040649414102</v>
      </c>
      <c r="C740" s="7">
        <v>136.31365966796901</v>
      </c>
      <c r="D740" s="7">
        <v>618.34490966796898</v>
      </c>
      <c r="E740" s="5">
        <f t="shared" si="11"/>
        <v>0.72746459960937526</v>
      </c>
    </row>
    <row r="741" spans="1:5" x14ac:dyDescent="0.25">
      <c r="A741" s="8">
        <v>42482.3125</v>
      </c>
      <c r="B741" s="7">
        <v>442.99768066406301</v>
      </c>
      <c r="C741" s="7">
        <v>137.427658081055</v>
      </c>
      <c r="D741" s="7">
        <v>646.701416015625</v>
      </c>
      <c r="E741" s="5">
        <f t="shared" si="11"/>
        <v>0.76082519531250004</v>
      </c>
    </row>
    <row r="742" spans="1:5" x14ac:dyDescent="0.25">
      <c r="A742" s="8">
        <v>42482.322916666664</v>
      </c>
      <c r="B742" s="7">
        <v>442.129638671875</v>
      </c>
      <c r="C742" s="7">
        <v>138.64294433593801</v>
      </c>
      <c r="D742" s="7">
        <v>650.75231933593795</v>
      </c>
      <c r="E742" s="5">
        <f t="shared" si="11"/>
        <v>0.76559096392463288</v>
      </c>
    </row>
    <row r="743" spans="1:5" x14ac:dyDescent="0.25">
      <c r="A743" s="8">
        <v>42482.333333333336</v>
      </c>
      <c r="B743" s="7">
        <v>441.40625</v>
      </c>
      <c r="C743" s="7">
        <v>140.162033081055</v>
      </c>
      <c r="D743" s="7">
        <v>653.93518066406295</v>
      </c>
      <c r="E743" s="5">
        <f t="shared" si="11"/>
        <v>0.76933550666360351</v>
      </c>
    </row>
    <row r="744" spans="1:5" x14ac:dyDescent="0.25">
      <c r="A744" s="8">
        <v>42482.34375</v>
      </c>
      <c r="B744" s="7">
        <v>442.129638671875</v>
      </c>
      <c r="C744" s="7">
        <v>139.75694274902301</v>
      </c>
      <c r="D744" s="7">
        <v>657.986083984375</v>
      </c>
      <c r="E744" s="5">
        <f t="shared" si="11"/>
        <v>0.77410127527573525</v>
      </c>
    </row>
    <row r="745" spans="1:5" x14ac:dyDescent="0.25">
      <c r="A745" s="8">
        <v>42482.354166666664</v>
      </c>
      <c r="B745" s="7">
        <v>440.82754516601602</v>
      </c>
      <c r="C745" s="7">
        <v>140.76968383789099</v>
      </c>
      <c r="D745" s="7">
        <v>657.986083984375</v>
      </c>
      <c r="E745" s="5">
        <f t="shared" si="11"/>
        <v>0.77410127527573525</v>
      </c>
    </row>
    <row r="746" spans="1:5" x14ac:dyDescent="0.25">
      <c r="A746" s="8">
        <v>42482.364583333336</v>
      </c>
      <c r="B746" s="7">
        <v>439.38079833984398</v>
      </c>
      <c r="C746" s="7">
        <v>141.88368225097699</v>
      </c>
      <c r="D746" s="7">
        <v>706.01849365234398</v>
      </c>
      <c r="E746" s="5">
        <f t="shared" si="11"/>
        <v>0.83060999253216938</v>
      </c>
    </row>
    <row r="747" spans="1:5" x14ac:dyDescent="0.25">
      <c r="A747" s="8">
        <v>42482.375</v>
      </c>
      <c r="B747" s="7">
        <v>439.67013549804699</v>
      </c>
      <c r="C747" s="7">
        <v>142.49131774902301</v>
      </c>
      <c r="D747" s="7">
        <v>681.13427734375</v>
      </c>
      <c r="E747" s="5">
        <f t="shared" si="11"/>
        <v>0.80133444393382358</v>
      </c>
    </row>
    <row r="748" spans="1:5" x14ac:dyDescent="0.25">
      <c r="A748" s="8">
        <v>42482.385416666664</v>
      </c>
      <c r="B748" s="7">
        <v>438.65740966796898</v>
      </c>
      <c r="C748" s="7">
        <v>142.99768066406301</v>
      </c>
      <c r="D748" s="7">
        <v>699.942138671875</v>
      </c>
      <c r="E748" s="5">
        <f t="shared" si="11"/>
        <v>0.82346133961397061</v>
      </c>
    </row>
    <row r="749" spans="1:5" x14ac:dyDescent="0.25">
      <c r="A749" s="8">
        <v>42482.395833333336</v>
      </c>
      <c r="B749" s="7">
        <v>439.23611450195301</v>
      </c>
      <c r="C749" s="7">
        <v>143.40278625488301</v>
      </c>
      <c r="D749" s="7">
        <v>698.78472900390602</v>
      </c>
      <c r="E749" s="5">
        <f t="shared" si="11"/>
        <v>0.82209968118106591</v>
      </c>
    </row>
    <row r="750" spans="1:5" x14ac:dyDescent="0.25">
      <c r="A750" s="8">
        <v>42482.40625</v>
      </c>
      <c r="B750" s="7">
        <v>438.65740966796898</v>
      </c>
      <c r="C750" s="7">
        <v>143.40278625488301</v>
      </c>
      <c r="D750" s="7">
        <v>716.14581298828102</v>
      </c>
      <c r="E750" s="5">
        <f t="shared" si="11"/>
        <v>0.84252448586856588</v>
      </c>
    </row>
    <row r="751" spans="1:5" x14ac:dyDescent="0.25">
      <c r="A751" s="8">
        <v>42482.416666666664</v>
      </c>
      <c r="B751" s="7">
        <v>439.09143066406301</v>
      </c>
      <c r="C751" s="7">
        <v>143.50405883789099</v>
      </c>
      <c r="D751" s="7">
        <v>699.07409667968795</v>
      </c>
      <c r="E751" s="5">
        <f t="shared" si="11"/>
        <v>0.82244011374080939</v>
      </c>
    </row>
    <row r="752" spans="1:5" x14ac:dyDescent="0.25">
      <c r="A752" s="8">
        <v>42482.427083333336</v>
      </c>
      <c r="B752" s="7">
        <v>438.36804199218801</v>
      </c>
      <c r="C752" s="7">
        <v>143.90914916992199</v>
      </c>
      <c r="D752" s="7">
        <v>712.09490966796898</v>
      </c>
      <c r="E752" s="5">
        <f t="shared" si="11"/>
        <v>0.83775871725643414</v>
      </c>
    </row>
    <row r="753" spans="1:5" x14ac:dyDescent="0.25">
      <c r="A753" s="8">
        <v>42482.4375</v>
      </c>
      <c r="B753" s="7">
        <v>438.94674682617199</v>
      </c>
      <c r="C753" s="7">
        <v>144.01042175293</v>
      </c>
      <c r="D753" s="7">
        <v>697.91668701171898</v>
      </c>
      <c r="E753" s="5">
        <f t="shared" si="11"/>
        <v>0.82107845530790469</v>
      </c>
    </row>
    <row r="754" spans="1:5" x14ac:dyDescent="0.25">
      <c r="A754" s="8">
        <v>42482.447916666664</v>
      </c>
      <c r="B754" s="7">
        <v>439.81481933593801</v>
      </c>
      <c r="C754" s="7">
        <v>143.50405883789099</v>
      </c>
      <c r="D754" s="7">
        <v>684.02777099609398</v>
      </c>
      <c r="E754" s="5">
        <f t="shared" si="11"/>
        <v>0.80473855411305173</v>
      </c>
    </row>
    <row r="755" spans="1:5" x14ac:dyDescent="0.25">
      <c r="A755" s="8">
        <v>42482.458333333336</v>
      </c>
      <c r="B755" s="7">
        <v>440.682861328125</v>
      </c>
      <c r="C755" s="7">
        <v>142.69386291503901</v>
      </c>
      <c r="D755" s="7">
        <v>675.92590332031295</v>
      </c>
      <c r="E755" s="5">
        <f t="shared" si="11"/>
        <v>0.79520694508272116</v>
      </c>
    </row>
  </sheetData>
  <mergeCells count="1">
    <mergeCell ref="G6:H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2710"/>
  <sheetViews>
    <sheetView topLeftCell="A19" zoomScale="85" zoomScaleNormal="85" workbookViewId="0">
      <selection activeCell="AA21" sqref="AA21"/>
    </sheetView>
  </sheetViews>
  <sheetFormatPr baseColWidth="10" defaultRowHeight="15" x14ac:dyDescent="0.25"/>
  <cols>
    <col min="1" max="1" width="15.7109375" bestFit="1" customWidth="1"/>
    <col min="2" max="2" width="14.140625" bestFit="1" customWidth="1"/>
    <col min="11" max="12" width="3.140625" bestFit="1" customWidth="1"/>
    <col min="33" max="33" width="11.85546875" bestFit="1" customWidth="1"/>
  </cols>
  <sheetData>
    <row r="1" spans="1:33" x14ac:dyDescent="0.25">
      <c r="A1" t="s">
        <v>25</v>
      </c>
    </row>
    <row r="2" spans="1:33" x14ac:dyDescent="0.25">
      <c r="A2" t="s">
        <v>26</v>
      </c>
      <c r="B2" t="s">
        <v>27</v>
      </c>
      <c r="C2" t="s">
        <v>28</v>
      </c>
      <c r="D2" t="s">
        <v>29</v>
      </c>
      <c r="E2" t="s">
        <v>30</v>
      </c>
    </row>
    <row r="3" spans="1:33" x14ac:dyDescent="0.25">
      <c r="B3" t="s">
        <v>31</v>
      </c>
      <c r="C3" t="s">
        <v>31</v>
      </c>
      <c r="D3" t="s">
        <v>31</v>
      </c>
      <c r="E3" t="s">
        <v>31</v>
      </c>
    </row>
    <row r="4" spans="1:33" x14ac:dyDescent="0.25">
      <c r="B4" t="s">
        <v>32</v>
      </c>
      <c r="C4" t="s">
        <v>33</v>
      </c>
      <c r="D4" t="s">
        <v>34</v>
      </c>
      <c r="E4" t="s">
        <v>34</v>
      </c>
    </row>
    <row r="5" spans="1:33" x14ac:dyDescent="0.25">
      <c r="A5" s="22">
        <v>41891.729166666664</v>
      </c>
      <c r="B5" s="23">
        <v>466.6</v>
      </c>
      <c r="C5">
        <v>94.3</v>
      </c>
      <c r="D5">
        <v>10.3</v>
      </c>
      <c r="E5">
        <v>6</v>
      </c>
      <c r="G5" s="23">
        <f>+DAY(A5)</f>
        <v>9</v>
      </c>
      <c r="H5" s="23">
        <f>+HOUR(A5)</f>
        <v>17</v>
      </c>
      <c r="K5">
        <v>9</v>
      </c>
      <c r="L5">
        <v>0</v>
      </c>
      <c r="M5" t="e">
        <f>+AVERAGEIF($H$5:$H$81,L5,$B$5:$B$81)</f>
        <v>#DIV/0!</v>
      </c>
      <c r="N5">
        <v>58</v>
      </c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</row>
    <row r="6" spans="1:33" x14ac:dyDescent="0.25">
      <c r="A6" s="22">
        <v>41891.732638888891</v>
      </c>
      <c r="B6" s="23">
        <v>467.4</v>
      </c>
      <c r="C6">
        <v>94.3</v>
      </c>
      <c r="D6">
        <v>10.1</v>
      </c>
      <c r="E6">
        <v>6</v>
      </c>
      <c r="G6" s="23">
        <f t="shared" ref="G6:G69" si="0">+DAY(A6)</f>
        <v>9</v>
      </c>
      <c r="H6" s="23">
        <f t="shared" ref="H6:H69" si="1">+HOUR(A6)</f>
        <v>17</v>
      </c>
      <c r="K6">
        <f>+K5</f>
        <v>9</v>
      </c>
      <c r="L6">
        <v>1</v>
      </c>
      <c r="M6" t="e">
        <f t="shared" ref="M6:M28" si="2">+AVERAGEIF($H$5:$H$81,L6,$B$5:$B$81)</f>
        <v>#DIV/0!</v>
      </c>
      <c r="N6">
        <v>92</v>
      </c>
      <c r="U6" s="24" t="s">
        <v>9</v>
      </c>
      <c r="V6" s="24" t="s">
        <v>35</v>
      </c>
      <c r="W6" s="24" t="s">
        <v>36</v>
      </c>
      <c r="X6" s="24" t="s">
        <v>37</v>
      </c>
      <c r="Y6" s="24" t="s">
        <v>38</v>
      </c>
      <c r="Z6" s="24" t="s">
        <v>39</v>
      </c>
      <c r="AA6" s="24" t="s">
        <v>40</v>
      </c>
      <c r="AB6" s="24" t="s">
        <v>41</v>
      </c>
      <c r="AC6" s="24" t="s">
        <v>42</v>
      </c>
      <c r="AD6" s="24" t="s">
        <v>43</v>
      </c>
      <c r="AE6" s="18"/>
      <c r="AF6" s="18"/>
      <c r="AG6" s="18"/>
    </row>
    <row r="7" spans="1:33" x14ac:dyDescent="0.25">
      <c r="A7" s="22">
        <v>41891.739583333336</v>
      </c>
      <c r="B7" s="23">
        <v>468.5</v>
      </c>
      <c r="C7">
        <v>94.2</v>
      </c>
      <c r="D7">
        <v>10.3</v>
      </c>
      <c r="E7">
        <v>6.1</v>
      </c>
      <c r="G7" s="23">
        <f t="shared" si="0"/>
        <v>9</v>
      </c>
      <c r="H7" s="23">
        <f t="shared" si="1"/>
        <v>17</v>
      </c>
      <c r="K7">
        <f t="shared" ref="K7:K28" si="3">+K6</f>
        <v>9</v>
      </c>
      <c r="L7">
        <v>2</v>
      </c>
      <c r="M7" t="e">
        <f t="shared" si="2"/>
        <v>#DIV/0!</v>
      </c>
      <c r="N7">
        <v>22</v>
      </c>
      <c r="U7" s="23">
        <v>100</v>
      </c>
      <c r="V7" s="23">
        <v>588.20000000000005</v>
      </c>
      <c r="W7" s="23">
        <v>6.66</v>
      </c>
      <c r="X7" s="23">
        <v>12.22</v>
      </c>
      <c r="Y7" s="23">
        <v>90.86</v>
      </c>
      <c r="Z7" s="23">
        <v>29.44</v>
      </c>
      <c r="AA7" s="23">
        <v>35</v>
      </c>
      <c r="AB7" s="23">
        <v>107.65</v>
      </c>
      <c r="AC7" s="23">
        <v>113.6</v>
      </c>
      <c r="AD7" s="23">
        <f>+V7/AC7</f>
        <v>5.177816901408451</v>
      </c>
      <c r="AF7" s="23"/>
      <c r="AG7" s="23"/>
    </row>
    <row r="8" spans="1:33" x14ac:dyDescent="0.25">
      <c r="A8" s="22">
        <v>41891.743055555555</v>
      </c>
      <c r="B8" s="23">
        <v>468.3</v>
      </c>
      <c r="C8">
        <v>94.3</v>
      </c>
      <c r="D8">
        <v>10.3</v>
      </c>
      <c r="E8">
        <v>6.1</v>
      </c>
      <c r="G8" s="23">
        <f t="shared" si="0"/>
        <v>9</v>
      </c>
      <c r="H8" s="23">
        <f t="shared" si="1"/>
        <v>17</v>
      </c>
      <c r="K8">
        <f t="shared" si="3"/>
        <v>9</v>
      </c>
      <c r="L8">
        <v>3</v>
      </c>
      <c r="M8" t="e">
        <f t="shared" si="2"/>
        <v>#DIV/0!</v>
      </c>
      <c r="N8">
        <v>152</v>
      </c>
      <c r="Q8">
        <f>+SUM(M22:M74)</f>
        <v>22181.66333333333</v>
      </c>
      <c r="R8">
        <f>+SUM(N22:N74)</f>
        <v>7001</v>
      </c>
      <c r="U8" s="23">
        <v>90</v>
      </c>
      <c r="V8" s="23">
        <v>529.4</v>
      </c>
      <c r="W8" s="23">
        <v>6.66</v>
      </c>
      <c r="X8" s="23">
        <v>11.66</v>
      </c>
      <c r="Y8" s="23">
        <v>90.86</v>
      </c>
      <c r="Z8" s="23">
        <v>29.44</v>
      </c>
      <c r="AA8" s="23">
        <v>34.44</v>
      </c>
      <c r="AB8" s="23">
        <v>107.65</v>
      </c>
      <c r="AC8" s="23">
        <v>101.6</v>
      </c>
      <c r="AD8" s="23">
        <f t="shared" ref="AD8:AD15" si="4">+V8/AC8</f>
        <v>5.2106299212598426</v>
      </c>
      <c r="AE8">
        <f>+AD8/$AD$7</f>
        <v>1.0063372306275384</v>
      </c>
      <c r="AF8" s="23"/>
      <c r="AG8" s="23"/>
    </row>
    <row r="9" spans="1:33" x14ac:dyDescent="0.25">
      <c r="A9" s="22">
        <v>41891.746527777781</v>
      </c>
      <c r="B9" s="23">
        <v>467.6</v>
      </c>
      <c r="C9">
        <v>94.2</v>
      </c>
      <c r="D9">
        <v>10.3</v>
      </c>
      <c r="E9">
        <v>6</v>
      </c>
      <c r="G9" s="23">
        <f t="shared" si="0"/>
        <v>9</v>
      </c>
      <c r="H9" s="23">
        <f t="shared" si="1"/>
        <v>17</v>
      </c>
      <c r="K9">
        <f t="shared" si="3"/>
        <v>9</v>
      </c>
      <c r="L9">
        <v>4</v>
      </c>
      <c r="M9" t="e">
        <f t="shared" si="2"/>
        <v>#DIV/0!</v>
      </c>
      <c r="N9">
        <v>41</v>
      </c>
      <c r="U9" s="23">
        <v>80</v>
      </c>
      <c r="V9" s="23">
        <v>470.6</v>
      </c>
      <c r="W9" s="23">
        <v>6.66</v>
      </c>
      <c r="X9" s="23">
        <v>11.11</v>
      </c>
      <c r="Y9" s="23">
        <v>90.86</v>
      </c>
      <c r="Z9" s="23">
        <v>29.44</v>
      </c>
      <c r="AA9" s="23">
        <v>33.880000000000003</v>
      </c>
      <c r="AB9" s="23">
        <v>107.65</v>
      </c>
      <c r="AC9" s="23">
        <v>92.2</v>
      </c>
      <c r="AD9" s="23">
        <f t="shared" si="4"/>
        <v>5.1041214750542299</v>
      </c>
      <c r="AE9">
        <f t="shared" ref="AE9:AE15" si="5">+AD9/$AD$7</f>
        <v>0.98576708528759005</v>
      </c>
      <c r="AF9" s="23"/>
      <c r="AG9" s="23"/>
    </row>
    <row r="10" spans="1:33" x14ac:dyDescent="0.25">
      <c r="A10" s="22">
        <v>41891.75</v>
      </c>
      <c r="B10" s="23">
        <v>467.2</v>
      </c>
      <c r="C10">
        <v>94.2</v>
      </c>
      <c r="D10">
        <v>10.199999999999999</v>
      </c>
      <c r="E10">
        <v>6</v>
      </c>
      <c r="G10" s="23">
        <f t="shared" si="0"/>
        <v>9</v>
      </c>
      <c r="H10" s="23">
        <f t="shared" si="1"/>
        <v>18</v>
      </c>
      <c r="K10">
        <f t="shared" si="3"/>
        <v>9</v>
      </c>
      <c r="L10">
        <v>5</v>
      </c>
      <c r="M10" t="e">
        <f t="shared" si="2"/>
        <v>#DIV/0!</v>
      </c>
      <c r="N10">
        <v>138</v>
      </c>
      <c r="U10" s="23">
        <v>70</v>
      </c>
      <c r="V10" s="23">
        <v>411.7</v>
      </c>
      <c r="W10" s="23">
        <v>6.66</v>
      </c>
      <c r="X10" s="23">
        <v>10.55</v>
      </c>
      <c r="Y10" s="23">
        <v>90.86</v>
      </c>
      <c r="Z10" s="23">
        <v>29.44</v>
      </c>
      <c r="AA10" s="23">
        <v>33.33</v>
      </c>
      <c r="AB10" s="23">
        <v>107.65</v>
      </c>
      <c r="AC10" s="23">
        <v>84.9</v>
      </c>
      <c r="AD10" s="23">
        <f t="shared" si="4"/>
        <v>4.8492343934040045</v>
      </c>
      <c r="AE10">
        <f t="shared" si="5"/>
        <v>0.93654033847448981</v>
      </c>
      <c r="AF10" s="23"/>
      <c r="AG10" s="23"/>
    </row>
    <row r="11" spans="1:33" x14ac:dyDescent="0.25">
      <c r="A11" s="22">
        <v>41891.753472222219</v>
      </c>
      <c r="B11" s="23">
        <v>470.2</v>
      </c>
      <c r="C11">
        <v>94.3</v>
      </c>
      <c r="D11">
        <v>10.199999999999999</v>
      </c>
      <c r="E11">
        <v>5.9</v>
      </c>
      <c r="G11" s="23">
        <f t="shared" si="0"/>
        <v>9</v>
      </c>
      <c r="H11" s="23">
        <f t="shared" si="1"/>
        <v>18</v>
      </c>
      <c r="K11">
        <f t="shared" si="3"/>
        <v>9</v>
      </c>
      <c r="L11">
        <v>6</v>
      </c>
      <c r="M11" t="e">
        <f t="shared" si="2"/>
        <v>#DIV/0!</v>
      </c>
      <c r="N11">
        <v>102</v>
      </c>
      <c r="U11" s="23">
        <v>60</v>
      </c>
      <c r="V11" s="23">
        <v>352.9</v>
      </c>
      <c r="W11" s="23">
        <v>6.66</v>
      </c>
      <c r="X11" s="23">
        <v>10</v>
      </c>
      <c r="Y11" s="23">
        <v>90.86</v>
      </c>
      <c r="Z11" s="23">
        <v>29.44</v>
      </c>
      <c r="AA11" s="23">
        <v>32.83</v>
      </c>
      <c r="AB11" s="23">
        <v>107.65</v>
      </c>
      <c r="AC11" s="23">
        <v>76.099999999999994</v>
      </c>
      <c r="AD11" s="23">
        <f t="shared" si="4"/>
        <v>4.6373193166885676</v>
      </c>
      <c r="AE11">
        <f t="shared" si="5"/>
        <v>0.89561284320948864</v>
      </c>
      <c r="AF11" s="23"/>
      <c r="AG11" s="23"/>
    </row>
    <row r="12" spans="1:33" x14ac:dyDescent="0.25">
      <c r="A12" s="22">
        <v>41891.756944444445</v>
      </c>
      <c r="B12" s="23">
        <v>469.3</v>
      </c>
      <c r="C12">
        <v>94.3</v>
      </c>
      <c r="D12">
        <v>10.199999999999999</v>
      </c>
      <c r="E12">
        <v>5.9</v>
      </c>
      <c r="G12" s="23">
        <f t="shared" si="0"/>
        <v>9</v>
      </c>
      <c r="H12" s="23">
        <f t="shared" si="1"/>
        <v>18</v>
      </c>
      <c r="K12">
        <f t="shared" si="3"/>
        <v>9</v>
      </c>
      <c r="L12">
        <v>7</v>
      </c>
      <c r="M12" t="e">
        <f t="shared" si="2"/>
        <v>#DIV/0!</v>
      </c>
      <c r="N12">
        <v>60</v>
      </c>
      <c r="U12" s="23">
        <v>50</v>
      </c>
      <c r="V12" s="23">
        <v>294.10000000000002</v>
      </c>
      <c r="W12" s="23">
        <v>6.66</v>
      </c>
      <c r="X12" s="23">
        <v>9.44</v>
      </c>
      <c r="Y12" s="23">
        <v>90.86</v>
      </c>
      <c r="Z12" s="23">
        <v>29.44</v>
      </c>
      <c r="AA12" s="23">
        <v>32.22</v>
      </c>
      <c r="AB12" s="23">
        <v>107.65</v>
      </c>
      <c r="AC12" s="23">
        <v>56.3</v>
      </c>
      <c r="AD12" s="23">
        <f t="shared" si="4"/>
        <v>5.2238010657193614</v>
      </c>
      <c r="AE12">
        <f t="shared" si="5"/>
        <v>1.0088809946714032</v>
      </c>
      <c r="AF12" s="23"/>
      <c r="AG12" s="23"/>
    </row>
    <row r="13" spans="1:33" x14ac:dyDescent="0.25">
      <c r="A13" s="22">
        <v>41891.760416666664</v>
      </c>
      <c r="B13" s="23">
        <v>470.1</v>
      </c>
      <c r="C13">
        <v>94.2</v>
      </c>
      <c r="D13">
        <v>10.199999999999999</v>
      </c>
      <c r="E13">
        <v>5.9</v>
      </c>
      <c r="G13" s="23">
        <f t="shared" si="0"/>
        <v>9</v>
      </c>
      <c r="H13" s="23">
        <f t="shared" si="1"/>
        <v>18</v>
      </c>
      <c r="K13">
        <f t="shared" si="3"/>
        <v>9</v>
      </c>
      <c r="L13">
        <v>8</v>
      </c>
      <c r="M13" t="e">
        <f t="shared" si="2"/>
        <v>#DIV/0!</v>
      </c>
      <c r="N13">
        <v>64</v>
      </c>
      <c r="U13" s="23">
        <v>40</v>
      </c>
      <c r="V13" s="23">
        <v>235.3</v>
      </c>
      <c r="W13" s="23">
        <v>6.66</v>
      </c>
      <c r="X13" s="23">
        <v>8.8800000000000008</v>
      </c>
      <c r="Y13" s="23">
        <v>90.86</v>
      </c>
      <c r="Z13" s="23">
        <v>29.44</v>
      </c>
      <c r="AA13" s="23">
        <v>31.667000000000002</v>
      </c>
      <c r="AB13" s="23">
        <v>107.65</v>
      </c>
      <c r="AC13" s="23">
        <v>44.9</v>
      </c>
      <c r="AD13" s="23">
        <f t="shared" si="4"/>
        <v>5.2405345211581293</v>
      </c>
      <c r="AE13">
        <f t="shared" si="5"/>
        <v>1.0121127534912673</v>
      </c>
      <c r="AF13" s="23"/>
      <c r="AG13" s="23"/>
    </row>
    <row r="14" spans="1:33" x14ac:dyDescent="0.25">
      <c r="A14" s="22">
        <v>41891.763888888891</v>
      </c>
      <c r="B14" s="23">
        <v>472.7</v>
      </c>
      <c r="C14">
        <v>94.2</v>
      </c>
      <c r="D14">
        <v>10.199999999999999</v>
      </c>
      <c r="E14">
        <v>5.9</v>
      </c>
      <c r="G14" s="23">
        <f t="shared" si="0"/>
        <v>9</v>
      </c>
      <c r="H14" s="23">
        <f t="shared" si="1"/>
        <v>18</v>
      </c>
      <c r="K14">
        <f t="shared" si="3"/>
        <v>9</v>
      </c>
      <c r="L14">
        <v>9</v>
      </c>
      <c r="M14" t="e">
        <f t="shared" si="2"/>
        <v>#DIV/0!</v>
      </c>
      <c r="N14">
        <v>129</v>
      </c>
      <c r="U14" s="23">
        <v>30</v>
      </c>
      <c r="V14" s="23">
        <v>176.5</v>
      </c>
      <c r="W14" s="23">
        <v>6.66</v>
      </c>
      <c r="X14" s="23">
        <v>8.33</v>
      </c>
      <c r="Y14" s="23">
        <v>90.86</v>
      </c>
      <c r="Z14" s="23">
        <v>29.44</v>
      </c>
      <c r="AA14" s="23">
        <v>31.167000000000002</v>
      </c>
      <c r="AB14" s="23">
        <v>107.65</v>
      </c>
      <c r="AC14" s="23">
        <v>37.9</v>
      </c>
      <c r="AD14" s="23">
        <f t="shared" si="4"/>
        <v>4.6569920844327175</v>
      </c>
      <c r="AE14">
        <f t="shared" si="5"/>
        <v>0.8994122760822113</v>
      </c>
      <c r="AF14" s="23"/>
      <c r="AG14" s="23"/>
    </row>
    <row r="15" spans="1:33" x14ac:dyDescent="0.25">
      <c r="A15" s="22">
        <v>41891.767361111109</v>
      </c>
      <c r="B15" s="23">
        <v>472.1</v>
      </c>
      <c r="C15">
        <v>94.2</v>
      </c>
      <c r="D15">
        <v>10.4</v>
      </c>
      <c r="E15">
        <v>6.1</v>
      </c>
      <c r="G15" s="23">
        <f t="shared" si="0"/>
        <v>9</v>
      </c>
      <c r="H15" s="23">
        <f t="shared" si="1"/>
        <v>18</v>
      </c>
      <c r="K15">
        <f t="shared" si="3"/>
        <v>9</v>
      </c>
      <c r="L15">
        <v>10</v>
      </c>
      <c r="M15" t="e">
        <f t="shared" si="2"/>
        <v>#DIV/0!</v>
      </c>
      <c r="N15">
        <v>102</v>
      </c>
      <c r="U15" s="23">
        <v>20</v>
      </c>
      <c r="V15" s="23">
        <v>117.6</v>
      </c>
      <c r="W15" s="23">
        <v>6.66</v>
      </c>
      <c r="X15" s="23">
        <v>7.77</v>
      </c>
      <c r="Y15" s="23">
        <v>90.86</v>
      </c>
      <c r="Z15" s="23">
        <v>29.44</v>
      </c>
      <c r="AA15" s="23">
        <v>30.667000000000002</v>
      </c>
      <c r="AB15" s="23">
        <v>107.65</v>
      </c>
      <c r="AC15" s="23">
        <v>34.1</v>
      </c>
      <c r="AD15" s="23">
        <f t="shared" si="4"/>
        <v>3.448680351906158</v>
      </c>
      <c r="AE15">
        <f t="shared" si="5"/>
        <v>0.6660491125068676</v>
      </c>
      <c r="AF15" s="23"/>
      <c r="AG15" s="23"/>
    </row>
    <row r="16" spans="1:33" x14ac:dyDescent="0.25">
      <c r="A16" s="22">
        <v>41891.770833333336</v>
      </c>
      <c r="B16" s="23">
        <v>465.8</v>
      </c>
      <c r="C16">
        <v>94.3</v>
      </c>
      <c r="D16">
        <v>10.3</v>
      </c>
      <c r="E16">
        <v>6</v>
      </c>
      <c r="G16" s="23">
        <f t="shared" si="0"/>
        <v>9</v>
      </c>
      <c r="H16" s="23">
        <f t="shared" si="1"/>
        <v>18</v>
      </c>
      <c r="K16">
        <f t="shared" si="3"/>
        <v>9</v>
      </c>
      <c r="L16">
        <v>11</v>
      </c>
      <c r="M16" t="e">
        <f t="shared" si="2"/>
        <v>#DIV/0!</v>
      </c>
      <c r="N16">
        <v>100</v>
      </c>
    </row>
    <row r="17" spans="1:49" x14ac:dyDescent="0.25">
      <c r="A17" s="22">
        <v>41891.774305555555</v>
      </c>
      <c r="B17" s="23">
        <v>466.6</v>
      </c>
      <c r="C17">
        <v>94.3</v>
      </c>
      <c r="D17">
        <v>10.3</v>
      </c>
      <c r="E17">
        <v>6</v>
      </c>
      <c r="G17" s="23">
        <f t="shared" si="0"/>
        <v>9</v>
      </c>
      <c r="H17" s="23">
        <f t="shared" si="1"/>
        <v>18</v>
      </c>
      <c r="K17">
        <f t="shared" si="3"/>
        <v>9</v>
      </c>
      <c r="L17">
        <v>12</v>
      </c>
      <c r="M17" t="e">
        <f t="shared" si="2"/>
        <v>#DIV/0!</v>
      </c>
      <c r="N17">
        <v>129</v>
      </c>
    </row>
    <row r="18" spans="1:49" x14ac:dyDescent="0.25">
      <c r="A18" s="22">
        <v>41891.777777777781</v>
      </c>
      <c r="B18" s="23">
        <v>468.2</v>
      </c>
      <c r="C18">
        <v>94.2</v>
      </c>
      <c r="D18">
        <v>10.4</v>
      </c>
      <c r="E18">
        <v>6.1</v>
      </c>
      <c r="G18" s="23">
        <f t="shared" si="0"/>
        <v>9</v>
      </c>
      <c r="H18" s="23">
        <f t="shared" si="1"/>
        <v>18</v>
      </c>
      <c r="K18">
        <f t="shared" si="3"/>
        <v>9</v>
      </c>
      <c r="L18">
        <v>13</v>
      </c>
      <c r="M18" t="e">
        <f t="shared" si="2"/>
        <v>#DIV/0!</v>
      </c>
      <c r="N18">
        <v>60</v>
      </c>
      <c r="W18" s="23"/>
      <c r="Y18" s="23"/>
      <c r="AS18" s="673" t="s">
        <v>42</v>
      </c>
      <c r="AT18" s="673"/>
      <c r="AU18" s="673"/>
      <c r="AV18" s="673"/>
    </row>
    <row r="19" spans="1:49" ht="15.75" thickBot="1" x14ac:dyDescent="0.3">
      <c r="A19" s="22">
        <v>41891.78125</v>
      </c>
      <c r="B19" s="23">
        <v>469.3</v>
      </c>
      <c r="C19">
        <v>94.2</v>
      </c>
      <c r="D19">
        <v>10.4</v>
      </c>
      <c r="E19">
        <v>6.2</v>
      </c>
      <c r="G19" s="23">
        <f t="shared" si="0"/>
        <v>9</v>
      </c>
      <c r="H19" s="23">
        <f t="shared" si="1"/>
        <v>18</v>
      </c>
      <c r="K19">
        <f t="shared" si="3"/>
        <v>9</v>
      </c>
      <c r="L19">
        <v>14</v>
      </c>
      <c r="M19" t="e">
        <f t="shared" si="2"/>
        <v>#DIV/0!</v>
      </c>
      <c r="N19">
        <v>140</v>
      </c>
      <c r="AA19" s="673" t="s">
        <v>43</v>
      </c>
      <c r="AB19" s="673"/>
      <c r="AC19" s="673"/>
      <c r="AD19" s="673"/>
      <c r="AS19" s="673" t="s">
        <v>44</v>
      </c>
      <c r="AT19" s="673"/>
      <c r="AU19" s="673"/>
      <c r="AV19" s="673"/>
    </row>
    <row r="20" spans="1:49" x14ac:dyDescent="0.25">
      <c r="A20" s="22">
        <v>41891.784722222219</v>
      </c>
      <c r="B20" s="23">
        <v>473.3</v>
      </c>
      <c r="C20">
        <v>94.2</v>
      </c>
      <c r="D20">
        <v>10.5</v>
      </c>
      <c r="E20">
        <v>6.2</v>
      </c>
      <c r="G20" s="23">
        <f t="shared" si="0"/>
        <v>9</v>
      </c>
      <c r="H20" s="23">
        <f t="shared" si="1"/>
        <v>18</v>
      </c>
      <c r="K20">
        <f t="shared" si="3"/>
        <v>9</v>
      </c>
      <c r="L20">
        <v>15</v>
      </c>
      <c r="M20" t="e">
        <f t="shared" si="2"/>
        <v>#DIV/0!</v>
      </c>
      <c r="N20">
        <v>93</v>
      </c>
      <c r="AA20" s="673" t="s">
        <v>44</v>
      </c>
      <c r="AB20" s="673"/>
      <c r="AC20" s="673"/>
      <c r="AD20" s="673"/>
      <c r="AG20" s="674" t="s">
        <v>9</v>
      </c>
      <c r="AH20" s="25">
        <v>7</v>
      </c>
      <c r="AI20" s="26" t="s">
        <v>45</v>
      </c>
      <c r="AR20" s="27" t="s">
        <v>46</v>
      </c>
      <c r="AS20" s="28">
        <v>5</v>
      </c>
      <c r="AT20" s="29">
        <v>6</v>
      </c>
      <c r="AU20" s="28">
        <v>7</v>
      </c>
      <c r="AV20" s="28">
        <v>8</v>
      </c>
      <c r="AW20" s="28">
        <v>9</v>
      </c>
    </row>
    <row r="21" spans="1:49" x14ac:dyDescent="0.25">
      <c r="A21" s="22">
        <v>41891.788194444445</v>
      </c>
      <c r="B21" s="23">
        <v>474.3</v>
      </c>
      <c r="C21">
        <v>94.4</v>
      </c>
      <c r="D21">
        <v>10.6</v>
      </c>
      <c r="E21">
        <v>6.3</v>
      </c>
      <c r="G21" s="23">
        <f t="shared" si="0"/>
        <v>9</v>
      </c>
      <c r="H21" s="23">
        <f t="shared" si="1"/>
        <v>18</v>
      </c>
      <c r="K21">
        <f t="shared" si="3"/>
        <v>9</v>
      </c>
      <c r="L21">
        <v>16</v>
      </c>
      <c r="M21" t="e">
        <f t="shared" si="2"/>
        <v>#DIV/0!</v>
      </c>
      <c r="N21">
        <v>80</v>
      </c>
      <c r="U21" s="24" t="s">
        <v>45</v>
      </c>
      <c r="V21" s="24" t="s">
        <v>46</v>
      </c>
      <c r="W21" s="24" t="s">
        <v>43</v>
      </c>
      <c r="X21" s="24" t="s">
        <v>42</v>
      </c>
      <c r="Z21" s="27" t="s">
        <v>46</v>
      </c>
      <c r="AA21" s="28">
        <v>5</v>
      </c>
      <c r="AB21" s="29">
        <v>6</v>
      </c>
      <c r="AC21" s="28">
        <v>7</v>
      </c>
      <c r="AD21" s="28">
        <v>8</v>
      </c>
      <c r="AE21" s="28">
        <v>9</v>
      </c>
      <c r="AG21" s="675"/>
      <c r="AH21" s="30">
        <v>30</v>
      </c>
      <c r="AI21" s="31" t="s">
        <v>46</v>
      </c>
      <c r="AR21" s="32">
        <v>25</v>
      </c>
      <c r="AS21" s="33">
        <f>-6.42*AR21+743.47</f>
        <v>582.97</v>
      </c>
      <c r="AT21" s="33">
        <f>21.678*AT20+474.31</f>
        <v>604.37800000000004</v>
      </c>
      <c r="AU21" s="33">
        <f>-6.71*AR21+793.27</f>
        <v>625.52</v>
      </c>
      <c r="AV21" s="33">
        <f>21.678*AV20+474.31</f>
        <v>647.73400000000004</v>
      </c>
      <c r="AW21" s="33">
        <f t="shared" ref="AW21:AW31" si="6">-6.99*AR21+844.43</f>
        <v>669.68</v>
      </c>
    </row>
    <row r="22" spans="1:49" x14ac:dyDescent="0.25">
      <c r="A22" s="22">
        <v>41891.791666666664</v>
      </c>
      <c r="B22" s="23">
        <v>472.4</v>
      </c>
      <c r="C22">
        <v>94.3</v>
      </c>
      <c r="D22">
        <v>10.5</v>
      </c>
      <c r="E22">
        <v>6.2</v>
      </c>
      <c r="G22" s="23">
        <f t="shared" si="0"/>
        <v>9</v>
      </c>
      <c r="H22" s="23">
        <f t="shared" si="1"/>
        <v>19</v>
      </c>
      <c r="K22">
        <f t="shared" si="3"/>
        <v>9</v>
      </c>
      <c r="L22">
        <v>17</v>
      </c>
      <c r="M22">
        <f t="shared" si="2"/>
        <v>467.68</v>
      </c>
      <c r="N22">
        <v>122</v>
      </c>
      <c r="O22">
        <f>+M22/N22</f>
        <v>3.8334426229508196</v>
      </c>
      <c r="P22">
        <f>+Q8/R8</f>
        <v>3.1683564252725795</v>
      </c>
      <c r="Q22" s="5">
        <f>+M22/588</f>
        <v>0.79537414965986397</v>
      </c>
      <c r="R22" s="34">
        <f>+AVERAGE(Q22:Q49)</f>
        <v>0.71653840702947846</v>
      </c>
      <c r="U22">
        <v>5</v>
      </c>
      <c r="V22">
        <v>25</v>
      </c>
      <c r="W22">
        <v>5.7</v>
      </c>
      <c r="X22">
        <v>582.6</v>
      </c>
      <c r="Z22" s="32">
        <v>25</v>
      </c>
      <c r="AA22">
        <f>-0.16*Z22+9.7</f>
        <v>5.6999999999999993</v>
      </c>
      <c r="AB22">
        <f>-0.0104*AB21^2+0.316*AB21+4.3794</f>
        <v>5.9009999999999998</v>
      </c>
      <c r="AC22">
        <f t="shared" ref="AC22:AC32" si="7">-0.17*Z22+10.333</f>
        <v>6.0830000000000002</v>
      </c>
      <c r="AD22">
        <f>-0.0104*AD21^2+0.316*AD21+4.3794</f>
        <v>6.2418000000000005</v>
      </c>
      <c r="AE22">
        <f t="shared" ref="AE22:AE32" si="8">-0.17*Z22+10.633</f>
        <v>6.3829999999999991</v>
      </c>
      <c r="AG22" s="52">
        <v>100</v>
      </c>
      <c r="AH22" s="35">
        <f>INDEX(COP,MATCH(AH21,Z22:Z32,0),MATCH(AH20,AA21:AE21,0))</f>
        <v>5.2329999999999997</v>
      </c>
      <c r="AI22" s="36">
        <f>+INDEX(kW,MATCH(AH21,AR21:AR31,0), MATCH(AH20,AS20:AW20,0))</f>
        <v>591.97</v>
      </c>
      <c r="AR22" s="32">
        <v>26</v>
      </c>
      <c r="AS22" s="33">
        <f t="shared" ref="AS22:AS31" si="9">-6.42*AR22+743.47</f>
        <v>576.55000000000007</v>
      </c>
      <c r="AT22" s="33">
        <f>21.535*AT20+468.61</f>
        <v>597.82000000000005</v>
      </c>
      <c r="AU22" s="33">
        <f t="shared" ref="AU22:AU31" si="10">-6.71*AR22+793.27</f>
        <v>618.80999999999995</v>
      </c>
      <c r="AV22" s="33">
        <f>21.535*AV20+468.61</f>
        <v>640.89</v>
      </c>
      <c r="AW22" s="33">
        <f t="shared" si="6"/>
        <v>662.68999999999994</v>
      </c>
    </row>
    <row r="23" spans="1:49" x14ac:dyDescent="0.25">
      <c r="A23" s="22">
        <v>41891.795138888891</v>
      </c>
      <c r="B23" s="23">
        <v>474.5</v>
      </c>
      <c r="C23">
        <v>94.2</v>
      </c>
      <c r="D23">
        <v>10.5</v>
      </c>
      <c r="E23">
        <v>6.2</v>
      </c>
      <c r="G23" s="23">
        <f t="shared" si="0"/>
        <v>9</v>
      </c>
      <c r="H23" s="23">
        <f t="shared" si="1"/>
        <v>19</v>
      </c>
      <c r="K23">
        <f t="shared" si="3"/>
        <v>9</v>
      </c>
      <c r="L23">
        <v>18</v>
      </c>
      <c r="M23">
        <f t="shared" si="2"/>
        <v>469.92500000000001</v>
      </c>
      <c r="N23">
        <v>116</v>
      </c>
      <c r="O23">
        <f t="shared" ref="O23:O78" si="11">+M23/N23</f>
        <v>4.0510775862068966</v>
      </c>
      <c r="P23">
        <f>+P22</f>
        <v>3.1683564252725795</v>
      </c>
      <c r="Q23" s="5">
        <f t="shared" ref="Q23:Q74" si="12">+M23/588</f>
        <v>0.79919217687074828</v>
      </c>
      <c r="R23" s="34">
        <f>+R22</f>
        <v>0.71653840702947846</v>
      </c>
      <c r="U23">
        <v>5</v>
      </c>
      <c r="V23">
        <v>30</v>
      </c>
      <c r="W23">
        <v>4.9000000000000004</v>
      </c>
      <c r="X23">
        <v>551.6</v>
      </c>
      <c r="Z23" s="32">
        <v>26</v>
      </c>
      <c r="AA23">
        <f t="shared" ref="AA23:AA32" si="13">-0.16*Z23+9.7</f>
        <v>5.5399999999999991</v>
      </c>
      <c r="AB23">
        <f>-0.0091*AB21^2+0.296*AB21+4.2881</f>
        <v>5.7364999999999995</v>
      </c>
      <c r="AC23">
        <f t="shared" si="7"/>
        <v>5.9130000000000003</v>
      </c>
      <c r="AD23">
        <f>-0.0091*AD21^2+0.296*AD21+4.2881</f>
        <v>6.0736999999999997</v>
      </c>
      <c r="AE23">
        <f t="shared" si="8"/>
        <v>6.2129999999999992</v>
      </c>
      <c r="AG23" s="52">
        <v>90</v>
      </c>
      <c r="AH23" s="35">
        <f t="shared" ref="AH23:AH30" si="14">+$AH$22*AE8</f>
        <v>5.2661627278739083</v>
      </c>
      <c r="AI23" s="36">
        <f t="shared" ref="AI23:AI30" si="15">+AG23*$AI$22/100</f>
        <v>532.77300000000002</v>
      </c>
      <c r="AR23" s="32">
        <v>27</v>
      </c>
      <c r="AS23" s="33">
        <f t="shared" si="9"/>
        <v>570.13</v>
      </c>
      <c r="AT23" s="33">
        <f>21.392*AT20+462.9</f>
        <v>591.25199999999995</v>
      </c>
      <c r="AU23" s="33">
        <f t="shared" si="10"/>
        <v>612.1</v>
      </c>
      <c r="AV23" s="33">
        <f>21.392*AV20+462.9</f>
        <v>634.03599999999994</v>
      </c>
      <c r="AW23" s="33">
        <f t="shared" si="6"/>
        <v>655.69999999999993</v>
      </c>
    </row>
    <row r="24" spans="1:49" x14ac:dyDescent="0.25">
      <c r="A24" s="22">
        <v>41891.798611111109</v>
      </c>
      <c r="B24" s="23">
        <v>475.4</v>
      </c>
      <c r="C24">
        <v>94.2</v>
      </c>
      <c r="D24">
        <v>10.6</v>
      </c>
      <c r="E24">
        <v>6.2</v>
      </c>
      <c r="G24" s="23">
        <f t="shared" si="0"/>
        <v>9</v>
      </c>
      <c r="H24" s="23">
        <f t="shared" si="1"/>
        <v>19</v>
      </c>
      <c r="K24">
        <f t="shared" si="3"/>
        <v>9</v>
      </c>
      <c r="L24">
        <v>19</v>
      </c>
      <c r="M24">
        <f t="shared" si="2"/>
        <v>475.75833333333338</v>
      </c>
      <c r="N24">
        <v>129</v>
      </c>
      <c r="O24">
        <f t="shared" si="11"/>
        <v>3.6880490956072354</v>
      </c>
      <c r="P24">
        <f t="shared" ref="P24:P49" si="16">+P23</f>
        <v>3.1683564252725795</v>
      </c>
      <c r="Q24" s="5">
        <f t="shared" si="12"/>
        <v>0.80911281179138328</v>
      </c>
      <c r="R24" s="34">
        <f t="shared" ref="R24:R76" si="17">+R23</f>
        <v>0.71653840702947846</v>
      </c>
      <c r="U24">
        <v>5</v>
      </c>
      <c r="V24">
        <v>35</v>
      </c>
      <c r="W24">
        <v>4.0999999999999996</v>
      </c>
      <c r="X24">
        <v>518.4</v>
      </c>
      <c r="Z24" s="32">
        <v>27</v>
      </c>
      <c r="AA24">
        <f t="shared" si="13"/>
        <v>5.379999999999999</v>
      </c>
      <c r="AB24">
        <f>-0.0079*AB21^2+0.276*AB21+4.1969</f>
        <v>5.5685000000000002</v>
      </c>
      <c r="AC24">
        <f t="shared" si="7"/>
        <v>5.7429999999999994</v>
      </c>
      <c r="AD24">
        <f>-0.0079*AD21^2+0.276*AD21+4.1969</f>
        <v>5.8993000000000002</v>
      </c>
      <c r="AE24">
        <f t="shared" si="8"/>
        <v>6.0429999999999984</v>
      </c>
      <c r="AG24" s="52">
        <v>80</v>
      </c>
      <c r="AH24" s="35">
        <f t="shared" si="14"/>
        <v>5.158519157309958</v>
      </c>
      <c r="AI24" s="36">
        <f t="shared" si="15"/>
        <v>473.57600000000008</v>
      </c>
      <c r="AR24" s="32">
        <v>28</v>
      </c>
      <c r="AS24" s="33">
        <f t="shared" si="9"/>
        <v>563.71</v>
      </c>
      <c r="AT24" s="33">
        <f>21.25*AT20+457.19</f>
        <v>584.69000000000005</v>
      </c>
      <c r="AU24" s="33">
        <f t="shared" si="10"/>
        <v>605.39</v>
      </c>
      <c r="AV24" s="33">
        <f>21.25*AV20+457.19</f>
        <v>627.19000000000005</v>
      </c>
      <c r="AW24" s="33">
        <f t="shared" si="6"/>
        <v>648.70999999999992</v>
      </c>
    </row>
    <row r="25" spans="1:49" x14ac:dyDescent="0.25">
      <c r="A25" s="22">
        <v>41891.802083333336</v>
      </c>
      <c r="B25" s="23">
        <v>479.5</v>
      </c>
      <c r="C25">
        <v>94.4</v>
      </c>
      <c r="D25">
        <v>10.6</v>
      </c>
      <c r="E25">
        <v>6.2</v>
      </c>
      <c r="G25" s="23">
        <f t="shared" si="0"/>
        <v>9</v>
      </c>
      <c r="H25" s="23">
        <f t="shared" si="1"/>
        <v>19</v>
      </c>
      <c r="K25">
        <f t="shared" si="3"/>
        <v>9</v>
      </c>
      <c r="L25">
        <v>20</v>
      </c>
      <c r="M25">
        <f t="shared" si="2"/>
        <v>476.01666666666671</v>
      </c>
      <c r="N25">
        <v>120</v>
      </c>
      <c r="O25">
        <f t="shared" si="11"/>
        <v>3.9668055555555557</v>
      </c>
      <c r="P25">
        <f t="shared" si="16"/>
        <v>3.1683564252725795</v>
      </c>
      <c r="Q25" s="5">
        <f t="shared" si="12"/>
        <v>0.80955215419501136</v>
      </c>
      <c r="R25" s="34">
        <f t="shared" si="17"/>
        <v>0.71653840702947846</v>
      </c>
      <c r="U25">
        <v>7</v>
      </c>
      <c r="V25">
        <v>25</v>
      </c>
      <c r="W25">
        <v>6.1</v>
      </c>
      <c r="X25">
        <v>625.1</v>
      </c>
      <c r="Z25" s="32">
        <v>28</v>
      </c>
      <c r="AA25">
        <f t="shared" si="13"/>
        <v>5.2199999999999989</v>
      </c>
      <c r="AB25">
        <f>-0.0066*AB21^2+0.256*AB21+4.1056</f>
        <v>5.4039999999999999</v>
      </c>
      <c r="AC25">
        <f t="shared" si="7"/>
        <v>5.5729999999999995</v>
      </c>
      <c r="AD25">
        <f>-0.0066*AD21^2+0.256*AD21+4.1056</f>
        <v>5.7311999999999994</v>
      </c>
      <c r="AE25">
        <f t="shared" si="8"/>
        <v>5.8729999999999984</v>
      </c>
      <c r="AG25" s="52">
        <v>70</v>
      </c>
      <c r="AH25" s="35">
        <f t="shared" si="14"/>
        <v>4.9009155912370046</v>
      </c>
      <c r="AI25" s="36">
        <f t="shared" si="15"/>
        <v>414.37900000000002</v>
      </c>
      <c r="AR25" s="32">
        <v>29</v>
      </c>
      <c r="AS25" s="33">
        <f t="shared" si="9"/>
        <v>557.29</v>
      </c>
      <c r="AT25" s="33">
        <f>21.108*AT20+451.48</f>
        <v>578.12800000000004</v>
      </c>
      <c r="AU25" s="33">
        <f t="shared" si="10"/>
        <v>598.67999999999995</v>
      </c>
      <c r="AV25" s="33">
        <f>21.108*AV20+451.48</f>
        <v>620.34400000000005</v>
      </c>
      <c r="AW25" s="33">
        <f t="shared" si="6"/>
        <v>641.71999999999991</v>
      </c>
    </row>
    <row r="26" spans="1:49" x14ac:dyDescent="0.25">
      <c r="A26" s="22">
        <v>41891.805555555555</v>
      </c>
      <c r="B26" s="23">
        <v>476</v>
      </c>
      <c r="C26">
        <v>94.2</v>
      </c>
      <c r="D26">
        <v>10.6</v>
      </c>
      <c r="E26">
        <v>6.2</v>
      </c>
      <c r="G26" s="23">
        <f t="shared" si="0"/>
        <v>9</v>
      </c>
      <c r="H26" s="23">
        <f t="shared" si="1"/>
        <v>19</v>
      </c>
      <c r="K26">
        <f t="shared" si="3"/>
        <v>9</v>
      </c>
      <c r="L26">
        <v>21</v>
      </c>
      <c r="M26">
        <f t="shared" si="2"/>
        <v>473.7833333333333</v>
      </c>
      <c r="N26">
        <v>101</v>
      </c>
      <c r="O26">
        <f t="shared" si="11"/>
        <v>4.690924092409241</v>
      </c>
      <c r="P26">
        <f t="shared" si="16"/>
        <v>3.1683564252725795</v>
      </c>
      <c r="Q26" s="5">
        <f t="shared" si="12"/>
        <v>0.80575396825396817</v>
      </c>
      <c r="R26" s="34">
        <f t="shared" si="17"/>
        <v>0.71653840702947846</v>
      </c>
      <c r="U26">
        <v>7</v>
      </c>
      <c r="V26">
        <v>30</v>
      </c>
      <c r="W26">
        <v>5.2</v>
      </c>
      <c r="X26">
        <v>592.79999999999995</v>
      </c>
      <c r="Z26" s="32">
        <v>29</v>
      </c>
      <c r="AA26">
        <f t="shared" si="13"/>
        <v>5.0599999999999996</v>
      </c>
      <c r="AB26">
        <f>-0.0054*AB21^2+0.236*AB21+4.0144</f>
        <v>5.2360000000000007</v>
      </c>
      <c r="AC26">
        <f t="shared" si="7"/>
        <v>5.4029999999999996</v>
      </c>
      <c r="AD26">
        <f>-0.0054*AD21^2+0.236*AD21+4.0144</f>
        <v>5.5568</v>
      </c>
      <c r="AE26">
        <f t="shared" si="8"/>
        <v>5.7029999999999985</v>
      </c>
      <c r="AG26" s="52">
        <v>60</v>
      </c>
      <c r="AH26" s="35">
        <f t="shared" si="14"/>
        <v>4.686742008515254</v>
      </c>
      <c r="AI26" s="36">
        <f t="shared" si="15"/>
        <v>355.18200000000002</v>
      </c>
      <c r="AR26" s="32">
        <v>30</v>
      </c>
      <c r="AS26" s="33">
        <f t="shared" si="9"/>
        <v>550.87</v>
      </c>
      <c r="AT26" s="33">
        <f>20.965*AT20+445.77</f>
        <v>571.55999999999995</v>
      </c>
      <c r="AU26" s="33">
        <f t="shared" si="10"/>
        <v>591.97</v>
      </c>
      <c r="AV26" s="33">
        <f>20.965*AV20+445.77</f>
        <v>613.49</v>
      </c>
      <c r="AW26" s="33">
        <f t="shared" si="6"/>
        <v>634.7299999999999</v>
      </c>
    </row>
    <row r="27" spans="1:49" x14ac:dyDescent="0.25">
      <c r="A27" s="22">
        <v>41891.809027777781</v>
      </c>
      <c r="B27" s="23">
        <v>476.8</v>
      </c>
      <c r="C27">
        <v>94.2</v>
      </c>
      <c r="D27">
        <v>10.6</v>
      </c>
      <c r="E27">
        <v>6.3</v>
      </c>
      <c r="G27" s="23">
        <f t="shared" si="0"/>
        <v>9</v>
      </c>
      <c r="H27" s="23">
        <f t="shared" si="1"/>
        <v>19</v>
      </c>
      <c r="K27">
        <f t="shared" si="3"/>
        <v>9</v>
      </c>
      <c r="L27">
        <v>22</v>
      </c>
      <c r="M27">
        <f t="shared" si="2"/>
        <v>445.07500000000005</v>
      </c>
      <c r="N27">
        <v>70</v>
      </c>
      <c r="O27">
        <f t="shared" si="11"/>
        <v>6.3582142857142863</v>
      </c>
      <c r="P27">
        <f t="shared" si="16"/>
        <v>3.1683564252725795</v>
      </c>
      <c r="Q27" s="5">
        <f t="shared" si="12"/>
        <v>0.75693027210884356</v>
      </c>
      <c r="R27" s="34">
        <f t="shared" si="17"/>
        <v>0.71653840702947846</v>
      </c>
      <c r="U27">
        <v>7</v>
      </c>
      <c r="V27">
        <v>35</v>
      </c>
      <c r="W27">
        <v>4.4000000000000004</v>
      </c>
      <c r="X27">
        <v>558</v>
      </c>
      <c r="Z27" s="32">
        <v>30</v>
      </c>
      <c r="AA27">
        <f t="shared" si="13"/>
        <v>4.8999999999999995</v>
      </c>
      <c r="AB27">
        <f>-0.0041*AB21^2+0.216*AB21+3.9231</f>
        <v>5.0715000000000003</v>
      </c>
      <c r="AC27">
        <f t="shared" si="7"/>
        <v>5.2329999999999997</v>
      </c>
      <c r="AD27">
        <f>-0.0041*AD21^2+0.216*AD21+3.9231</f>
        <v>5.3887</v>
      </c>
      <c r="AE27">
        <f t="shared" si="8"/>
        <v>5.5329999999999986</v>
      </c>
      <c r="AG27" s="52">
        <v>50</v>
      </c>
      <c r="AH27" s="35">
        <f t="shared" si="14"/>
        <v>5.2794742451154528</v>
      </c>
      <c r="AI27" s="36">
        <f t="shared" si="15"/>
        <v>295.98500000000001</v>
      </c>
      <c r="AR27" s="32">
        <v>31</v>
      </c>
      <c r="AS27" s="33">
        <f t="shared" si="9"/>
        <v>544.45000000000005</v>
      </c>
      <c r="AT27" s="33">
        <f>20.822*AT20+440.06</f>
        <v>564.99199999999996</v>
      </c>
      <c r="AU27" s="33">
        <f t="shared" si="10"/>
        <v>585.26</v>
      </c>
      <c r="AV27" s="33">
        <f>20.822*AV20+440.06</f>
        <v>606.63599999999997</v>
      </c>
      <c r="AW27" s="33">
        <f t="shared" si="6"/>
        <v>627.74</v>
      </c>
    </row>
    <row r="28" spans="1:49" x14ac:dyDescent="0.25">
      <c r="A28" s="22">
        <v>41891.8125</v>
      </c>
      <c r="B28" s="23">
        <v>476.6</v>
      </c>
      <c r="C28">
        <v>94.3</v>
      </c>
      <c r="D28">
        <v>10.6</v>
      </c>
      <c r="E28">
        <v>6.3</v>
      </c>
      <c r="G28" s="23">
        <f t="shared" si="0"/>
        <v>9</v>
      </c>
      <c r="H28" s="23">
        <f t="shared" si="1"/>
        <v>19</v>
      </c>
      <c r="K28">
        <f t="shared" si="3"/>
        <v>9</v>
      </c>
      <c r="L28">
        <v>23</v>
      </c>
      <c r="M28">
        <f t="shared" si="2"/>
        <v>386.05833333333334</v>
      </c>
      <c r="N28">
        <v>129</v>
      </c>
      <c r="O28">
        <f t="shared" si="11"/>
        <v>2.992700258397933</v>
      </c>
      <c r="P28">
        <f t="shared" si="16"/>
        <v>3.1683564252725795</v>
      </c>
      <c r="Q28" s="5">
        <f t="shared" si="12"/>
        <v>0.65656179138321991</v>
      </c>
      <c r="R28" s="34">
        <f t="shared" si="17"/>
        <v>0.71653840702947846</v>
      </c>
      <c r="U28">
        <v>9</v>
      </c>
      <c r="V28">
        <v>25</v>
      </c>
      <c r="W28">
        <v>6.4</v>
      </c>
      <c r="X28">
        <v>669.2</v>
      </c>
      <c r="Z28" s="32">
        <v>31</v>
      </c>
      <c r="AA28">
        <f t="shared" si="13"/>
        <v>4.7399999999999993</v>
      </c>
      <c r="AB28">
        <f>-0.0029*AB21^2+0.196*AB21+3.8319</f>
        <v>4.9035000000000002</v>
      </c>
      <c r="AC28">
        <f t="shared" si="7"/>
        <v>5.0629999999999997</v>
      </c>
      <c r="AD28">
        <f>-0.0029*AD21^2+0.196*AD21+3.8319</f>
        <v>5.2142999999999997</v>
      </c>
      <c r="AE28">
        <f t="shared" si="8"/>
        <v>5.3629999999999987</v>
      </c>
      <c r="AG28" s="52">
        <v>40</v>
      </c>
      <c r="AH28" s="35">
        <f t="shared" si="14"/>
        <v>5.2963860390198017</v>
      </c>
      <c r="AI28" s="36">
        <f t="shared" si="15"/>
        <v>236.78800000000004</v>
      </c>
      <c r="AR28" s="32">
        <v>32</v>
      </c>
      <c r="AS28" s="33">
        <f t="shared" si="9"/>
        <v>538.03</v>
      </c>
      <c r="AT28" s="33">
        <f>20.68*AT20+434.35</f>
        <v>558.43000000000006</v>
      </c>
      <c r="AU28" s="33">
        <f t="shared" si="10"/>
        <v>578.54999999999995</v>
      </c>
      <c r="AV28" s="33">
        <f>20.68*AV20+434.35</f>
        <v>599.79</v>
      </c>
      <c r="AW28" s="33">
        <f t="shared" si="6"/>
        <v>620.75</v>
      </c>
    </row>
    <row r="29" spans="1:49" x14ac:dyDescent="0.25">
      <c r="A29" s="22">
        <v>41891.815972222219</v>
      </c>
      <c r="B29" s="23">
        <v>475.1</v>
      </c>
      <c r="C29">
        <v>94.3</v>
      </c>
      <c r="D29">
        <v>10.6</v>
      </c>
      <c r="E29">
        <v>6.3</v>
      </c>
      <c r="G29" s="23">
        <f t="shared" si="0"/>
        <v>9</v>
      </c>
      <c r="H29" s="23">
        <f t="shared" si="1"/>
        <v>19</v>
      </c>
      <c r="K29">
        <v>10</v>
      </c>
      <c r="L29">
        <v>0</v>
      </c>
      <c r="M29">
        <f>+AVERAGEIF($H$82:$H$369,L29,$B$82:$B$369)</f>
        <v>382.26666666666665</v>
      </c>
      <c r="N29">
        <v>90</v>
      </c>
      <c r="O29">
        <f t="shared" si="11"/>
        <v>4.2474074074074073</v>
      </c>
      <c r="P29">
        <f t="shared" si="16"/>
        <v>3.1683564252725795</v>
      </c>
      <c r="Q29" s="5">
        <f t="shared" si="12"/>
        <v>0.65011337868480723</v>
      </c>
      <c r="R29" s="34">
        <f t="shared" si="17"/>
        <v>0.71653840702947846</v>
      </c>
      <c r="U29">
        <v>9</v>
      </c>
      <c r="V29">
        <v>30</v>
      </c>
      <c r="W29">
        <v>5.5</v>
      </c>
      <c r="X29">
        <v>635.70000000000005</v>
      </c>
      <c r="Z29" s="32">
        <v>32</v>
      </c>
      <c r="AA29">
        <f t="shared" si="13"/>
        <v>4.5799999999999992</v>
      </c>
      <c r="AB29">
        <f>-0.0016*AB21^2+0.176*AB21+3.7406</f>
        <v>4.7389999999999999</v>
      </c>
      <c r="AC29">
        <f t="shared" si="7"/>
        <v>4.8929999999999998</v>
      </c>
      <c r="AD29">
        <f>-0.0016*AD21^2+0.176*AD21+3.7406</f>
        <v>5.0461999999999998</v>
      </c>
      <c r="AE29">
        <f t="shared" si="8"/>
        <v>5.1929999999999987</v>
      </c>
      <c r="AG29" s="52">
        <v>30</v>
      </c>
      <c r="AH29" s="35">
        <f t="shared" si="14"/>
        <v>4.7066244407382118</v>
      </c>
      <c r="AI29" s="36">
        <f t="shared" si="15"/>
        <v>177.59100000000001</v>
      </c>
      <c r="AR29" s="32">
        <v>33</v>
      </c>
      <c r="AS29" s="33">
        <f t="shared" si="9"/>
        <v>531.61</v>
      </c>
      <c r="AT29" s="33">
        <f>20.538*AT20+428.64</f>
        <v>551.86799999999994</v>
      </c>
      <c r="AU29" s="33">
        <f t="shared" si="10"/>
        <v>571.83999999999992</v>
      </c>
      <c r="AV29" s="33">
        <f>20.538*AV20+428.64</f>
        <v>592.94399999999996</v>
      </c>
      <c r="AW29" s="33">
        <f t="shared" si="6"/>
        <v>613.76</v>
      </c>
    </row>
    <row r="30" spans="1:49" ht="15.75" thickBot="1" x14ac:dyDescent="0.3">
      <c r="A30" s="22">
        <v>41891.819444444445</v>
      </c>
      <c r="B30" s="23">
        <v>473.2</v>
      </c>
      <c r="C30">
        <v>94.3</v>
      </c>
      <c r="D30">
        <v>10.6</v>
      </c>
      <c r="E30">
        <v>6.3</v>
      </c>
      <c r="G30" s="23">
        <f t="shared" si="0"/>
        <v>9</v>
      </c>
      <c r="H30" s="23">
        <f t="shared" si="1"/>
        <v>19</v>
      </c>
      <c r="K30">
        <f>+K29</f>
        <v>10</v>
      </c>
      <c r="L30">
        <v>1</v>
      </c>
      <c r="M30">
        <f t="shared" ref="M30:M51" si="18">+AVERAGEIF($H$82:$H$369,L30,$B$82:$B$369)</f>
        <v>377.64166666666671</v>
      </c>
      <c r="N30">
        <v>94</v>
      </c>
      <c r="O30">
        <f t="shared" si="11"/>
        <v>4.0174645390070927</v>
      </c>
      <c r="P30">
        <f t="shared" si="16"/>
        <v>3.1683564252725795</v>
      </c>
      <c r="Q30" s="5">
        <f t="shared" si="12"/>
        <v>0.64224773242630395</v>
      </c>
      <c r="R30" s="34">
        <f t="shared" si="17"/>
        <v>0.71653840702947846</v>
      </c>
      <c r="U30">
        <v>9</v>
      </c>
      <c r="V30">
        <v>35</v>
      </c>
      <c r="W30">
        <v>4.7</v>
      </c>
      <c r="X30">
        <v>599.29999999999995</v>
      </c>
      <c r="Z30" s="32">
        <v>33</v>
      </c>
      <c r="AA30">
        <f t="shared" si="13"/>
        <v>4.419999999999999</v>
      </c>
      <c r="AB30">
        <f>-0.0004*AB21^2+0.156*AB21+3.6494</f>
        <v>4.5709999999999997</v>
      </c>
      <c r="AC30">
        <f t="shared" si="7"/>
        <v>4.7229999999999999</v>
      </c>
      <c r="AD30">
        <f>-0.0004*AD21^2+0.156*AD21+3.6494</f>
        <v>4.8718000000000004</v>
      </c>
      <c r="AE30">
        <f t="shared" si="8"/>
        <v>5.0229999999999988</v>
      </c>
      <c r="AG30" s="53">
        <v>20</v>
      </c>
      <c r="AH30" s="37">
        <f t="shared" si="14"/>
        <v>3.485435005748438</v>
      </c>
      <c r="AI30" s="38">
        <f t="shared" si="15"/>
        <v>118.39400000000002</v>
      </c>
      <c r="AR30" s="32">
        <v>34</v>
      </c>
      <c r="AS30" s="33">
        <f t="shared" si="9"/>
        <v>525.19000000000005</v>
      </c>
      <c r="AT30" s="33">
        <f>20.395*AT20+422.93</f>
        <v>545.29999999999995</v>
      </c>
      <c r="AU30" s="33">
        <f t="shared" si="10"/>
        <v>565.13</v>
      </c>
      <c r="AV30" s="33">
        <f>20.395*AV20+422.93</f>
        <v>586.09</v>
      </c>
      <c r="AW30" s="33">
        <f t="shared" si="6"/>
        <v>606.77</v>
      </c>
    </row>
    <row r="31" spans="1:49" x14ac:dyDescent="0.25">
      <c r="A31" s="22">
        <v>41891.822916666664</v>
      </c>
      <c r="B31" s="23">
        <v>473.5</v>
      </c>
      <c r="C31">
        <v>94.2</v>
      </c>
      <c r="D31">
        <v>10.6</v>
      </c>
      <c r="E31">
        <v>6.3</v>
      </c>
      <c r="G31" s="23">
        <f t="shared" si="0"/>
        <v>9</v>
      </c>
      <c r="H31" s="23">
        <f t="shared" si="1"/>
        <v>19</v>
      </c>
      <c r="K31">
        <f t="shared" ref="K31:K52" si="19">+K30</f>
        <v>10</v>
      </c>
      <c r="L31">
        <v>2</v>
      </c>
      <c r="M31">
        <f t="shared" si="18"/>
        <v>360.98333333333335</v>
      </c>
      <c r="N31">
        <v>119</v>
      </c>
      <c r="O31">
        <f t="shared" si="11"/>
        <v>3.0334733893557426</v>
      </c>
      <c r="P31">
        <f t="shared" si="16"/>
        <v>3.1683564252725795</v>
      </c>
      <c r="Q31" s="5">
        <f t="shared" si="12"/>
        <v>0.61391723356009076</v>
      </c>
      <c r="R31" s="34">
        <f t="shared" si="17"/>
        <v>0.71653840702947846</v>
      </c>
      <c r="Z31" s="32">
        <v>34</v>
      </c>
      <c r="AA31">
        <f t="shared" si="13"/>
        <v>4.2599999999999989</v>
      </c>
      <c r="AB31">
        <f>0.0009*AB21^2+0.136*AB21+3.5581</f>
        <v>4.4065000000000003</v>
      </c>
      <c r="AC31">
        <f t="shared" si="7"/>
        <v>4.5529999999999999</v>
      </c>
      <c r="AD31">
        <f>0.0009*AD21^2+0.136*AD21+3.5581</f>
        <v>4.7037000000000004</v>
      </c>
      <c r="AE31">
        <f t="shared" si="8"/>
        <v>4.8529999999999989</v>
      </c>
      <c r="AR31" s="32">
        <v>35</v>
      </c>
      <c r="AS31" s="33">
        <f t="shared" si="9"/>
        <v>518.77</v>
      </c>
      <c r="AT31" s="33">
        <f>20.252*AT20+417.22</f>
        <v>538.73199999999997</v>
      </c>
      <c r="AU31" s="33">
        <f t="shared" si="10"/>
        <v>558.41999999999996</v>
      </c>
      <c r="AV31" s="33">
        <f>20.252*AV20+417.22</f>
        <v>579.23599999999999</v>
      </c>
      <c r="AW31" s="33">
        <f t="shared" si="6"/>
        <v>599.78</v>
      </c>
    </row>
    <row r="32" spans="1:49" x14ac:dyDescent="0.25">
      <c r="A32" s="22">
        <v>41891.826388888891</v>
      </c>
      <c r="B32" s="23">
        <v>478.6</v>
      </c>
      <c r="C32">
        <v>94.2</v>
      </c>
      <c r="D32">
        <v>10.6</v>
      </c>
      <c r="E32">
        <v>6.2</v>
      </c>
      <c r="G32" s="23">
        <f t="shared" si="0"/>
        <v>9</v>
      </c>
      <c r="H32" s="23">
        <f t="shared" si="1"/>
        <v>19</v>
      </c>
      <c r="K32">
        <f t="shared" si="19"/>
        <v>10</v>
      </c>
      <c r="L32">
        <v>3</v>
      </c>
      <c r="M32">
        <f t="shared" si="18"/>
        <v>350.18333333333339</v>
      </c>
      <c r="N32">
        <v>82</v>
      </c>
      <c r="O32">
        <f t="shared" si="11"/>
        <v>4.2705284552845537</v>
      </c>
      <c r="P32">
        <f t="shared" si="16"/>
        <v>3.1683564252725795</v>
      </c>
      <c r="Q32" s="5">
        <f t="shared" si="12"/>
        <v>0.59554988662131525</v>
      </c>
      <c r="R32" s="34">
        <f t="shared" si="17"/>
        <v>0.71653840702947846</v>
      </c>
      <c r="Z32" s="32">
        <v>35</v>
      </c>
      <c r="AA32">
        <f t="shared" si="13"/>
        <v>4.0999999999999988</v>
      </c>
      <c r="AB32">
        <f>0.0021*AB21^2+0.116*AB21+3.4669</f>
        <v>4.2385000000000002</v>
      </c>
      <c r="AC32">
        <f t="shared" si="7"/>
        <v>4.383</v>
      </c>
      <c r="AD32">
        <f>0.0021*AD21^2+0.116*AD21+3.4669</f>
        <v>4.5293000000000001</v>
      </c>
      <c r="AE32">
        <f t="shared" si="8"/>
        <v>4.6829999999999989</v>
      </c>
    </row>
    <row r="33" spans="1:18" x14ac:dyDescent="0.25">
      <c r="A33" s="22">
        <v>41891.829861111109</v>
      </c>
      <c r="B33" s="23">
        <v>477.5</v>
      </c>
      <c r="C33">
        <v>94.4</v>
      </c>
      <c r="D33">
        <v>10.6</v>
      </c>
      <c r="E33">
        <v>6.3</v>
      </c>
      <c r="G33" s="23">
        <f t="shared" si="0"/>
        <v>9</v>
      </c>
      <c r="H33" s="23">
        <f t="shared" si="1"/>
        <v>19</v>
      </c>
      <c r="K33">
        <f t="shared" si="19"/>
        <v>10</v>
      </c>
      <c r="L33">
        <v>4</v>
      </c>
      <c r="M33">
        <f t="shared" si="18"/>
        <v>344.48333333333329</v>
      </c>
      <c r="N33">
        <v>39</v>
      </c>
      <c r="O33">
        <f t="shared" si="11"/>
        <v>8.8329059829059826</v>
      </c>
      <c r="P33">
        <f t="shared" si="16"/>
        <v>3.1683564252725795</v>
      </c>
      <c r="Q33" s="5">
        <f t="shared" si="12"/>
        <v>0.58585600907029467</v>
      </c>
      <c r="R33" s="34">
        <f t="shared" si="17"/>
        <v>0.71653840702947846</v>
      </c>
    </row>
    <row r="34" spans="1:18" x14ac:dyDescent="0.25">
      <c r="A34" s="22">
        <v>41891.833333333336</v>
      </c>
      <c r="B34" s="23">
        <v>476</v>
      </c>
      <c r="C34">
        <v>94.3</v>
      </c>
      <c r="D34">
        <v>10.6</v>
      </c>
      <c r="E34">
        <v>6.3</v>
      </c>
      <c r="G34" s="23">
        <f t="shared" si="0"/>
        <v>9</v>
      </c>
      <c r="H34" s="23">
        <f t="shared" si="1"/>
        <v>20</v>
      </c>
      <c r="K34">
        <f t="shared" si="19"/>
        <v>10</v>
      </c>
      <c r="L34">
        <v>5</v>
      </c>
      <c r="M34">
        <f t="shared" si="18"/>
        <v>338.70000000000005</v>
      </c>
      <c r="N34">
        <v>89</v>
      </c>
      <c r="O34">
        <f t="shared" si="11"/>
        <v>3.8056179775280903</v>
      </c>
      <c r="P34">
        <f t="shared" si="16"/>
        <v>3.1683564252725795</v>
      </c>
      <c r="Q34" s="5">
        <f t="shared" si="12"/>
        <v>0.57602040816326538</v>
      </c>
      <c r="R34" s="34">
        <f t="shared" si="17"/>
        <v>0.71653840702947846</v>
      </c>
    </row>
    <row r="35" spans="1:18" x14ac:dyDescent="0.25">
      <c r="A35" s="22">
        <v>41891.836805555555</v>
      </c>
      <c r="B35" s="23">
        <v>476</v>
      </c>
      <c r="C35">
        <v>94.3</v>
      </c>
      <c r="D35">
        <v>10.6</v>
      </c>
      <c r="E35">
        <v>6.2</v>
      </c>
      <c r="G35" s="23">
        <f t="shared" si="0"/>
        <v>9</v>
      </c>
      <c r="H35" s="23">
        <f t="shared" si="1"/>
        <v>20</v>
      </c>
      <c r="K35">
        <f t="shared" si="19"/>
        <v>10</v>
      </c>
      <c r="L35">
        <v>6</v>
      </c>
      <c r="M35">
        <f t="shared" si="18"/>
        <v>365.36666666666673</v>
      </c>
      <c r="N35">
        <v>74</v>
      </c>
      <c r="O35">
        <f t="shared" si="11"/>
        <v>4.9373873873873881</v>
      </c>
      <c r="P35">
        <f t="shared" si="16"/>
        <v>3.1683564252725795</v>
      </c>
      <c r="Q35" s="5">
        <f t="shared" si="12"/>
        <v>0.62137188208616789</v>
      </c>
      <c r="R35" s="34">
        <f t="shared" si="17"/>
        <v>0.71653840702947846</v>
      </c>
    </row>
    <row r="36" spans="1:18" x14ac:dyDescent="0.25">
      <c r="A36" s="22">
        <v>41891.840277777781</v>
      </c>
      <c r="B36" s="23">
        <v>476.5</v>
      </c>
      <c r="C36">
        <v>94.2</v>
      </c>
      <c r="D36">
        <v>10.5</v>
      </c>
      <c r="E36">
        <v>6.2</v>
      </c>
      <c r="G36" s="23">
        <f t="shared" si="0"/>
        <v>9</v>
      </c>
      <c r="H36" s="23">
        <f t="shared" si="1"/>
        <v>20</v>
      </c>
      <c r="K36">
        <f t="shared" si="19"/>
        <v>10</v>
      </c>
      <c r="L36">
        <v>7</v>
      </c>
      <c r="M36">
        <f t="shared" si="18"/>
        <v>371.90833333333336</v>
      </c>
      <c r="N36">
        <v>92</v>
      </c>
      <c r="O36">
        <f t="shared" si="11"/>
        <v>4.0424818840579713</v>
      </c>
      <c r="P36">
        <f t="shared" si="16"/>
        <v>3.1683564252725795</v>
      </c>
      <c r="Q36" s="5">
        <f t="shared" si="12"/>
        <v>0.63249716553287982</v>
      </c>
      <c r="R36" s="34">
        <f t="shared" si="17"/>
        <v>0.71653840702947846</v>
      </c>
    </row>
    <row r="37" spans="1:18" x14ac:dyDescent="0.25">
      <c r="A37" s="22">
        <v>41891.84375</v>
      </c>
      <c r="B37" s="23">
        <v>477.4</v>
      </c>
      <c r="C37">
        <v>94.3</v>
      </c>
      <c r="D37">
        <v>10.5</v>
      </c>
      <c r="E37">
        <v>6.1</v>
      </c>
      <c r="G37" s="23">
        <f t="shared" si="0"/>
        <v>9</v>
      </c>
      <c r="H37" s="23">
        <f t="shared" si="1"/>
        <v>20</v>
      </c>
      <c r="K37">
        <f t="shared" si="19"/>
        <v>10</v>
      </c>
      <c r="L37">
        <v>8</v>
      </c>
      <c r="M37">
        <f t="shared" si="18"/>
        <v>408.5</v>
      </c>
      <c r="N37">
        <v>108</v>
      </c>
      <c r="O37">
        <f t="shared" si="11"/>
        <v>3.7824074074074074</v>
      </c>
      <c r="P37">
        <f t="shared" si="16"/>
        <v>3.1683564252725795</v>
      </c>
      <c r="Q37" s="5">
        <f t="shared" si="12"/>
        <v>0.69472789115646261</v>
      </c>
      <c r="R37" s="34">
        <f t="shared" si="17"/>
        <v>0.71653840702947846</v>
      </c>
    </row>
    <row r="38" spans="1:18" x14ac:dyDescent="0.25">
      <c r="A38" s="22">
        <v>41891.847222222219</v>
      </c>
      <c r="B38" s="23">
        <v>476.4</v>
      </c>
      <c r="C38">
        <v>94.3</v>
      </c>
      <c r="D38">
        <v>10.5</v>
      </c>
      <c r="E38">
        <v>6.1</v>
      </c>
      <c r="G38" s="23">
        <f t="shared" si="0"/>
        <v>9</v>
      </c>
      <c r="H38" s="23">
        <f t="shared" si="1"/>
        <v>20</v>
      </c>
      <c r="K38">
        <f t="shared" si="19"/>
        <v>10</v>
      </c>
      <c r="L38">
        <v>9</v>
      </c>
      <c r="M38">
        <f t="shared" si="18"/>
        <v>433.0916666666667</v>
      </c>
      <c r="N38">
        <v>88</v>
      </c>
      <c r="O38">
        <f t="shared" si="11"/>
        <v>4.9214962121212125</v>
      </c>
      <c r="P38">
        <f t="shared" si="16"/>
        <v>3.1683564252725795</v>
      </c>
      <c r="Q38" s="5">
        <f t="shared" si="12"/>
        <v>0.73655045351473925</v>
      </c>
      <c r="R38" s="34">
        <f t="shared" si="17"/>
        <v>0.71653840702947846</v>
      </c>
    </row>
    <row r="39" spans="1:18" x14ac:dyDescent="0.25">
      <c r="A39" s="22">
        <v>41891.850694444445</v>
      </c>
      <c r="B39" s="23">
        <v>477.2</v>
      </c>
      <c r="C39">
        <v>94.3</v>
      </c>
      <c r="D39">
        <v>10.4</v>
      </c>
      <c r="E39">
        <v>6.1</v>
      </c>
      <c r="G39" s="23">
        <f t="shared" si="0"/>
        <v>9</v>
      </c>
      <c r="H39" s="23">
        <f t="shared" si="1"/>
        <v>20</v>
      </c>
      <c r="K39">
        <f t="shared" si="19"/>
        <v>10</v>
      </c>
      <c r="L39">
        <v>10</v>
      </c>
      <c r="M39">
        <f t="shared" si="18"/>
        <v>415.16666666666674</v>
      </c>
      <c r="N39">
        <v>107</v>
      </c>
      <c r="O39">
        <f t="shared" si="11"/>
        <v>3.8800623052959509</v>
      </c>
      <c r="P39">
        <f t="shared" si="16"/>
        <v>3.1683564252725795</v>
      </c>
      <c r="Q39" s="5">
        <f t="shared" si="12"/>
        <v>0.70606575963718832</v>
      </c>
      <c r="R39" s="34">
        <f t="shared" si="17"/>
        <v>0.71653840702947846</v>
      </c>
    </row>
    <row r="40" spans="1:18" x14ac:dyDescent="0.25">
      <c r="A40" s="22">
        <v>41891.854166666664</v>
      </c>
      <c r="B40" s="23">
        <v>473.9</v>
      </c>
      <c r="C40">
        <v>94.3</v>
      </c>
      <c r="D40">
        <v>10.4</v>
      </c>
      <c r="E40">
        <v>6.1</v>
      </c>
      <c r="G40" s="23">
        <f t="shared" si="0"/>
        <v>9</v>
      </c>
      <c r="H40" s="23">
        <f t="shared" si="1"/>
        <v>20</v>
      </c>
      <c r="K40">
        <f t="shared" si="19"/>
        <v>10</v>
      </c>
      <c r="L40">
        <v>11</v>
      </c>
      <c r="M40">
        <f t="shared" si="18"/>
        <v>371.40000000000009</v>
      </c>
      <c r="N40">
        <v>88</v>
      </c>
      <c r="O40">
        <f t="shared" si="11"/>
        <v>4.2204545454545466</v>
      </c>
      <c r="P40">
        <f t="shared" si="16"/>
        <v>3.1683564252725795</v>
      </c>
      <c r="Q40" s="5">
        <f t="shared" si="12"/>
        <v>0.63163265306122462</v>
      </c>
      <c r="R40" s="34">
        <f t="shared" si="17"/>
        <v>0.71653840702947846</v>
      </c>
    </row>
    <row r="41" spans="1:18" x14ac:dyDescent="0.25">
      <c r="A41" s="22">
        <v>41891.857638888891</v>
      </c>
      <c r="B41" s="23">
        <v>475</v>
      </c>
      <c r="C41">
        <v>94.3</v>
      </c>
      <c r="D41">
        <v>10.4</v>
      </c>
      <c r="E41">
        <v>6.1</v>
      </c>
      <c r="G41" s="23">
        <f t="shared" si="0"/>
        <v>9</v>
      </c>
      <c r="H41" s="23">
        <f t="shared" si="1"/>
        <v>20</v>
      </c>
      <c r="K41">
        <f t="shared" si="19"/>
        <v>10</v>
      </c>
      <c r="L41">
        <v>12</v>
      </c>
      <c r="M41">
        <f t="shared" si="18"/>
        <v>400.42499999999995</v>
      </c>
      <c r="N41">
        <v>100</v>
      </c>
      <c r="O41">
        <f t="shared" si="11"/>
        <v>4.0042499999999999</v>
      </c>
      <c r="P41">
        <f t="shared" si="16"/>
        <v>3.1683564252725795</v>
      </c>
      <c r="Q41" s="5">
        <f t="shared" si="12"/>
        <v>0.68099489795918355</v>
      </c>
      <c r="R41" s="34">
        <f t="shared" si="17"/>
        <v>0.71653840702947846</v>
      </c>
    </row>
    <row r="42" spans="1:18" x14ac:dyDescent="0.25">
      <c r="A42" s="22">
        <v>41891.861111111109</v>
      </c>
      <c r="B42" s="23">
        <v>475.5</v>
      </c>
      <c r="C42">
        <v>94.3</v>
      </c>
      <c r="D42">
        <v>10.4</v>
      </c>
      <c r="E42">
        <v>6.1</v>
      </c>
      <c r="G42" s="23">
        <f t="shared" si="0"/>
        <v>9</v>
      </c>
      <c r="H42" s="23">
        <f t="shared" si="1"/>
        <v>20</v>
      </c>
      <c r="K42">
        <f t="shared" si="19"/>
        <v>10</v>
      </c>
      <c r="L42">
        <v>13</v>
      </c>
      <c r="M42">
        <f t="shared" si="18"/>
        <v>460.22499999999991</v>
      </c>
      <c r="N42">
        <v>120</v>
      </c>
      <c r="O42">
        <f t="shared" si="11"/>
        <v>3.8352083333333327</v>
      </c>
      <c r="P42">
        <f t="shared" si="16"/>
        <v>3.1683564252725795</v>
      </c>
      <c r="Q42" s="5">
        <f t="shared" si="12"/>
        <v>0.78269557823129232</v>
      </c>
      <c r="R42" s="34">
        <f t="shared" si="17"/>
        <v>0.71653840702947846</v>
      </c>
    </row>
    <row r="43" spans="1:18" x14ac:dyDescent="0.25">
      <c r="A43" s="22">
        <v>41891.864583333336</v>
      </c>
      <c r="B43" s="23">
        <v>476.6</v>
      </c>
      <c r="C43">
        <v>94.3</v>
      </c>
      <c r="D43">
        <v>10.4</v>
      </c>
      <c r="E43">
        <v>6</v>
      </c>
      <c r="G43" s="23">
        <f t="shared" si="0"/>
        <v>9</v>
      </c>
      <c r="H43" s="23">
        <f t="shared" si="1"/>
        <v>20</v>
      </c>
      <c r="K43">
        <f t="shared" si="19"/>
        <v>10</v>
      </c>
      <c r="L43">
        <v>14</v>
      </c>
      <c r="M43">
        <f t="shared" si="18"/>
        <v>458.91666666666674</v>
      </c>
      <c r="N43">
        <v>130</v>
      </c>
      <c r="O43">
        <f t="shared" si="11"/>
        <v>3.5301282051282059</v>
      </c>
      <c r="P43">
        <f t="shared" si="16"/>
        <v>3.1683564252725795</v>
      </c>
      <c r="Q43" s="5">
        <f t="shared" si="12"/>
        <v>0.78047052154195029</v>
      </c>
      <c r="R43" s="34">
        <f t="shared" si="17"/>
        <v>0.71653840702947846</v>
      </c>
    </row>
    <row r="44" spans="1:18" x14ac:dyDescent="0.25">
      <c r="A44" s="22">
        <v>41891.868055555555</v>
      </c>
      <c r="B44" s="23">
        <v>476.1</v>
      </c>
      <c r="C44">
        <v>94.2</v>
      </c>
      <c r="D44">
        <v>10.4</v>
      </c>
      <c r="E44">
        <v>6</v>
      </c>
      <c r="G44" s="23">
        <f t="shared" si="0"/>
        <v>9</v>
      </c>
      <c r="H44" s="23">
        <f t="shared" si="1"/>
        <v>20</v>
      </c>
      <c r="K44">
        <f t="shared" si="19"/>
        <v>10</v>
      </c>
      <c r="L44">
        <v>15</v>
      </c>
      <c r="M44">
        <f t="shared" si="18"/>
        <v>457.10833333333335</v>
      </c>
      <c r="N44">
        <v>147</v>
      </c>
      <c r="O44">
        <f t="shared" si="11"/>
        <v>3.1095804988662135</v>
      </c>
      <c r="P44">
        <f t="shared" si="16"/>
        <v>3.1683564252725795</v>
      </c>
      <c r="Q44" s="5">
        <f t="shared" si="12"/>
        <v>0.77739512471655337</v>
      </c>
      <c r="R44" s="34">
        <f t="shared" si="17"/>
        <v>0.71653840702947846</v>
      </c>
    </row>
    <row r="45" spans="1:18" x14ac:dyDescent="0.25">
      <c r="A45" s="22">
        <v>41891.871527777781</v>
      </c>
      <c r="B45" s="23">
        <v>475.6</v>
      </c>
      <c r="C45">
        <v>94.2</v>
      </c>
      <c r="D45">
        <v>10.4</v>
      </c>
      <c r="E45">
        <v>6</v>
      </c>
      <c r="G45" s="23">
        <f t="shared" si="0"/>
        <v>9</v>
      </c>
      <c r="H45" s="23">
        <f t="shared" si="1"/>
        <v>20</v>
      </c>
      <c r="K45">
        <f t="shared" si="19"/>
        <v>10</v>
      </c>
      <c r="L45">
        <v>16</v>
      </c>
      <c r="M45">
        <f t="shared" si="18"/>
        <v>427.28333333333336</v>
      </c>
      <c r="N45">
        <v>96</v>
      </c>
      <c r="O45">
        <f t="shared" si="11"/>
        <v>4.4508680555555555</v>
      </c>
      <c r="P45">
        <f t="shared" si="16"/>
        <v>3.1683564252725795</v>
      </c>
      <c r="Q45" s="5">
        <f t="shared" si="12"/>
        <v>0.72667233560090705</v>
      </c>
      <c r="R45" s="34">
        <f t="shared" si="17"/>
        <v>0.71653840702947846</v>
      </c>
    </row>
    <row r="46" spans="1:18" x14ac:dyDescent="0.25">
      <c r="A46" s="22">
        <v>41891.875</v>
      </c>
      <c r="B46" s="23">
        <v>474.9</v>
      </c>
      <c r="C46">
        <v>94.2</v>
      </c>
      <c r="D46">
        <v>10.4</v>
      </c>
      <c r="E46">
        <v>6</v>
      </c>
      <c r="G46" s="23">
        <f t="shared" si="0"/>
        <v>9</v>
      </c>
      <c r="H46" s="23">
        <f t="shared" si="1"/>
        <v>21</v>
      </c>
      <c r="K46">
        <f t="shared" si="19"/>
        <v>10</v>
      </c>
      <c r="L46">
        <v>17</v>
      </c>
      <c r="M46">
        <f t="shared" si="18"/>
        <v>432.75833333333338</v>
      </c>
      <c r="N46">
        <v>67</v>
      </c>
      <c r="O46">
        <f t="shared" si="11"/>
        <v>6.4590796019900507</v>
      </c>
      <c r="P46">
        <f t="shared" si="16"/>
        <v>3.1683564252725795</v>
      </c>
      <c r="Q46" s="5">
        <f t="shared" si="12"/>
        <v>0.73598356009070298</v>
      </c>
      <c r="R46" s="34">
        <f t="shared" si="17"/>
        <v>0.71653840702947846</v>
      </c>
    </row>
    <row r="47" spans="1:18" x14ac:dyDescent="0.25">
      <c r="A47" s="22">
        <v>41891.878472222219</v>
      </c>
      <c r="B47" s="23">
        <v>475.6</v>
      </c>
      <c r="C47">
        <v>94.2</v>
      </c>
      <c r="D47">
        <v>10.4</v>
      </c>
      <c r="E47">
        <v>6</v>
      </c>
      <c r="G47" s="23">
        <f t="shared" si="0"/>
        <v>9</v>
      </c>
      <c r="H47" s="23">
        <f t="shared" si="1"/>
        <v>21</v>
      </c>
      <c r="K47">
        <f t="shared" si="19"/>
        <v>10</v>
      </c>
      <c r="L47">
        <v>18</v>
      </c>
      <c r="M47">
        <f t="shared" si="18"/>
        <v>476.59166666666675</v>
      </c>
      <c r="N47">
        <v>98</v>
      </c>
      <c r="O47">
        <f t="shared" si="11"/>
        <v>4.8631802721088446</v>
      </c>
      <c r="P47">
        <f t="shared" si="16"/>
        <v>3.1683564252725795</v>
      </c>
      <c r="Q47" s="5">
        <f t="shared" si="12"/>
        <v>0.8105300453514741</v>
      </c>
      <c r="R47" s="34">
        <f t="shared" si="17"/>
        <v>0.71653840702947846</v>
      </c>
    </row>
    <row r="48" spans="1:18" x14ac:dyDescent="0.25">
      <c r="A48" s="22">
        <v>41891.881944444445</v>
      </c>
      <c r="B48" s="23">
        <v>474.7</v>
      </c>
      <c r="C48">
        <v>94.3</v>
      </c>
      <c r="D48">
        <v>10.4</v>
      </c>
      <c r="E48">
        <v>6</v>
      </c>
      <c r="G48" s="23">
        <f t="shared" si="0"/>
        <v>9</v>
      </c>
      <c r="H48" s="23">
        <f t="shared" si="1"/>
        <v>21</v>
      </c>
      <c r="K48">
        <f t="shared" si="19"/>
        <v>10</v>
      </c>
      <c r="L48">
        <v>19</v>
      </c>
      <c r="M48">
        <f t="shared" si="18"/>
        <v>483.75</v>
      </c>
      <c r="N48">
        <v>176</v>
      </c>
      <c r="O48">
        <f t="shared" si="11"/>
        <v>2.7485795454545454</v>
      </c>
      <c r="P48">
        <f t="shared" si="16"/>
        <v>3.1683564252725795</v>
      </c>
      <c r="Q48" s="5">
        <f t="shared" si="12"/>
        <v>0.82270408163265307</v>
      </c>
      <c r="R48" s="34">
        <f t="shared" si="17"/>
        <v>0.71653840702947846</v>
      </c>
    </row>
    <row r="49" spans="1:42" x14ac:dyDescent="0.25">
      <c r="A49" s="22">
        <v>41891.885416666664</v>
      </c>
      <c r="B49" s="23">
        <v>473.1</v>
      </c>
      <c r="C49">
        <v>94.3</v>
      </c>
      <c r="D49">
        <v>10.4</v>
      </c>
      <c r="E49">
        <v>6</v>
      </c>
      <c r="G49" s="23">
        <f t="shared" si="0"/>
        <v>9</v>
      </c>
      <c r="H49" s="23">
        <f t="shared" si="1"/>
        <v>21</v>
      </c>
      <c r="K49">
        <f t="shared" si="19"/>
        <v>10</v>
      </c>
      <c r="L49">
        <v>20</v>
      </c>
      <c r="M49">
        <f t="shared" si="18"/>
        <v>486.04166666666669</v>
      </c>
      <c r="N49">
        <v>100</v>
      </c>
      <c r="O49">
        <f t="shared" si="11"/>
        <v>4.8604166666666666</v>
      </c>
      <c r="P49">
        <f t="shared" si="16"/>
        <v>3.1683564252725795</v>
      </c>
      <c r="Q49" s="5">
        <f t="shared" si="12"/>
        <v>0.82660147392290251</v>
      </c>
      <c r="R49" s="34">
        <f t="shared" si="17"/>
        <v>0.71653840702947846</v>
      </c>
    </row>
    <row r="50" spans="1:42" x14ac:dyDescent="0.25">
      <c r="A50" s="22">
        <v>41891.888888888891</v>
      </c>
      <c r="B50" s="23">
        <v>470.8</v>
      </c>
      <c r="C50">
        <v>94.2</v>
      </c>
      <c r="D50">
        <v>10.3</v>
      </c>
      <c r="E50">
        <v>6.1</v>
      </c>
      <c r="G50" s="23">
        <f t="shared" si="0"/>
        <v>9</v>
      </c>
      <c r="H50" s="23">
        <f t="shared" si="1"/>
        <v>21</v>
      </c>
      <c r="K50">
        <f t="shared" si="19"/>
        <v>10</v>
      </c>
      <c r="L50">
        <v>21</v>
      </c>
      <c r="M50">
        <f t="shared" si="18"/>
        <v>487.4083333333333</v>
      </c>
      <c r="N50">
        <v>5</v>
      </c>
      <c r="O50">
        <f t="shared" si="11"/>
        <v>97.481666666666655</v>
      </c>
      <c r="Q50" s="5">
        <f t="shared" si="12"/>
        <v>0.82892573696145122</v>
      </c>
      <c r="R50" s="34">
        <f t="shared" si="17"/>
        <v>0.71653840702947846</v>
      </c>
    </row>
    <row r="51" spans="1:42" x14ac:dyDescent="0.25">
      <c r="A51" s="22">
        <v>41891.892361111109</v>
      </c>
      <c r="B51" s="23">
        <v>471.7</v>
      </c>
      <c r="C51">
        <v>94.3</v>
      </c>
      <c r="D51">
        <v>10.3</v>
      </c>
      <c r="E51">
        <v>6</v>
      </c>
      <c r="G51" s="23">
        <f t="shared" si="0"/>
        <v>9</v>
      </c>
      <c r="H51" s="23">
        <f t="shared" si="1"/>
        <v>21</v>
      </c>
      <c r="K51">
        <f t="shared" si="19"/>
        <v>10</v>
      </c>
      <c r="L51">
        <v>22</v>
      </c>
      <c r="M51">
        <f t="shared" si="18"/>
        <v>489.72499999999997</v>
      </c>
      <c r="N51">
        <v>148</v>
      </c>
      <c r="O51">
        <f t="shared" si="11"/>
        <v>3.3089527027027024</v>
      </c>
      <c r="Q51" s="5">
        <f t="shared" si="12"/>
        <v>0.83286564625850334</v>
      </c>
      <c r="R51" s="34">
        <f t="shared" si="17"/>
        <v>0.71653840702947846</v>
      </c>
    </row>
    <row r="52" spans="1:42" x14ac:dyDescent="0.25">
      <c r="A52" s="22">
        <v>41891.895833333336</v>
      </c>
      <c r="B52" s="23">
        <v>474.2</v>
      </c>
      <c r="C52">
        <v>94.3</v>
      </c>
      <c r="D52">
        <v>10.3</v>
      </c>
      <c r="E52">
        <v>6</v>
      </c>
      <c r="G52" s="23">
        <f t="shared" si="0"/>
        <v>9</v>
      </c>
      <c r="H52" s="23">
        <f t="shared" si="1"/>
        <v>21</v>
      </c>
      <c r="K52">
        <f t="shared" si="19"/>
        <v>10</v>
      </c>
      <c r="L52">
        <v>23</v>
      </c>
      <c r="Q52" s="5">
        <f t="shared" si="12"/>
        <v>0</v>
      </c>
      <c r="R52" s="34">
        <f t="shared" si="17"/>
        <v>0.71653840702947846</v>
      </c>
    </row>
    <row r="53" spans="1:42" x14ac:dyDescent="0.25">
      <c r="A53" s="22">
        <v>41891.899305555555</v>
      </c>
      <c r="B53" s="23">
        <v>474.4</v>
      </c>
      <c r="C53">
        <v>94.3</v>
      </c>
      <c r="D53">
        <v>10.3</v>
      </c>
      <c r="E53">
        <v>6</v>
      </c>
      <c r="G53" s="23">
        <f t="shared" si="0"/>
        <v>9</v>
      </c>
      <c r="H53" s="23">
        <f t="shared" si="1"/>
        <v>21</v>
      </c>
      <c r="K53">
        <v>11</v>
      </c>
      <c r="L53">
        <v>0</v>
      </c>
      <c r="M53">
        <f>+AVERAGEIF($H$370:$H$657,L53,$B$370:$B$657)</f>
        <v>409.125</v>
      </c>
      <c r="N53">
        <v>157</v>
      </c>
      <c r="O53">
        <f t="shared" si="11"/>
        <v>2.6058917197452227</v>
      </c>
      <c r="Q53" s="5">
        <f t="shared" si="12"/>
        <v>0.69579081632653061</v>
      </c>
      <c r="R53" s="34">
        <f t="shared" si="17"/>
        <v>0.71653840702947846</v>
      </c>
    </row>
    <row r="54" spans="1:42" x14ac:dyDescent="0.25">
      <c r="A54" s="22">
        <v>41891.902777777781</v>
      </c>
      <c r="B54" s="23">
        <v>472.8</v>
      </c>
      <c r="C54">
        <v>94.2</v>
      </c>
      <c r="D54">
        <v>10.3</v>
      </c>
      <c r="E54">
        <v>6</v>
      </c>
      <c r="G54" s="23">
        <f t="shared" si="0"/>
        <v>9</v>
      </c>
      <c r="H54" s="23">
        <f t="shared" si="1"/>
        <v>21</v>
      </c>
      <c r="K54">
        <f>+K53</f>
        <v>11</v>
      </c>
      <c r="L54">
        <v>1</v>
      </c>
      <c r="M54">
        <f t="shared" ref="M54:M117" si="20">+AVERAGEIF($H$370:$H$657,L54,$B$370:$B$657)</f>
        <v>385.97500000000008</v>
      </c>
      <c r="N54">
        <v>125</v>
      </c>
      <c r="O54">
        <f t="shared" si="11"/>
        <v>3.0878000000000005</v>
      </c>
      <c r="Q54" s="5">
        <f t="shared" si="12"/>
        <v>0.65642006802721098</v>
      </c>
      <c r="R54" s="34">
        <f t="shared" si="17"/>
        <v>0.71653840702947846</v>
      </c>
    </row>
    <row r="55" spans="1:42" x14ac:dyDescent="0.25">
      <c r="A55" s="22">
        <v>41891.90625</v>
      </c>
      <c r="B55" s="23">
        <v>474.8</v>
      </c>
      <c r="C55">
        <v>94.3</v>
      </c>
      <c r="D55">
        <v>10.3</v>
      </c>
      <c r="E55">
        <v>6</v>
      </c>
      <c r="G55" s="23">
        <f t="shared" si="0"/>
        <v>9</v>
      </c>
      <c r="H55" s="23">
        <f t="shared" si="1"/>
        <v>21</v>
      </c>
      <c r="K55">
        <f t="shared" ref="K55:K76" si="21">+K54</f>
        <v>11</v>
      </c>
      <c r="L55">
        <v>2</v>
      </c>
      <c r="M55">
        <f t="shared" si="20"/>
        <v>372.54166666666669</v>
      </c>
      <c r="N55">
        <v>223</v>
      </c>
      <c r="O55">
        <f t="shared" si="11"/>
        <v>1.6705904334828103</v>
      </c>
      <c r="Q55" s="5">
        <f t="shared" si="12"/>
        <v>0.6335742630385488</v>
      </c>
      <c r="R55" s="34">
        <f t="shared" si="17"/>
        <v>0.71653840702947846</v>
      </c>
    </row>
    <row r="56" spans="1:42" x14ac:dyDescent="0.25">
      <c r="A56" s="22">
        <v>41891.909722222219</v>
      </c>
      <c r="B56" s="23">
        <v>474.7</v>
      </c>
      <c r="C56">
        <v>94.4</v>
      </c>
      <c r="D56">
        <v>10.3</v>
      </c>
      <c r="E56">
        <v>6</v>
      </c>
      <c r="G56" s="23">
        <f t="shared" si="0"/>
        <v>9</v>
      </c>
      <c r="H56" s="23">
        <f t="shared" si="1"/>
        <v>21</v>
      </c>
      <c r="K56">
        <f t="shared" si="21"/>
        <v>11</v>
      </c>
      <c r="L56">
        <v>3</v>
      </c>
      <c r="M56">
        <f t="shared" si="20"/>
        <v>388.97500000000008</v>
      </c>
      <c r="N56">
        <v>175</v>
      </c>
      <c r="O56">
        <f t="shared" si="11"/>
        <v>2.2227142857142863</v>
      </c>
      <c r="Q56" s="5">
        <f t="shared" si="12"/>
        <v>0.66152210884353757</v>
      </c>
      <c r="R56" s="34">
        <f t="shared" si="17"/>
        <v>0.71653840702947846</v>
      </c>
    </row>
    <row r="57" spans="1:42" x14ac:dyDescent="0.25">
      <c r="A57" s="22">
        <v>41891.913194444445</v>
      </c>
      <c r="B57" s="23">
        <v>473.7</v>
      </c>
      <c r="C57">
        <v>94.2</v>
      </c>
      <c r="D57">
        <v>10.3</v>
      </c>
      <c r="E57">
        <v>6</v>
      </c>
      <c r="G57" s="23">
        <f t="shared" si="0"/>
        <v>9</v>
      </c>
      <c r="H57" s="23">
        <f t="shared" si="1"/>
        <v>21</v>
      </c>
      <c r="K57">
        <f t="shared" si="21"/>
        <v>11</v>
      </c>
      <c r="L57">
        <v>4</v>
      </c>
      <c r="M57">
        <f t="shared" si="20"/>
        <v>385.10833333333335</v>
      </c>
      <c r="N57">
        <v>126</v>
      </c>
      <c r="O57">
        <f t="shared" si="11"/>
        <v>3.0564153439153441</v>
      </c>
      <c r="Q57" s="5">
        <f t="shared" si="12"/>
        <v>0.65494614512471661</v>
      </c>
      <c r="R57" s="34">
        <f t="shared" si="17"/>
        <v>0.71653840702947846</v>
      </c>
    </row>
    <row r="58" spans="1:42" x14ac:dyDescent="0.25">
      <c r="A58" s="22">
        <v>41891.916666666664</v>
      </c>
      <c r="B58" s="23">
        <v>472</v>
      </c>
      <c r="C58">
        <v>94.1</v>
      </c>
      <c r="D58">
        <v>10.3</v>
      </c>
      <c r="E58">
        <v>6</v>
      </c>
      <c r="G58" s="23">
        <f t="shared" si="0"/>
        <v>9</v>
      </c>
      <c r="H58" s="23">
        <f t="shared" si="1"/>
        <v>22</v>
      </c>
      <c r="K58">
        <f t="shared" si="21"/>
        <v>11</v>
      </c>
      <c r="L58">
        <v>5</v>
      </c>
      <c r="M58">
        <f t="shared" si="20"/>
        <v>377.54166666666674</v>
      </c>
      <c r="N58">
        <v>176</v>
      </c>
      <c r="O58">
        <f t="shared" si="11"/>
        <v>2.1451231060606064</v>
      </c>
      <c r="Q58" s="5">
        <f t="shared" si="12"/>
        <v>0.64207766439909308</v>
      </c>
      <c r="R58" s="34">
        <f t="shared" si="17"/>
        <v>0.71653840702947846</v>
      </c>
    </row>
    <row r="59" spans="1:42" x14ac:dyDescent="0.25">
      <c r="A59" s="22">
        <v>41891.920138888891</v>
      </c>
      <c r="B59" s="23">
        <v>472.5</v>
      </c>
      <c r="C59">
        <v>94.2</v>
      </c>
      <c r="D59">
        <v>10.3</v>
      </c>
      <c r="E59">
        <v>6</v>
      </c>
      <c r="G59" s="23">
        <f t="shared" si="0"/>
        <v>9</v>
      </c>
      <c r="H59" s="23">
        <f t="shared" si="1"/>
        <v>22</v>
      </c>
      <c r="K59">
        <f t="shared" si="21"/>
        <v>11</v>
      </c>
      <c r="L59">
        <v>6</v>
      </c>
      <c r="M59">
        <f t="shared" si="20"/>
        <v>383.46666666666664</v>
      </c>
      <c r="N59">
        <v>157</v>
      </c>
      <c r="O59">
        <f t="shared" si="11"/>
        <v>2.4424628450106156</v>
      </c>
      <c r="Q59" s="5">
        <f t="shared" si="12"/>
        <v>0.65215419501133787</v>
      </c>
      <c r="R59" s="34">
        <f t="shared" si="17"/>
        <v>0.71653840702947846</v>
      </c>
    </row>
    <row r="60" spans="1:42" x14ac:dyDescent="0.25">
      <c r="A60" s="22">
        <v>41891.923611111109</v>
      </c>
      <c r="B60" s="23">
        <v>473.3</v>
      </c>
      <c r="C60">
        <v>94.2</v>
      </c>
      <c r="D60">
        <v>10.199999999999999</v>
      </c>
      <c r="E60">
        <v>5.9</v>
      </c>
      <c r="G60" s="23">
        <f t="shared" si="0"/>
        <v>9</v>
      </c>
      <c r="H60" s="23">
        <f t="shared" si="1"/>
        <v>22</v>
      </c>
      <c r="K60">
        <f t="shared" si="21"/>
        <v>11</v>
      </c>
      <c r="L60">
        <v>7</v>
      </c>
      <c r="M60">
        <f t="shared" si="20"/>
        <v>404.1583333333333</v>
      </c>
      <c r="N60">
        <v>193</v>
      </c>
      <c r="O60">
        <f t="shared" si="11"/>
        <v>2.0940846286701209</v>
      </c>
      <c r="Q60" s="5">
        <f t="shared" si="12"/>
        <v>0.68734410430838999</v>
      </c>
      <c r="R60" s="34">
        <f t="shared" si="17"/>
        <v>0.71653840702947846</v>
      </c>
    </row>
    <row r="61" spans="1:42" x14ac:dyDescent="0.25">
      <c r="A61" s="22">
        <v>41891.927083333336</v>
      </c>
      <c r="B61" s="23">
        <v>476.2</v>
      </c>
      <c r="C61">
        <v>94.2</v>
      </c>
      <c r="D61">
        <v>10.199999999999999</v>
      </c>
      <c r="E61">
        <v>5.9</v>
      </c>
      <c r="G61" s="23">
        <f t="shared" si="0"/>
        <v>9</v>
      </c>
      <c r="H61" s="23">
        <f t="shared" si="1"/>
        <v>22</v>
      </c>
      <c r="K61">
        <f t="shared" si="21"/>
        <v>11</v>
      </c>
      <c r="L61">
        <v>8</v>
      </c>
      <c r="M61">
        <f t="shared" si="20"/>
        <v>419.2833333333333</v>
      </c>
      <c r="N61">
        <v>144</v>
      </c>
      <c r="O61">
        <f t="shared" si="11"/>
        <v>2.9116898148148147</v>
      </c>
      <c r="Q61" s="5">
        <f t="shared" si="12"/>
        <v>0.71306689342403617</v>
      </c>
      <c r="R61" s="34">
        <f t="shared" si="17"/>
        <v>0.71653840702947846</v>
      </c>
    </row>
    <row r="62" spans="1:42" x14ac:dyDescent="0.25">
      <c r="A62" s="22">
        <v>41891.930555555555</v>
      </c>
      <c r="B62" s="23">
        <v>470.7</v>
      </c>
      <c r="C62">
        <v>94.2</v>
      </c>
      <c r="D62">
        <v>10.1</v>
      </c>
      <c r="E62">
        <v>5.8</v>
      </c>
      <c r="G62" s="23">
        <f t="shared" si="0"/>
        <v>9</v>
      </c>
      <c r="H62" s="23">
        <f t="shared" si="1"/>
        <v>22</v>
      </c>
      <c r="K62">
        <f t="shared" si="21"/>
        <v>11</v>
      </c>
      <c r="L62">
        <v>9</v>
      </c>
      <c r="M62">
        <f t="shared" si="20"/>
        <v>436.09166666666664</v>
      </c>
      <c r="N62">
        <v>201</v>
      </c>
      <c r="O62">
        <f t="shared" si="11"/>
        <v>2.1696102819237146</v>
      </c>
      <c r="Q62" s="5">
        <f t="shared" si="12"/>
        <v>0.74165249433106573</v>
      </c>
      <c r="R62" s="34">
        <f t="shared" si="17"/>
        <v>0.71653840702947846</v>
      </c>
    </row>
    <row r="63" spans="1:42" x14ac:dyDescent="0.25">
      <c r="A63" s="22">
        <v>41891.934027777781</v>
      </c>
      <c r="B63" s="23">
        <v>469.2</v>
      </c>
      <c r="C63">
        <v>94.2</v>
      </c>
      <c r="D63">
        <v>10.1</v>
      </c>
      <c r="E63">
        <v>5.8</v>
      </c>
      <c r="G63" s="23">
        <f t="shared" si="0"/>
        <v>9</v>
      </c>
      <c r="H63" s="23">
        <f t="shared" si="1"/>
        <v>22</v>
      </c>
      <c r="K63">
        <f t="shared" si="21"/>
        <v>11</v>
      </c>
      <c r="L63">
        <v>10</v>
      </c>
      <c r="M63">
        <f>+AVERAGEIF($H$370:$H$657,L63,$B$370:$B$657)</f>
        <v>415.97499999999997</v>
      </c>
      <c r="N63">
        <v>181</v>
      </c>
      <c r="O63">
        <f t="shared" si="11"/>
        <v>2.2982044198895024</v>
      </c>
      <c r="Q63" s="5">
        <f t="shared" si="12"/>
        <v>0.70744047619047612</v>
      </c>
      <c r="R63" s="34">
        <f t="shared" si="17"/>
        <v>0.71653840702947846</v>
      </c>
      <c r="U63">
        <v>157</v>
      </c>
      <c r="V63">
        <v>125</v>
      </c>
      <c r="W63">
        <v>223</v>
      </c>
      <c r="X63">
        <v>175</v>
      </c>
      <c r="Y63">
        <v>126</v>
      </c>
      <c r="Z63">
        <v>176</v>
      </c>
      <c r="AA63">
        <v>157</v>
      </c>
      <c r="AB63">
        <v>193</v>
      </c>
      <c r="AC63">
        <v>144</v>
      </c>
      <c r="AD63">
        <v>201</v>
      </c>
      <c r="AE63">
        <v>181</v>
      </c>
      <c r="AF63">
        <v>163</v>
      </c>
      <c r="AG63">
        <v>201</v>
      </c>
      <c r="AH63">
        <v>180</v>
      </c>
      <c r="AI63">
        <v>200</v>
      </c>
      <c r="AJ63">
        <v>181</v>
      </c>
      <c r="AK63">
        <v>168</v>
      </c>
      <c r="AL63">
        <v>229</v>
      </c>
      <c r="AM63">
        <v>147</v>
      </c>
      <c r="AN63">
        <v>100</v>
      </c>
      <c r="AO63">
        <v>207</v>
      </c>
      <c r="AP63">
        <v>323</v>
      </c>
    </row>
    <row r="64" spans="1:42" x14ac:dyDescent="0.25">
      <c r="A64" s="22">
        <v>41891.9375</v>
      </c>
      <c r="B64" s="23">
        <v>454</v>
      </c>
      <c r="C64">
        <v>94.3</v>
      </c>
      <c r="D64">
        <v>9.9</v>
      </c>
      <c r="E64">
        <v>5.8</v>
      </c>
      <c r="G64" s="23">
        <f t="shared" si="0"/>
        <v>9</v>
      </c>
      <c r="H64" s="23">
        <f t="shared" si="1"/>
        <v>22</v>
      </c>
      <c r="K64">
        <f t="shared" si="21"/>
        <v>11</v>
      </c>
      <c r="L64">
        <v>11</v>
      </c>
      <c r="M64">
        <f t="shared" si="20"/>
        <v>381.81666666666666</v>
      </c>
      <c r="N64">
        <v>163</v>
      </c>
      <c r="O64">
        <f t="shared" si="11"/>
        <v>2.3424335378323109</v>
      </c>
      <c r="Q64" s="5">
        <f t="shared" si="12"/>
        <v>0.64934807256235827</v>
      </c>
      <c r="R64" s="34">
        <f t="shared" si="17"/>
        <v>0.71653840702947846</v>
      </c>
    </row>
    <row r="65" spans="1:18" x14ac:dyDescent="0.25">
      <c r="A65" s="22">
        <v>41891.940972222219</v>
      </c>
      <c r="B65" s="23">
        <v>434.2</v>
      </c>
      <c r="C65">
        <v>94.2</v>
      </c>
      <c r="D65">
        <v>9.6999999999999993</v>
      </c>
      <c r="E65">
        <v>5.7</v>
      </c>
      <c r="G65" s="23">
        <f t="shared" si="0"/>
        <v>9</v>
      </c>
      <c r="H65" s="23">
        <f t="shared" si="1"/>
        <v>22</v>
      </c>
      <c r="K65">
        <f t="shared" si="21"/>
        <v>11</v>
      </c>
      <c r="L65">
        <v>12</v>
      </c>
      <c r="M65">
        <f>+AVERAGEIF($H$370:$H$657,L65,$B$370:$B$657)</f>
        <v>428.76666666666665</v>
      </c>
      <c r="N65">
        <v>201</v>
      </c>
      <c r="O65">
        <f t="shared" si="11"/>
        <v>2.133167495854063</v>
      </c>
      <c r="Q65" s="5">
        <f t="shared" si="12"/>
        <v>0.72919501133786846</v>
      </c>
      <c r="R65" s="34">
        <f t="shared" si="17"/>
        <v>0.71653840702947846</v>
      </c>
    </row>
    <row r="66" spans="1:18" x14ac:dyDescent="0.25">
      <c r="A66" s="22">
        <v>41891.944444444445</v>
      </c>
      <c r="B66" s="23">
        <v>418.6</v>
      </c>
      <c r="C66">
        <v>94.2</v>
      </c>
      <c r="D66">
        <v>9.6</v>
      </c>
      <c r="E66">
        <v>5.8</v>
      </c>
      <c r="G66" s="23">
        <f t="shared" si="0"/>
        <v>9</v>
      </c>
      <c r="H66" s="23">
        <f t="shared" si="1"/>
        <v>22</v>
      </c>
      <c r="K66">
        <f t="shared" si="21"/>
        <v>11</v>
      </c>
      <c r="L66">
        <v>13</v>
      </c>
      <c r="M66">
        <f t="shared" si="20"/>
        <v>467.95000000000005</v>
      </c>
      <c r="N66">
        <v>180</v>
      </c>
      <c r="O66">
        <f t="shared" si="11"/>
        <v>2.5997222222222223</v>
      </c>
      <c r="Q66" s="5">
        <f t="shared" si="12"/>
        <v>0.79583333333333339</v>
      </c>
      <c r="R66" s="34">
        <f t="shared" si="17"/>
        <v>0.71653840702947846</v>
      </c>
    </row>
    <row r="67" spans="1:18" x14ac:dyDescent="0.25">
      <c r="A67" s="22">
        <v>41891.947916666664</v>
      </c>
      <c r="B67" s="23">
        <v>406.6</v>
      </c>
      <c r="C67">
        <v>94.2</v>
      </c>
      <c r="D67">
        <v>9.5</v>
      </c>
      <c r="E67">
        <v>5.8</v>
      </c>
      <c r="G67" s="23">
        <f t="shared" si="0"/>
        <v>9</v>
      </c>
      <c r="H67" s="23">
        <f t="shared" si="1"/>
        <v>22</v>
      </c>
      <c r="K67">
        <f t="shared" si="21"/>
        <v>11</v>
      </c>
      <c r="L67">
        <v>14</v>
      </c>
      <c r="M67">
        <f t="shared" si="20"/>
        <v>470.37500000000006</v>
      </c>
      <c r="N67">
        <v>200</v>
      </c>
      <c r="O67">
        <f t="shared" si="11"/>
        <v>2.3518750000000002</v>
      </c>
      <c r="Q67" s="5">
        <f t="shared" si="12"/>
        <v>0.79995748299319736</v>
      </c>
      <c r="R67" s="34">
        <f t="shared" si="17"/>
        <v>0.71653840702947846</v>
      </c>
    </row>
    <row r="68" spans="1:18" x14ac:dyDescent="0.25">
      <c r="A68" s="22">
        <v>41891.951388888891</v>
      </c>
      <c r="B68" s="23">
        <v>399.5</v>
      </c>
      <c r="C68">
        <v>94.2</v>
      </c>
      <c r="D68">
        <v>9.4</v>
      </c>
      <c r="E68">
        <v>5.8</v>
      </c>
      <c r="G68" s="23">
        <f t="shared" si="0"/>
        <v>9</v>
      </c>
      <c r="H68" s="23">
        <f t="shared" si="1"/>
        <v>22</v>
      </c>
      <c r="K68">
        <f t="shared" si="21"/>
        <v>11</v>
      </c>
      <c r="L68">
        <v>15</v>
      </c>
      <c r="M68">
        <f t="shared" si="20"/>
        <v>470.55833333333339</v>
      </c>
      <c r="N68">
        <v>181</v>
      </c>
      <c r="O68">
        <f t="shared" si="11"/>
        <v>2.5997697974217315</v>
      </c>
      <c r="Q68" s="5">
        <f t="shared" si="12"/>
        <v>0.80026927437641737</v>
      </c>
      <c r="R68" s="34">
        <f t="shared" si="17"/>
        <v>0.71653840702947846</v>
      </c>
    </row>
    <row r="69" spans="1:18" x14ac:dyDescent="0.25">
      <c r="A69" s="22">
        <v>41891.954861111109</v>
      </c>
      <c r="B69" s="23">
        <v>394.1</v>
      </c>
      <c r="C69">
        <v>94.2</v>
      </c>
      <c r="D69">
        <v>9.3000000000000007</v>
      </c>
      <c r="E69">
        <v>5.8</v>
      </c>
      <c r="G69" s="23">
        <f t="shared" si="0"/>
        <v>9</v>
      </c>
      <c r="H69" s="23">
        <f t="shared" si="1"/>
        <v>22</v>
      </c>
      <c r="K69">
        <f t="shared" si="21"/>
        <v>11</v>
      </c>
      <c r="L69">
        <v>16</v>
      </c>
      <c r="M69">
        <f t="shared" si="20"/>
        <v>452.77500000000003</v>
      </c>
      <c r="N69">
        <v>168</v>
      </c>
      <c r="O69">
        <f t="shared" si="11"/>
        <v>2.6950892857142859</v>
      </c>
      <c r="Q69" s="5">
        <f t="shared" si="12"/>
        <v>0.77002551020408172</v>
      </c>
      <c r="R69" s="34">
        <f t="shared" si="17"/>
        <v>0.71653840702947846</v>
      </c>
    </row>
    <row r="70" spans="1:18" x14ac:dyDescent="0.25">
      <c r="A70" s="22">
        <v>41891.958333333336</v>
      </c>
      <c r="B70" s="23">
        <v>389.5</v>
      </c>
      <c r="C70">
        <v>94.2</v>
      </c>
      <c r="D70">
        <v>9.3000000000000007</v>
      </c>
      <c r="E70">
        <v>5.8</v>
      </c>
      <c r="G70" s="23">
        <f t="shared" ref="G70:G133" si="22">+DAY(A70)</f>
        <v>9</v>
      </c>
      <c r="H70" s="23">
        <f t="shared" ref="H70:H133" si="23">+HOUR(A70)</f>
        <v>23</v>
      </c>
      <c r="K70">
        <f t="shared" si="21"/>
        <v>11</v>
      </c>
      <c r="L70">
        <v>17</v>
      </c>
      <c r="M70">
        <f t="shared" si="20"/>
        <v>426.35833333333335</v>
      </c>
      <c r="N70">
        <v>229</v>
      </c>
      <c r="O70">
        <f t="shared" si="11"/>
        <v>1.8618267831149928</v>
      </c>
      <c r="Q70" s="5">
        <f t="shared" si="12"/>
        <v>0.72509920634920633</v>
      </c>
      <c r="R70" s="34">
        <f t="shared" si="17"/>
        <v>0.71653840702947846</v>
      </c>
    </row>
    <row r="71" spans="1:18" x14ac:dyDescent="0.25">
      <c r="A71" s="22">
        <v>41891.961805555555</v>
      </c>
      <c r="B71" s="23">
        <v>386.7</v>
      </c>
      <c r="C71">
        <v>94.2</v>
      </c>
      <c r="D71">
        <v>9.3000000000000007</v>
      </c>
      <c r="E71">
        <v>5.8</v>
      </c>
      <c r="G71" s="23">
        <f t="shared" si="22"/>
        <v>9</v>
      </c>
      <c r="H71" s="23">
        <f t="shared" si="23"/>
        <v>23</v>
      </c>
      <c r="K71">
        <f t="shared" si="21"/>
        <v>11</v>
      </c>
      <c r="L71">
        <v>18</v>
      </c>
      <c r="M71">
        <f t="shared" si="20"/>
        <v>482.5</v>
      </c>
      <c r="N71">
        <v>147</v>
      </c>
      <c r="O71">
        <f t="shared" si="11"/>
        <v>3.2823129251700682</v>
      </c>
      <c r="Q71" s="5">
        <f t="shared" si="12"/>
        <v>0.82057823129251706</v>
      </c>
      <c r="R71" s="34">
        <f t="shared" si="17"/>
        <v>0.71653840702947846</v>
      </c>
    </row>
    <row r="72" spans="1:18" x14ac:dyDescent="0.25">
      <c r="A72" s="22">
        <v>41891.965277777781</v>
      </c>
      <c r="B72" s="23">
        <v>390.5</v>
      </c>
      <c r="C72">
        <v>94.3</v>
      </c>
      <c r="D72">
        <v>9.3000000000000007</v>
      </c>
      <c r="E72">
        <v>5.8</v>
      </c>
      <c r="G72" s="23">
        <f t="shared" si="22"/>
        <v>9</v>
      </c>
      <c r="H72" s="23">
        <f t="shared" si="23"/>
        <v>23</v>
      </c>
      <c r="K72">
        <f t="shared" si="21"/>
        <v>11</v>
      </c>
      <c r="L72">
        <v>19</v>
      </c>
      <c r="M72">
        <f t="shared" si="20"/>
        <v>484.55833333333334</v>
      </c>
      <c r="N72">
        <v>100</v>
      </c>
      <c r="O72">
        <f t="shared" si="11"/>
        <v>4.8455833333333338</v>
      </c>
      <c r="Q72" s="5">
        <f t="shared" si="12"/>
        <v>0.8240787981859411</v>
      </c>
      <c r="R72" s="34">
        <f t="shared" si="17"/>
        <v>0.71653840702947846</v>
      </c>
    </row>
    <row r="73" spans="1:18" x14ac:dyDescent="0.25">
      <c r="A73" s="22">
        <v>41891.96875</v>
      </c>
      <c r="B73" s="23">
        <v>386</v>
      </c>
      <c r="C73">
        <v>94.2</v>
      </c>
      <c r="D73">
        <v>9.3000000000000007</v>
      </c>
      <c r="E73">
        <v>5.8</v>
      </c>
      <c r="G73" s="23">
        <f t="shared" si="22"/>
        <v>9</v>
      </c>
      <c r="H73" s="23">
        <f t="shared" si="23"/>
        <v>23</v>
      </c>
      <c r="K73">
        <f t="shared" si="21"/>
        <v>11</v>
      </c>
      <c r="L73">
        <v>20</v>
      </c>
      <c r="M73">
        <f t="shared" si="20"/>
        <v>482.69166666666666</v>
      </c>
      <c r="N73">
        <v>207</v>
      </c>
      <c r="O73">
        <f t="shared" si="11"/>
        <v>2.3318438003220612</v>
      </c>
      <c r="Q73" s="5">
        <f t="shared" si="12"/>
        <v>0.82090419501133782</v>
      </c>
      <c r="R73" s="34">
        <f t="shared" si="17"/>
        <v>0.71653840702947846</v>
      </c>
    </row>
    <row r="74" spans="1:18" x14ac:dyDescent="0.25">
      <c r="A74" s="22">
        <v>41891.972222222219</v>
      </c>
      <c r="B74" s="23">
        <v>388.3</v>
      </c>
      <c r="C74">
        <v>94.4</v>
      </c>
      <c r="D74">
        <v>9.3000000000000007</v>
      </c>
      <c r="E74">
        <v>5.8</v>
      </c>
      <c r="G74" s="23">
        <f t="shared" si="22"/>
        <v>9</v>
      </c>
      <c r="H74" s="23">
        <f t="shared" si="23"/>
        <v>23</v>
      </c>
      <c r="K74">
        <f t="shared" si="21"/>
        <v>11</v>
      </c>
      <c r="L74">
        <v>21</v>
      </c>
      <c r="M74">
        <f t="shared" si="20"/>
        <v>480.84999999999991</v>
      </c>
      <c r="N74">
        <v>323</v>
      </c>
      <c r="O74">
        <f t="shared" si="11"/>
        <v>1.4886996904024765</v>
      </c>
      <c r="Q74" s="5">
        <f t="shared" si="12"/>
        <v>0.81777210884353724</v>
      </c>
      <c r="R74" s="34">
        <f t="shared" si="17"/>
        <v>0.71653840702947846</v>
      </c>
    </row>
    <row r="75" spans="1:18" x14ac:dyDescent="0.25">
      <c r="A75" s="22">
        <v>41891.975694444445</v>
      </c>
      <c r="B75" s="23">
        <v>389.1</v>
      </c>
      <c r="C75">
        <v>94.2</v>
      </c>
      <c r="D75">
        <v>9.3000000000000007</v>
      </c>
      <c r="E75">
        <v>5.8</v>
      </c>
      <c r="G75" s="23">
        <f t="shared" si="22"/>
        <v>9</v>
      </c>
      <c r="H75" s="23">
        <f t="shared" si="23"/>
        <v>23</v>
      </c>
      <c r="K75">
        <f t="shared" si="21"/>
        <v>11</v>
      </c>
      <c r="L75">
        <v>22</v>
      </c>
      <c r="M75">
        <f t="shared" si="20"/>
        <v>476.89166666666665</v>
      </c>
      <c r="O75" t="e">
        <f t="shared" si="11"/>
        <v>#DIV/0!</v>
      </c>
      <c r="R75" s="34">
        <f t="shared" si="17"/>
        <v>0.71653840702947846</v>
      </c>
    </row>
    <row r="76" spans="1:18" x14ac:dyDescent="0.25">
      <c r="A76" s="22">
        <v>41891.979166666664</v>
      </c>
      <c r="B76" s="23">
        <v>387.3</v>
      </c>
      <c r="C76">
        <v>94.2</v>
      </c>
      <c r="D76">
        <v>9.3000000000000007</v>
      </c>
      <c r="E76">
        <v>5.8</v>
      </c>
      <c r="G76" s="23">
        <f t="shared" si="22"/>
        <v>9</v>
      </c>
      <c r="H76" s="23">
        <f t="shared" si="23"/>
        <v>23</v>
      </c>
      <c r="K76">
        <f t="shared" si="21"/>
        <v>11</v>
      </c>
      <c r="L76">
        <v>23</v>
      </c>
      <c r="M76">
        <f t="shared" si="20"/>
        <v>430.61666666666662</v>
      </c>
      <c r="O76" t="e">
        <f t="shared" si="11"/>
        <v>#DIV/0!</v>
      </c>
      <c r="R76" s="34">
        <f t="shared" si="17"/>
        <v>0.71653840702947846</v>
      </c>
    </row>
    <row r="77" spans="1:18" x14ac:dyDescent="0.25">
      <c r="A77" s="22">
        <v>41891.982638888891</v>
      </c>
      <c r="B77" s="23">
        <v>389.3</v>
      </c>
      <c r="C77">
        <v>94.3</v>
      </c>
      <c r="D77">
        <v>9.3000000000000007</v>
      </c>
      <c r="E77">
        <v>5.8</v>
      </c>
      <c r="G77" s="23">
        <f t="shared" si="22"/>
        <v>9</v>
      </c>
      <c r="H77" s="23">
        <f t="shared" si="23"/>
        <v>23</v>
      </c>
      <c r="K77">
        <v>12</v>
      </c>
      <c r="L77">
        <v>0</v>
      </c>
      <c r="M77">
        <f t="shared" si="20"/>
        <v>409.125</v>
      </c>
      <c r="O77" t="e">
        <f t="shared" si="11"/>
        <v>#DIV/0!</v>
      </c>
    </row>
    <row r="78" spans="1:18" x14ac:dyDescent="0.25">
      <c r="A78" s="22">
        <v>41891.986111111109</v>
      </c>
      <c r="B78" s="23">
        <v>384.2</v>
      </c>
      <c r="C78">
        <v>94.3</v>
      </c>
      <c r="D78">
        <v>9.3000000000000007</v>
      </c>
      <c r="E78">
        <v>5.8</v>
      </c>
      <c r="G78" s="23">
        <f t="shared" si="22"/>
        <v>9</v>
      </c>
      <c r="H78" s="23">
        <f t="shared" si="23"/>
        <v>23</v>
      </c>
      <c r="K78">
        <v>12</v>
      </c>
      <c r="L78">
        <v>1</v>
      </c>
      <c r="M78">
        <f t="shared" si="20"/>
        <v>385.97500000000008</v>
      </c>
      <c r="O78" t="e">
        <f t="shared" si="11"/>
        <v>#DIV/0!</v>
      </c>
    </row>
    <row r="79" spans="1:18" x14ac:dyDescent="0.25">
      <c r="A79" s="22">
        <v>41891.989583333336</v>
      </c>
      <c r="B79" s="23">
        <v>382.1</v>
      </c>
      <c r="C79">
        <v>94.2</v>
      </c>
      <c r="D79">
        <v>9.1999999999999993</v>
      </c>
      <c r="E79">
        <v>5.8</v>
      </c>
      <c r="G79" s="23">
        <f t="shared" si="22"/>
        <v>9</v>
      </c>
      <c r="H79" s="23">
        <f t="shared" si="23"/>
        <v>23</v>
      </c>
      <c r="K79">
        <v>12</v>
      </c>
      <c r="L79">
        <v>2</v>
      </c>
      <c r="M79">
        <f t="shared" si="20"/>
        <v>372.54166666666669</v>
      </c>
    </row>
    <row r="80" spans="1:18" x14ac:dyDescent="0.25">
      <c r="A80" s="22">
        <v>41891.993055555555</v>
      </c>
      <c r="B80" s="23">
        <v>380.5</v>
      </c>
      <c r="C80">
        <v>94.2</v>
      </c>
      <c r="D80">
        <v>9.1999999999999993</v>
      </c>
      <c r="E80">
        <v>5.8</v>
      </c>
      <c r="G80" s="23">
        <f t="shared" si="22"/>
        <v>9</v>
      </c>
      <c r="H80" s="23">
        <f t="shared" si="23"/>
        <v>23</v>
      </c>
      <c r="K80">
        <v>12</v>
      </c>
      <c r="L80">
        <v>3</v>
      </c>
      <c r="M80">
        <f t="shared" si="20"/>
        <v>388.97500000000008</v>
      </c>
    </row>
    <row r="81" spans="1:13" x14ac:dyDescent="0.25">
      <c r="A81" s="22">
        <v>41891.996527777781</v>
      </c>
      <c r="B81" s="23">
        <v>379.2</v>
      </c>
      <c r="C81">
        <v>94.3</v>
      </c>
      <c r="D81">
        <v>9.1999999999999993</v>
      </c>
      <c r="E81">
        <v>5.8</v>
      </c>
      <c r="G81" s="23">
        <f t="shared" si="22"/>
        <v>9</v>
      </c>
      <c r="H81" s="23">
        <f t="shared" si="23"/>
        <v>23</v>
      </c>
      <c r="K81">
        <v>12</v>
      </c>
      <c r="L81">
        <v>4</v>
      </c>
      <c r="M81">
        <f t="shared" si="20"/>
        <v>385.10833333333335</v>
      </c>
    </row>
    <row r="82" spans="1:13" x14ac:dyDescent="0.25">
      <c r="A82" s="22">
        <v>41892</v>
      </c>
      <c r="B82" s="23">
        <v>379.9</v>
      </c>
      <c r="C82">
        <v>94.3</v>
      </c>
      <c r="D82">
        <v>9.1999999999999993</v>
      </c>
      <c r="E82">
        <v>5.8</v>
      </c>
      <c r="G82" s="23">
        <f t="shared" si="22"/>
        <v>10</v>
      </c>
      <c r="H82" s="23">
        <f t="shared" si="23"/>
        <v>0</v>
      </c>
      <c r="K82">
        <v>12</v>
      </c>
      <c r="L82">
        <v>5</v>
      </c>
      <c r="M82">
        <f t="shared" si="20"/>
        <v>377.54166666666674</v>
      </c>
    </row>
    <row r="83" spans="1:13" x14ac:dyDescent="0.25">
      <c r="A83" s="22">
        <v>41892.003472222219</v>
      </c>
      <c r="B83" s="23">
        <v>378.8</v>
      </c>
      <c r="C83">
        <v>94.3</v>
      </c>
      <c r="D83">
        <v>9.1999999999999993</v>
      </c>
      <c r="E83">
        <v>5.8</v>
      </c>
      <c r="G83" s="23">
        <f t="shared" si="22"/>
        <v>10</v>
      </c>
      <c r="H83" s="23">
        <f t="shared" si="23"/>
        <v>0</v>
      </c>
      <c r="K83">
        <v>12</v>
      </c>
      <c r="L83">
        <v>6</v>
      </c>
      <c r="M83">
        <f t="shared" si="20"/>
        <v>383.46666666666664</v>
      </c>
    </row>
    <row r="84" spans="1:13" x14ac:dyDescent="0.25">
      <c r="A84" s="22">
        <v>41892.006944444445</v>
      </c>
      <c r="B84" s="23">
        <v>380</v>
      </c>
      <c r="C84">
        <v>94.2</v>
      </c>
      <c r="D84">
        <v>9.1999999999999993</v>
      </c>
      <c r="E84">
        <v>5.8</v>
      </c>
      <c r="G84" s="23">
        <f t="shared" si="22"/>
        <v>10</v>
      </c>
      <c r="H84" s="23">
        <f t="shared" si="23"/>
        <v>0</v>
      </c>
      <c r="K84">
        <v>12</v>
      </c>
      <c r="L84">
        <v>7</v>
      </c>
      <c r="M84">
        <f t="shared" si="20"/>
        <v>404.1583333333333</v>
      </c>
    </row>
    <row r="85" spans="1:13" x14ac:dyDescent="0.25">
      <c r="A85" s="22">
        <v>41892.010416666664</v>
      </c>
      <c r="B85" s="23">
        <v>380.4</v>
      </c>
      <c r="C85">
        <v>94.2</v>
      </c>
      <c r="D85">
        <v>9.1999999999999993</v>
      </c>
      <c r="E85">
        <v>5.8</v>
      </c>
      <c r="G85" s="23">
        <f t="shared" si="22"/>
        <v>10</v>
      </c>
      <c r="H85" s="23">
        <f t="shared" si="23"/>
        <v>0</v>
      </c>
      <c r="K85">
        <v>12</v>
      </c>
      <c r="L85">
        <v>8</v>
      </c>
      <c r="M85">
        <f t="shared" si="20"/>
        <v>419.2833333333333</v>
      </c>
    </row>
    <row r="86" spans="1:13" x14ac:dyDescent="0.25">
      <c r="A86" s="22">
        <v>41892.013888888891</v>
      </c>
      <c r="B86" s="23">
        <v>385.4</v>
      </c>
      <c r="C86">
        <v>94.3</v>
      </c>
      <c r="D86">
        <v>9.3000000000000007</v>
      </c>
      <c r="E86">
        <v>5.8</v>
      </c>
      <c r="G86" s="23">
        <f t="shared" si="22"/>
        <v>10</v>
      </c>
      <c r="H86" s="23">
        <f t="shared" si="23"/>
        <v>0</v>
      </c>
      <c r="K86">
        <v>12</v>
      </c>
      <c r="L86">
        <v>9</v>
      </c>
      <c r="M86">
        <f t="shared" si="20"/>
        <v>436.09166666666664</v>
      </c>
    </row>
    <row r="87" spans="1:13" x14ac:dyDescent="0.25">
      <c r="A87" s="22">
        <v>41892.017361111109</v>
      </c>
      <c r="B87" s="23">
        <v>385.6</v>
      </c>
      <c r="C87">
        <v>94.3</v>
      </c>
      <c r="D87">
        <v>9.3000000000000007</v>
      </c>
      <c r="E87">
        <v>5.8</v>
      </c>
      <c r="G87" s="23">
        <f t="shared" si="22"/>
        <v>10</v>
      </c>
      <c r="H87" s="23">
        <f t="shared" si="23"/>
        <v>0</v>
      </c>
      <c r="K87">
        <v>12</v>
      </c>
      <c r="L87">
        <v>10</v>
      </c>
      <c r="M87">
        <f t="shared" si="20"/>
        <v>415.97499999999997</v>
      </c>
    </row>
    <row r="88" spans="1:13" x14ac:dyDescent="0.25">
      <c r="A88" s="22">
        <v>41892.020833333336</v>
      </c>
      <c r="B88" s="23">
        <v>385</v>
      </c>
      <c r="C88">
        <v>94.3</v>
      </c>
      <c r="D88">
        <v>9.3000000000000007</v>
      </c>
      <c r="E88">
        <v>5.8</v>
      </c>
      <c r="G88" s="23">
        <f t="shared" si="22"/>
        <v>10</v>
      </c>
      <c r="H88" s="23">
        <f t="shared" si="23"/>
        <v>0</v>
      </c>
      <c r="K88">
        <v>12</v>
      </c>
      <c r="L88">
        <v>11</v>
      </c>
      <c r="M88">
        <f t="shared" si="20"/>
        <v>381.81666666666666</v>
      </c>
    </row>
    <row r="89" spans="1:13" x14ac:dyDescent="0.25">
      <c r="A89" s="22">
        <v>41892.024305555555</v>
      </c>
      <c r="B89" s="23">
        <v>383.7</v>
      </c>
      <c r="C89">
        <v>94.3</v>
      </c>
      <c r="D89">
        <v>9.3000000000000007</v>
      </c>
      <c r="E89">
        <v>5.8</v>
      </c>
      <c r="G89" s="23">
        <f t="shared" si="22"/>
        <v>10</v>
      </c>
      <c r="H89" s="23">
        <f t="shared" si="23"/>
        <v>0</v>
      </c>
      <c r="K89">
        <v>12</v>
      </c>
      <c r="L89">
        <v>12</v>
      </c>
      <c r="M89">
        <f t="shared" si="20"/>
        <v>428.76666666666665</v>
      </c>
    </row>
    <row r="90" spans="1:13" x14ac:dyDescent="0.25">
      <c r="A90" s="22">
        <v>41892.027777777781</v>
      </c>
      <c r="B90" s="23">
        <v>383.9</v>
      </c>
      <c r="C90">
        <v>94.3</v>
      </c>
      <c r="D90">
        <v>9.3000000000000007</v>
      </c>
      <c r="E90">
        <v>5.8</v>
      </c>
      <c r="G90" s="23">
        <f t="shared" si="22"/>
        <v>10</v>
      </c>
      <c r="H90" s="23">
        <f t="shared" si="23"/>
        <v>0</v>
      </c>
      <c r="K90">
        <v>12</v>
      </c>
      <c r="L90">
        <v>13</v>
      </c>
      <c r="M90">
        <f t="shared" si="20"/>
        <v>467.95000000000005</v>
      </c>
    </row>
    <row r="91" spans="1:13" x14ac:dyDescent="0.25">
      <c r="A91" s="22">
        <v>41892.03125</v>
      </c>
      <c r="B91" s="23">
        <v>383.7</v>
      </c>
      <c r="C91">
        <v>94.4</v>
      </c>
      <c r="D91">
        <v>9.3000000000000007</v>
      </c>
      <c r="E91">
        <v>5.8</v>
      </c>
      <c r="G91" s="23">
        <f t="shared" si="22"/>
        <v>10</v>
      </c>
      <c r="H91" s="23">
        <f t="shared" si="23"/>
        <v>0</v>
      </c>
      <c r="K91">
        <v>12</v>
      </c>
      <c r="L91">
        <v>14</v>
      </c>
      <c r="M91">
        <f t="shared" si="20"/>
        <v>470.37500000000006</v>
      </c>
    </row>
    <row r="92" spans="1:13" x14ac:dyDescent="0.25">
      <c r="A92" s="22">
        <v>41892.034722222219</v>
      </c>
      <c r="B92" s="23">
        <v>380.5</v>
      </c>
      <c r="C92">
        <v>94.3</v>
      </c>
      <c r="D92">
        <v>9.1999999999999993</v>
      </c>
      <c r="E92">
        <v>5.8</v>
      </c>
      <c r="G92" s="23">
        <f t="shared" si="22"/>
        <v>10</v>
      </c>
      <c r="H92" s="23">
        <f t="shared" si="23"/>
        <v>0</v>
      </c>
      <c r="K92">
        <v>12</v>
      </c>
      <c r="L92">
        <v>15</v>
      </c>
      <c r="M92">
        <f t="shared" si="20"/>
        <v>470.55833333333339</v>
      </c>
    </row>
    <row r="93" spans="1:13" x14ac:dyDescent="0.25">
      <c r="A93" s="22">
        <v>41892.038194444445</v>
      </c>
      <c r="B93" s="23">
        <v>380.3</v>
      </c>
      <c r="C93">
        <v>94.2</v>
      </c>
      <c r="D93">
        <v>9.1999999999999993</v>
      </c>
      <c r="E93">
        <v>5.8</v>
      </c>
      <c r="G93" s="23">
        <f t="shared" si="22"/>
        <v>10</v>
      </c>
      <c r="H93" s="23">
        <f t="shared" si="23"/>
        <v>0</v>
      </c>
      <c r="K93">
        <v>12</v>
      </c>
      <c r="L93">
        <v>16</v>
      </c>
      <c r="M93">
        <f t="shared" si="20"/>
        <v>452.77500000000003</v>
      </c>
    </row>
    <row r="94" spans="1:13" x14ac:dyDescent="0.25">
      <c r="A94" s="22">
        <v>41892.041666666664</v>
      </c>
      <c r="B94" s="23">
        <v>380.6</v>
      </c>
      <c r="C94">
        <v>94.2</v>
      </c>
      <c r="D94">
        <v>9.1999999999999993</v>
      </c>
      <c r="E94">
        <v>5.8</v>
      </c>
      <c r="G94" s="23">
        <f t="shared" si="22"/>
        <v>10</v>
      </c>
      <c r="H94" s="23">
        <f t="shared" si="23"/>
        <v>1</v>
      </c>
      <c r="K94">
        <v>12</v>
      </c>
      <c r="L94">
        <v>17</v>
      </c>
      <c r="M94">
        <f t="shared" si="20"/>
        <v>426.35833333333335</v>
      </c>
    </row>
    <row r="95" spans="1:13" x14ac:dyDescent="0.25">
      <c r="A95" s="22">
        <v>41892.045138888891</v>
      </c>
      <c r="B95" s="23">
        <v>381.2</v>
      </c>
      <c r="C95">
        <v>94.3</v>
      </c>
      <c r="D95">
        <v>9.1999999999999993</v>
      </c>
      <c r="E95">
        <v>5.8</v>
      </c>
      <c r="G95" s="23">
        <f t="shared" si="22"/>
        <v>10</v>
      </c>
      <c r="H95" s="23">
        <f t="shared" si="23"/>
        <v>1</v>
      </c>
      <c r="K95">
        <v>12</v>
      </c>
      <c r="L95">
        <v>18</v>
      </c>
      <c r="M95">
        <f t="shared" si="20"/>
        <v>482.5</v>
      </c>
    </row>
    <row r="96" spans="1:13" x14ac:dyDescent="0.25">
      <c r="A96" s="22">
        <v>41892.048611111109</v>
      </c>
      <c r="B96" s="23">
        <v>382.1</v>
      </c>
      <c r="C96">
        <v>94.3</v>
      </c>
      <c r="D96">
        <v>9.1999999999999993</v>
      </c>
      <c r="E96">
        <v>5.8</v>
      </c>
      <c r="G96" s="23">
        <f t="shared" si="22"/>
        <v>10</v>
      </c>
      <c r="H96" s="23">
        <f t="shared" si="23"/>
        <v>1</v>
      </c>
      <c r="K96">
        <v>12</v>
      </c>
      <c r="L96">
        <v>19</v>
      </c>
      <c r="M96">
        <f t="shared" si="20"/>
        <v>484.55833333333334</v>
      </c>
    </row>
    <row r="97" spans="1:13" x14ac:dyDescent="0.25">
      <c r="A97" s="22">
        <v>41892.052083333336</v>
      </c>
      <c r="B97" s="23">
        <v>381.2</v>
      </c>
      <c r="C97">
        <v>94.2</v>
      </c>
      <c r="D97">
        <v>9.1999999999999993</v>
      </c>
      <c r="E97">
        <v>5.8</v>
      </c>
      <c r="G97" s="23">
        <f t="shared" si="22"/>
        <v>10</v>
      </c>
      <c r="H97" s="23">
        <f t="shared" si="23"/>
        <v>1</v>
      </c>
      <c r="K97">
        <v>12</v>
      </c>
      <c r="L97">
        <v>20</v>
      </c>
      <c r="M97">
        <f t="shared" si="20"/>
        <v>482.69166666666666</v>
      </c>
    </row>
    <row r="98" spans="1:13" x14ac:dyDescent="0.25">
      <c r="A98" s="22">
        <v>41892.055555555555</v>
      </c>
      <c r="B98" s="23">
        <v>381.1</v>
      </c>
      <c r="C98">
        <v>94.3</v>
      </c>
      <c r="D98">
        <v>9.1999999999999993</v>
      </c>
      <c r="E98">
        <v>5.8</v>
      </c>
      <c r="G98" s="23">
        <f t="shared" si="22"/>
        <v>10</v>
      </c>
      <c r="H98" s="23">
        <f t="shared" si="23"/>
        <v>1</v>
      </c>
      <c r="K98">
        <v>12</v>
      </c>
      <c r="L98">
        <v>21</v>
      </c>
      <c r="M98">
        <f t="shared" si="20"/>
        <v>480.84999999999991</v>
      </c>
    </row>
    <row r="99" spans="1:13" x14ac:dyDescent="0.25">
      <c r="A99" s="22">
        <v>41892.059027777781</v>
      </c>
      <c r="B99" s="23">
        <v>379.9</v>
      </c>
      <c r="C99">
        <v>94.3</v>
      </c>
      <c r="D99">
        <v>9.1999999999999993</v>
      </c>
      <c r="E99">
        <v>5.8</v>
      </c>
      <c r="G99" s="23">
        <f t="shared" si="22"/>
        <v>10</v>
      </c>
      <c r="H99" s="23">
        <f t="shared" si="23"/>
        <v>1</v>
      </c>
      <c r="K99">
        <v>12</v>
      </c>
      <c r="L99">
        <v>22</v>
      </c>
      <c r="M99">
        <f t="shared" si="20"/>
        <v>476.89166666666665</v>
      </c>
    </row>
    <row r="100" spans="1:13" x14ac:dyDescent="0.25">
      <c r="A100" s="22">
        <v>41892.0625</v>
      </c>
      <c r="B100" s="23">
        <v>377.7</v>
      </c>
      <c r="C100">
        <v>94.4</v>
      </c>
      <c r="D100">
        <v>9.1999999999999993</v>
      </c>
      <c r="E100">
        <v>5.8</v>
      </c>
      <c r="G100" s="23">
        <f t="shared" si="22"/>
        <v>10</v>
      </c>
      <c r="H100" s="23">
        <f t="shared" si="23"/>
        <v>1</v>
      </c>
      <c r="K100">
        <v>12</v>
      </c>
      <c r="L100">
        <v>23</v>
      </c>
      <c r="M100">
        <f t="shared" si="20"/>
        <v>430.61666666666662</v>
      </c>
    </row>
    <row r="101" spans="1:13" x14ac:dyDescent="0.25">
      <c r="A101" s="22">
        <v>41892.065972222219</v>
      </c>
      <c r="B101" s="23">
        <v>374.8</v>
      </c>
      <c r="C101">
        <v>94.3</v>
      </c>
      <c r="D101">
        <v>9.1999999999999993</v>
      </c>
      <c r="E101">
        <v>5.8</v>
      </c>
      <c r="G101" s="23">
        <f t="shared" si="22"/>
        <v>10</v>
      </c>
      <c r="H101" s="23">
        <f t="shared" si="23"/>
        <v>1</v>
      </c>
      <c r="K101">
        <v>13</v>
      </c>
      <c r="L101">
        <v>0</v>
      </c>
      <c r="M101">
        <f t="shared" si="20"/>
        <v>409.125</v>
      </c>
    </row>
    <row r="102" spans="1:13" x14ac:dyDescent="0.25">
      <c r="A102" s="22">
        <v>41892.069444444445</v>
      </c>
      <c r="B102" s="23">
        <v>374</v>
      </c>
      <c r="C102">
        <v>94.2</v>
      </c>
      <c r="D102">
        <v>9.1999999999999993</v>
      </c>
      <c r="E102">
        <v>5.8</v>
      </c>
      <c r="G102" s="23">
        <f t="shared" si="22"/>
        <v>10</v>
      </c>
      <c r="H102" s="23">
        <f t="shared" si="23"/>
        <v>1</v>
      </c>
      <c r="K102">
        <v>13</v>
      </c>
      <c r="L102">
        <v>1</v>
      </c>
      <c r="M102">
        <f t="shared" si="20"/>
        <v>385.97500000000008</v>
      </c>
    </row>
    <row r="103" spans="1:13" x14ac:dyDescent="0.25">
      <c r="A103" s="22">
        <v>41892.072916666664</v>
      </c>
      <c r="B103" s="23">
        <v>372.4</v>
      </c>
      <c r="C103">
        <v>94.3</v>
      </c>
      <c r="D103">
        <v>9.1</v>
      </c>
      <c r="E103">
        <v>5.8</v>
      </c>
      <c r="G103" s="23">
        <f t="shared" si="22"/>
        <v>10</v>
      </c>
      <c r="H103" s="23">
        <f t="shared" si="23"/>
        <v>1</v>
      </c>
      <c r="K103">
        <v>13</v>
      </c>
      <c r="L103">
        <v>2</v>
      </c>
      <c r="M103">
        <f t="shared" si="20"/>
        <v>372.54166666666669</v>
      </c>
    </row>
    <row r="104" spans="1:13" x14ac:dyDescent="0.25">
      <c r="A104" s="22">
        <v>41892.076388888891</v>
      </c>
      <c r="B104" s="23">
        <v>373.7</v>
      </c>
      <c r="C104">
        <v>94.3</v>
      </c>
      <c r="D104">
        <v>9.1999999999999993</v>
      </c>
      <c r="E104">
        <v>5.8</v>
      </c>
      <c r="G104" s="23">
        <f t="shared" si="22"/>
        <v>10</v>
      </c>
      <c r="H104" s="23">
        <f t="shared" si="23"/>
        <v>1</v>
      </c>
      <c r="K104">
        <v>13</v>
      </c>
      <c r="L104">
        <v>3</v>
      </c>
      <c r="M104">
        <f t="shared" si="20"/>
        <v>388.97500000000008</v>
      </c>
    </row>
    <row r="105" spans="1:13" x14ac:dyDescent="0.25">
      <c r="A105" s="22">
        <v>41892.079861111109</v>
      </c>
      <c r="B105" s="23">
        <v>373</v>
      </c>
      <c r="C105">
        <v>94.2</v>
      </c>
      <c r="D105">
        <v>9.1999999999999993</v>
      </c>
      <c r="E105">
        <v>5.8</v>
      </c>
      <c r="G105" s="23">
        <f t="shared" si="22"/>
        <v>10</v>
      </c>
      <c r="H105" s="23">
        <f t="shared" si="23"/>
        <v>1</v>
      </c>
      <c r="K105">
        <v>13</v>
      </c>
      <c r="L105">
        <v>4</v>
      </c>
      <c r="M105">
        <f t="shared" si="20"/>
        <v>385.10833333333335</v>
      </c>
    </row>
    <row r="106" spans="1:13" x14ac:dyDescent="0.25">
      <c r="A106" s="22">
        <v>41892.083333333336</v>
      </c>
      <c r="B106" s="23">
        <v>372.2</v>
      </c>
      <c r="C106">
        <v>94.2</v>
      </c>
      <c r="D106">
        <v>9.1999999999999993</v>
      </c>
      <c r="E106">
        <v>5.8</v>
      </c>
      <c r="G106" s="23">
        <f t="shared" si="22"/>
        <v>10</v>
      </c>
      <c r="H106" s="23">
        <f t="shared" si="23"/>
        <v>2</v>
      </c>
      <c r="K106">
        <v>13</v>
      </c>
      <c r="L106">
        <v>5</v>
      </c>
      <c r="M106">
        <f t="shared" si="20"/>
        <v>377.54166666666674</v>
      </c>
    </row>
    <row r="107" spans="1:13" x14ac:dyDescent="0.25">
      <c r="A107" s="22">
        <v>41892.086805555555</v>
      </c>
      <c r="B107" s="23">
        <v>372.6</v>
      </c>
      <c r="C107">
        <v>94.2</v>
      </c>
      <c r="D107">
        <v>9.1999999999999993</v>
      </c>
      <c r="E107">
        <v>5.8</v>
      </c>
      <c r="G107" s="23">
        <f t="shared" si="22"/>
        <v>10</v>
      </c>
      <c r="H107" s="23">
        <f t="shared" si="23"/>
        <v>2</v>
      </c>
      <c r="K107">
        <v>13</v>
      </c>
      <c r="L107">
        <v>6</v>
      </c>
      <c r="M107">
        <f t="shared" si="20"/>
        <v>383.46666666666664</v>
      </c>
    </row>
    <row r="108" spans="1:13" x14ac:dyDescent="0.25">
      <c r="A108" s="22">
        <v>41892.090277777781</v>
      </c>
      <c r="B108" s="23">
        <v>374.5</v>
      </c>
      <c r="C108">
        <v>94.4</v>
      </c>
      <c r="D108">
        <v>9.1999999999999993</v>
      </c>
      <c r="E108">
        <v>5.8</v>
      </c>
      <c r="G108" s="23">
        <f t="shared" si="22"/>
        <v>10</v>
      </c>
      <c r="H108" s="23">
        <f t="shared" si="23"/>
        <v>2</v>
      </c>
      <c r="K108">
        <v>13</v>
      </c>
      <c r="L108">
        <v>7</v>
      </c>
      <c r="M108">
        <f t="shared" si="20"/>
        <v>404.1583333333333</v>
      </c>
    </row>
    <row r="109" spans="1:13" x14ac:dyDescent="0.25">
      <c r="A109" s="22">
        <v>41892.09375</v>
      </c>
      <c r="B109" s="23">
        <v>369.2</v>
      </c>
      <c r="C109">
        <v>94.2</v>
      </c>
      <c r="D109">
        <v>9.1</v>
      </c>
      <c r="E109">
        <v>5.8</v>
      </c>
      <c r="G109" s="23">
        <f t="shared" si="22"/>
        <v>10</v>
      </c>
      <c r="H109" s="23">
        <f t="shared" si="23"/>
        <v>2</v>
      </c>
      <c r="K109">
        <v>13</v>
      </c>
      <c r="L109">
        <v>8</v>
      </c>
      <c r="M109">
        <f t="shared" si="20"/>
        <v>419.2833333333333</v>
      </c>
    </row>
    <row r="110" spans="1:13" x14ac:dyDescent="0.25">
      <c r="A110" s="22">
        <v>41892.097222222219</v>
      </c>
      <c r="B110" s="23">
        <v>365.1</v>
      </c>
      <c r="C110">
        <v>94.3</v>
      </c>
      <c r="D110">
        <v>9.1</v>
      </c>
      <c r="E110">
        <v>5.8</v>
      </c>
      <c r="G110" s="23">
        <f t="shared" si="22"/>
        <v>10</v>
      </c>
      <c r="H110" s="23">
        <f t="shared" si="23"/>
        <v>2</v>
      </c>
      <c r="K110">
        <v>13</v>
      </c>
      <c r="L110">
        <v>9</v>
      </c>
      <c r="M110">
        <f t="shared" si="20"/>
        <v>436.09166666666664</v>
      </c>
    </row>
    <row r="111" spans="1:13" x14ac:dyDescent="0.25">
      <c r="A111" s="22">
        <v>41892.100694444445</v>
      </c>
      <c r="B111" s="23">
        <v>361.6</v>
      </c>
      <c r="C111">
        <v>94.3</v>
      </c>
      <c r="D111">
        <v>9</v>
      </c>
      <c r="E111">
        <v>5.8</v>
      </c>
      <c r="G111" s="23">
        <f t="shared" si="22"/>
        <v>10</v>
      </c>
      <c r="H111" s="23">
        <f t="shared" si="23"/>
        <v>2</v>
      </c>
      <c r="K111">
        <v>13</v>
      </c>
      <c r="L111">
        <v>10</v>
      </c>
      <c r="M111">
        <f t="shared" si="20"/>
        <v>415.97499999999997</v>
      </c>
    </row>
    <row r="112" spans="1:13" x14ac:dyDescent="0.25">
      <c r="A112" s="22">
        <v>41892.104166666664</v>
      </c>
      <c r="B112" s="23">
        <v>358.6</v>
      </c>
      <c r="C112">
        <v>94.2</v>
      </c>
      <c r="D112">
        <v>9</v>
      </c>
      <c r="E112">
        <v>5.8</v>
      </c>
      <c r="G112" s="23">
        <f t="shared" si="22"/>
        <v>10</v>
      </c>
      <c r="H112" s="23">
        <f t="shared" si="23"/>
        <v>2</v>
      </c>
      <c r="K112">
        <v>13</v>
      </c>
      <c r="L112">
        <v>11</v>
      </c>
      <c r="M112">
        <f t="shared" si="20"/>
        <v>381.81666666666666</v>
      </c>
    </row>
    <row r="113" spans="1:13" x14ac:dyDescent="0.25">
      <c r="A113" s="22">
        <v>41892.107638888891</v>
      </c>
      <c r="B113" s="23">
        <v>355.6</v>
      </c>
      <c r="C113">
        <v>94.3</v>
      </c>
      <c r="D113">
        <v>9</v>
      </c>
      <c r="E113">
        <v>5.8</v>
      </c>
      <c r="G113" s="23">
        <f t="shared" si="22"/>
        <v>10</v>
      </c>
      <c r="H113" s="23">
        <f t="shared" si="23"/>
        <v>2</v>
      </c>
      <c r="K113">
        <v>13</v>
      </c>
      <c r="L113">
        <v>12</v>
      </c>
      <c r="M113">
        <f t="shared" si="20"/>
        <v>428.76666666666665</v>
      </c>
    </row>
    <row r="114" spans="1:13" x14ac:dyDescent="0.25">
      <c r="A114" s="22">
        <v>41892.111111111109</v>
      </c>
      <c r="B114" s="23">
        <v>351.9</v>
      </c>
      <c r="C114">
        <v>94.3</v>
      </c>
      <c r="D114">
        <v>9</v>
      </c>
      <c r="E114">
        <v>5.7</v>
      </c>
      <c r="G114" s="23">
        <f t="shared" si="22"/>
        <v>10</v>
      </c>
      <c r="H114" s="23">
        <f t="shared" si="23"/>
        <v>2</v>
      </c>
      <c r="K114">
        <v>13</v>
      </c>
      <c r="L114">
        <v>13</v>
      </c>
      <c r="M114">
        <f t="shared" si="20"/>
        <v>467.95000000000005</v>
      </c>
    </row>
    <row r="115" spans="1:13" x14ac:dyDescent="0.25">
      <c r="A115" s="22">
        <v>41892.114583333336</v>
      </c>
      <c r="B115" s="23">
        <v>348.8</v>
      </c>
      <c r="C115">
        <v>94.2</v>
      </c>
      <c r="D115">
        <v>8.9</v>
      </c>
      <c r="E115">
        <v>5.8</v>
      </c>
      <c r="G115" s="23">
        <f t="shared" si="22"/>
        <v>10</v>
      </c>
      <c r="H115" s="23">
        <f t="shared" si="23"/>
        <v>2</v>
      </c>
      <c r="K115">
        <v>13</v>
      </c>
      <c r="L115">
        <v>14</v>
      </c>
      <c r="M115">
        <f t="shared" si="20"/>
        <v>470.37500000000006</v>
      </c>
    </row>
    <row r="116" spans="1:13" x14ac:dyDescent="0.25">
      <c r="A116" s="22">
        <v>41892.118055555555</v>
      </c>
      <c r="B116" s="23">
        <v>351.3</v>
      </c>
      <c r="C116">
        <v>94.3</v>
      </c>
      <c r="D116">
        <v>9</v>
      </c>
      <c r="E116">
        <v>5.8</v>
      </c>
      <c r="G116" s="23">
        <f t="shared" si="22"/>
        <v>10</v>
      </c>
      <c r="H116" s="23">
        <f t="shared" si="23"/>
        <v>2</v>
      </c>
      <c r="K116">
        <v>13</v>
      </c>
      <c r="L116">
        <v>15</v>
      </c>
      <c r="M116">
        <f t="shared" si="20"/>
        <v>470.55833333333339</v>
      </c>
    </row>
    <row r="117" spans="1:13" x14ac:dyDescent="0.25">
      <c r="A117" s="22">
        <v>41892.121527777781</v>
      </c>
      <c r="B117" s="23">
        <v>350.4</v>
      </c>
      <c r="C117">
        <v>94.3</v>
      </c>
      <c r="D117">
        <v>8.9</v>
      </c>
      <c r="E117">
        <v>5.8</v>
      </c>
      <c r="G117" s="23">
        <f t="shared" si="22"/>
        <v>10</v>
      </c>
      <c r="H117" s="23">
        <f t="shared" si="23"/>
        <v>2</v>
      </c>
      <c r="K117">
        <v>13</v>
      </c>
      <c r="L117">
        <v>16</v>
      </c>
      <c r="M117">
        <f t="shared" si="20"/>
        <v>452.77500000000003</v>
      </c>
    </row>
    <row r="118" spans="1:13" x14ac:dyDescent="0.25">
      <c r="A118" s="22">
        <v>41892.125</v>
      </c>
      <c r="B118" s="23">
        <v>350.2</v>
      </c>
      <c r="C118">
        <v>94.2</v>
      </c>
      <c r="D118">
        <v>8.9</v>
      </c>
      <c r="E118">
        <v>5.8</v>
      </c>
      <c r="G118" s="23">
        <f t="shared" si="22"/>
        <v>10</v>
      </c>
      <c r="H118" s="23">
        <f t="shared" si="23"/>
        <v>3</v>
      </c>
      <c r="K118">
        <v>13</v>
      </c>
      <c r="L118">
        <v>17</v>
      </c>
      <c r="M118">
        <f t="shared" ref="M118:M157" si="24">+AVERAGEIF($H$370:$H$657,L118,$B$370:$B$657)</f>
        <v>426.35833333333335</v>
      </c>
    </row>
    <row r="119" spans="1:13" x14ac:dyDescent="0.25">
      <c r="A119" s="22">
        <v>41892.128472222219</v>
      </c>
      <c r="B119" s="23">
        <v>348.1</v>
      </c>
      <c r="C119">
        <v>94.3</v>
      </c>
      <c r="D119">
        <v>8.9</v>
      </c>
      <c r="E119">
        <v>5.8</v>
      </c>
      <c r="G119" s="23">
        <f t="shared" si="22"/>
        <v>10</v>
      </c>
      <c r="H119" s="23">
        <f t="shared" si="23"/>
        <v>3</v>
      </c>
      <c r="K119">
        <v>13</v>
      </c>
      <c r="L119">
        <v>18</v>
      </c>
      <c r="M119">
        <f t="shared" si="24"/>
        <v>482.5</v>
      </c>
    </row>
    <row r="120" spans="1:13" x14ac:dyDescent="0.25">
      <c r="A120" s="22">
        <v>41892.131944444445</v>
      </c>
      <c r="B120" s="23">
        <v>350.5</v>
      </c>
      <c r="C120">
        <v>94.3</v>
      </c>
      <c r="D120">
        <v>9</v>
      </c>
      <c r="E120">
        <v>5.8</v>
      </c>
      <c r="G120" s="23">
        <f t="shared" si="22"/>
        <v>10</v>
      </c>
      <c r="H120" s="23">
        <f t="shared" si="23"/>
        <v>3</v>
      </c>
      <c r="K120">
        <v>13</v>
      </c>
      <c r="L120">
        <v>19</v>
      </c>
      <c r="M120">
        <f t="shared" si="24"/>
        <v>484.55833333333334</v>
      </c>
    </row>
    <row r="121" spans="1:13" x14ac:dyDescent="0.25">
      <c r="A121" s="22">
        <v>41892.135416666664</v>
      </c>
      <c r="B121" s="23">
        <v>354.3</v>
      </c>
      <c r="C121">
        <v>94.3</v>
      </c>
      <c r="D121">
        <v>9</v>
      </c>
      <c r="E121">
        <v>5.8</v>
      </c>
      <c r="G121" s="23">
        <f t="shared" si="22"/>
        <v>10</v>
      </c>
      <c r="H121" s="23">
        <f t="shared" si="23"/>
        <v>3</v>
      </c>
      <c r="K121">
        <v>13</v>
      </c>
      <c r="L121">
        <v>20</v>
      </c>
      <c r="M121">
        <f t="shared" si="24"/>
        <v>482.69166666666666</v>
      </c>
    </row>
    <row r="122" spans="1:13" x14ac:dyDescent="0.25">
      <c r="A122" s="22">
        <v>41892.138888888891</v>
      </c>
      <c r="B122" s="23">
        <v>353.4</v>
      </c>
      <c r="C122">
        <v>94.3</v>
      </c>
      <c r="D122">
        <v>9</v>
      </c>
      <c r="E122">
        <v>5.8</v>
      </c>
      <c r="G122" s="23">
        <f t="shared" si="22"/>
        <v>10</v>
      </c>
      <c r="H122" s="23">
        <f t="shared" si="23"/>
        <v>3</v>
      </c>
      <c r="K122">
        <v>13</v>
      </c>
      <c r="L122">
        <v>21</v>
      </c>
      <c r="M122">
        <f t="shared" si="24"/>
        <v>480.84999999999991</v>
      </c>
    </row>
    <row r="123" spans="1:13" x14ac:dyDescent="0.25">
      <c r="A123" s="22">
        <v>41892.142361111109</v>
      </c>
      <c r="B123" s="23">
        <v>354.3</v>
      </c>
      <c r="C123">
        <v>94.2</v>
      </c>
      <c r="D123">
        <v>9</v>
      </c>
      <c r="E123">
        <v>5.8</v>
      </c>
      <c r="G123" s="23">
        <f t="shared" si="22"/>
        <v>10</v>
      </c>
      <c r="H123" s="23">
        <f t="shared" si="23"/>
        <v>3</v>
      </c>
      <c r="K123">
        <v>13</v>
      </c>
      <c r="L123">
        <v>22</v>
      </c>
      <c r="M123">
        <f t="shared" si="24"/>
        <v>476.89166666666665</v>
      </c>
    </row>
    <row r="124" spans="1:13" x14ac:dyDescent="0.25">
      <c r="A124" s="22">
        <v>41892.145833333336</v>
      </c>
      <c r="B124" s="23">
        <v>352.7</v>
      </c>
      <c r="C124">
        <v>94.3</v>
      </c>
      <c r="D124">
        <v>9</v>
      </c>
      <c r="E124">
        <v>5.8</v>
      </c>
      <c r="G124" s="23">
        <f t="shared" si="22"/>
        <v>10</v>
      </c>
      <c r="H124" s="23">
        <f t="shared" si="23"/>
        <v>3</v>
      </c>
      <c r="K124">
        <v>13</v>
      </c>
      <c r="L124">
        <v>23</v>
      </c>
      <c r="M124">
        <f t="shared" si="24"/>
        <v>430.61666666666662</v>
      </c>
    </row>
    <row r="125" spans="1:13" x14ac:dyDescent="0.25">
      <c r="A125" s="22">
        <v>41892.149305555555</v>
      </c>
      <c r="B125" s="23">
        <v>350.9</v>
      </c>
      <c r="C125">
        <v>94.3</v>
      </c>
      <c r="D125">
        <v>8.9</v>
      </c>
      <c r="E125">
        <v>5.8</v>
      </c>
      <c r="G125" s="23">
        <f t="shared" si="22"/>
        <v>10</v>
      </c>
      <c r="H125" s="23">
        <f t="shared" si="23"/>
        <v>3</v>
      </c>
      <c r="K125">
        <v>14</v>
      </c>
      <c r="L125">
        <v>0</v>
      </c>
      <c r="M125">
        <f t="shared" si="24"/>
        <v>409.125</v>
      </c>
    </row>
    <row r="126" spans="1:13" x14ac:dyDescent="0.25">
      <c r="A126" s="22">
        <v>41892.152777777781</v>
      </c>
      <c r="B126" s="23">
        <v>348</v>
      </c>
      <c r="C126">
        <v>94.4</v>
      </c>
      <c r="D126">
        <v>8.9</v>
      </c>
      <c r="E126">
        <v>5.8</v>
      </c>
      <c r="G126" s="23">
        <f t="shared" si="22"/>
        <v>10</v>
      </c>
      <c r="H126" s="23">
        <f t="shared" si="23"/>
        <v>3</v>
      </c>
      <c r="K126">
        <v>14</v>
      </c>
      <c r="L126">
        <v>1</v>
      </c>
      <c r="M126">
        <f t="shared" si="24"/>
        <v>385.97500000000008</v>
      </c>
    </row>
    <row r="127" spans="1:13" x14ac:dyDescent="0.25">
      <c r="A127" s="22">
        <v>41892.15625</v>
      </c>
      <c r="B127" s="23">
        <v>346.8</v>
      </c>
      <c r="C127">
        <v>94.3</v>
      </c>
      <c r="D127">
        <v>8.9</v>
      </c>
      <c r="E127">
        <v>5.8</v>
      </c>
      <c r="G127" s="23">
        <f t="shared" si="22"/>
        <v>10</v>
      </c>
      <c r="H127" s="23">
        <f t="shared" si="23"/>
        <v>3</v>
      </c>
      <c r="K127">
        <v>14</v>
      </c>
      <c r="L127">
        <v>2</v>
      </c>
      <c r="M127">
        <f t="shared" si="24"/>
        <v>372.54166666666669</v>
      </c>
    </row>
    <row r="128" spans="1:13" x14ac:dyDescent="0.25">
      <c r="A128" s="22">
        <v>41892.159722222219</v>
      </c>
      <c r="B128" s="23">
        <v>346.9</v>
      </c>
      <c r="C128">
        <v>94.3</v>
      </c>
      <c r="D128">
        <v>8.9</v>
      </c>
      <c r="E128">
        <v>5.8</v>
      </c>
      <c r="G128" s="23">
        <f t="shared" si="22"/>
        <v>10</v>
      </c>
      <c r="H128" s="23">
        <f t="shared" si="23"/>
        <v>3</v>
      </c>
      <c r="K128">
        <v>14</v>
      </c>
      <c r="L128">
        <v>3</v>
      </c>
      <c r="M128">
        <f t="shared" si="24"/>
        <v>388.97500000000008</v>
      </c>
    </row>
    <row r="129" spans="1:13" x14ac:dyDescent="0.25">
      <c r="A129" s="22">
        <v>41892.163194444445</v>
      </c>
      <c r="B129" s="23">
        <v>346.1</v>
      </c>
      <c r="C129">
        <v>94.3</v>
      </c>
      <c r="D129">
        <v>8.9</v>
      </c>
      <c r="E129">
        <v>5.8</v>
      </c>
      <c r="G129" s="23">
        <f t="shared" si="22"/>
        <v>10</v>
      </c>
      <c r="H129" s="23">
        <f t="shared" si="23"/>
        <v>3</v>
      </c>
      <c r="K129">
        <v>14</v>
      </c>
      <c r="L129">
        <v>4</v>
      </c>
      <c r="M129">
        <f t="shared" si="24"/>
        <v>385.10833333333335</v>
      </c>
    </row>
    <row r="130" spans="1:13" x14ac:dyDescent="0.25">
      <c r="A130" s="22">
        <v>41892.166666666664</v>
      </c>
      <c r="B130" s="23">
        <v>345.3</v>
      </c>
      <c r="C130">
        <v>94.3</v>
      </c>
      <c r="D130">
        <v>8.9</v>
      </c>
      <c r="E130">
        <v>5.8</v>
      </c>
      <c r="G130" s="23">
        <f t="shared" si="22"/>
        <v>10</v>
      </c>
      <c r="H130" s="23">
        <f t="shared" si="23"/>
        <v>4</v>
      </c>
      <c r="K130">
        <v>14</v>
      </c>
      <c r="L130">
        <v>5</v>
      </c>
      <c r="M130">
        <f t="shared" si="24"/>
        <v>377.54166666666674</v>
      </c>
    </row>
    <row r="131" spans="1:13" x14ac:dyDescent="0.25">
      <c r="A131" s="22">
        <v>41892.170138888891</v>
      </c>
      <c r="B131" s="23">
        <v>345.5</v>
      </c>
      <c r="C131">
        <v>94.3</v>
      </c>
      <c r="D131">
        <v>8.9</v>
      </c>
      <c r="E131">
        <v>5.8</v>
      </c>
      <c r="G131" s="23">
        <f t="shared" si="22"/>
        <v>10</v>
      </c>
      <c r="H131" s="23">
        <f t="shared" si="23"/>
        <v>4</v>
      </c>
      <c r="K131">
        <v>14</v>
      </c>
      <c r="L131">
        <v>6</v>
      </c>
      <c r="M131">
        <f t="shared" si="24"/>
        <v>383.46666666666664</v>
      </c>
    </row>
    <row r="132" spans="1:13" x14ac:dyDescent="0.25">
      <c r="A132" s="22">
        <v>41892.173611111109</v>
      </c>
      <c r="B132" s="23">
        <v>344.3</v>
      </c>
      <c r="C132">
        <v>94.2</v>
      </c>
      <c r="D132">
        <v>8.9</v>
      </c>
      <c r="E132">
        <v>5.8</v>
      </c>
      <c r="G132" s="23">
        <f t="shared" si="22"/>
        <v>10</v>
      </c>
      <c r="H132" s="23">
        <f t="shared" si="23"/>
        <v>4</v>
      </c>
      <c r="K132">
        <v>14</v>
      </c>
      <c r="L132">
        <v>7</v>
      </c>
      <c r="M132">
        <f t="shared" si="24"/>
        <v>404.1583333333333</v>
      </c>
    </row>
    <row r="133" spans="1:13" x14ac:dyDescent="0.25">
      <c r="A133" s="22">
        <v>41892.177083333336</v>
      </c>
      <c r="B133" s="23">
        <v>344.1</v>
      </c>
      <c r="C133">
        <v>94.3</v>
      </c>
      <c r="D133">
        <v>8.9</v>
      </c>
      <c r="E133">
        <v>5.8</v>
      </c>
      <c r="G133" s="23">
        <f t="shared" si="22"/>
        <v>10</v>
      </c>
      <c r="H133" s="23">
        <f t="shared" si="23"/>
        <v>4</v>
      </c>
      <c r="K133">
        <v>14</v>
      </c>
      <c r="L133">
        <v>8</v>
      </c>
      <c r="M133">
        <f t="shared" si="24"/>
        <v>419.2833333333333</v>
      </c>
    </row>
    <row r="134" spans="1:13" x14ac:dyDescent="0.25">
      <c r="A134" s="22">
        <v>41892.180555555555</v>
      </c>
      <c r="B134" s="23">
        <v>344.3</v>
      </c>
      <c r="C134">
        <v>94.3</v>
      </c>
      <c r="D134">
        <v>8.9</v>
      </c>
      <c r="E134">
        <v>5.8</v>
      </c>
      <c r="G134" s="23">
        <f t="shared" ref="G134:G197" si="25">+DAY(A134)</f>
        <v>10</v>
      </c>
      <c r="H134" s="23">
        <f t="shared" ref="H134:H197" si="26">+HOUR(A134)</f>
        <v>4</v>
      </c>
      <c r="K134">
        <v>14</v>
      </c>
      <c r="L134">
        <v>9</v>
      </c>
      <c r="M134">
        <f t="shared" si="24"/>
        <v>436.09166666666664</v>
      </c>
    </row>
    <row r="135" spans="1:13" x14ac:dyDescent="0.25">
      <c r="A135" s="22">
        <v>41892.184027777781</v>
      </c>
      <c r="B135" s="23">
        <v>343.4</v>
      </c>
      <c r="C135">
        <v>94.4</v>
      </c>
      <c r="D135">
        <v>8.9</v>
      </c>
      <c r="E135">
        <v>5.8</v>
      </c>
      <c r="G135" s="23">
        <f t="shared" si="25"/>
        <v>10</v>
      </c>
      <c r="H135" s="23">
        <f t="shared" si="26"/>
        <v>4</v>
      </c>
      <c r="K135">
        <v>14</v>
      </c>
      <c r="L135">
        <v>10</v>
      </c>
      <c r="M135">
        <f t="shared" si="24"/>
        <v>415.97499999999997</v>
      </c>
    </row>
    <row r="136" spans="1:13" x14ac:dyDescent="0.25">
      <c r="A136" s="22">
        <v>41892.1875</v>
      </c>
      <c r="B136" s="23">
        <v>344.7</v>
      </c>
      <c r="C136">
        <v>94.2</v>
      </c>
      <c r="D136">
        <v>8.9</v>
      </c>
      <c r="E136">
        <v>5.8</v>
      </c>
      <c r="G136" s="23">
        <f t="shared" si="25"/>
        <v>10</v>
      </c>
      <c r="H136" s="23">
        <f t="shared" si="26"/>
        <v>4</v>
      </c>
      <c r="K136">
        <v>14</v>
      </c>
      <c r="L136">
        <v>11</v>
      </c>
      <c r="M136">
        <f t="shared" si="24"/>
        <v>381.81666666666666</v>
      </c>
    </row>
    <row r="137" spans="1:13" x14ac:dyDescent="0.25">
      <c r="A137" s="22">
        <v>41892.190972222219</v>
      </c>
      <c r="B137" s="23">
        <v>346.5</v>
      </c>
      <c r="C137">
        <v>94.3</v>
      </c>
      <c r="D137">
        <v>8.9</v>
      </c>
      <c r="E137">
        <v>5.8</v>
      </c>
      <c r="G137" s="23">
        <f t="shared" si="25"/>
        <v>10</v>
      </c>
      <c r="H137" s="23">
        <f t="shared" si="26"/>
        <v>4</v>
      </c>
      <c r="K137">
        <v>14</v>
      </c>
      <c r="L137">
        <v>12</v>
      </c>
      <c r="M137">
        <f t="shared" si="24"/>
        <v>428.76666666666665</v>
      </c>
    </row>
    <row r="138" spans="1:13" x14ac:dyDescent="0.25">
      <c r="A138" s="22">
        <v>41892.194444444445</v>
      </c>
      <c r="B138" s="23">
        <v>345.2</v>
      </c>
      <c r="C138">
        <v>94.3</v>
      </c>
      <c r="D138">
        <v>8.9</v>
      </c>
      <c r="E138">
        <v>5.8</v>
      </c>
      <c r="G138" s="23">
        <f t="shared" si="25"/>
        <v>10</v>
      </c>
      <c r="H138" s="23">
        <f t="shared" si="26"/>
        <v>4</v>
      </c>
      <c r="K138">
        <v>14</v>
      </c>
      <c r="L138">
        <v>13</v>
      </c>
      <c r="M138">
        <f t="shared" si="24"/>
        <v>467.95000000000005</v>
      </c>
    </row>
    <row r="139" spans="1:13" x14ac:dyDescent="0.25">
      <c r="A139" s="22">
        <v>41892.197916666664</v>
      </c>
      <c r="B139" s="23">
        <v>344</v>
      </c>
      <c r="C139">
        <v>94.3</v>
      </c>
      <c r="D139">
        <v>8.9</v>
      </c>
      <c r="E139">
        <v>5.8</v>
      </c>
      <c r="G139" s="23">
        <f t="shared" si="25"/>
        <v>10</v>
      </c>
      <c r="H139" s="23">
        <f t="shared" si="26"/>
        <v>4</v>
      </c>
      <c r="K139">
        <v>14</v>
      </c>
      <c r="L139">
        <v>14</v>
      </c>
      <c r="M139">
        <f t="shared" si="24"/>
        <v>470.37500000000006</v>
      </c>
    </row>
    <row r="140" spans="1:13" x14ac:dyDescent="0.25">
      <c r="A140" s="22">
        <v>41892.201388888891</v>
      </c>
      <c r="B140" s="23">
        <v>343.4</v>
      </c>
      <c r="C140">
        <v>94.2</v>
      </c>
      <c r="D140">
        <v>8.9</v>
      </c>
      <c r="E140">
        <v>5.8</v>
      </c>
      <c r="G140" s="23">
        <f t="shared" si="25"/>
        <v>10</v>
      </c>
      <c r="H140" s="23">
        <f t="shared" si="26"/>
        <v>4</v>
      </c>
      <c r="K140">
        <v>14</v>
      </c>
      <c r="L140">
        <v>15</v>
      </c>
      <c r="M140">
        <f t="shared" si="24"/>
        <v>470.55833333333339</v>
      </c>
    </row>
    <row r="141" spans="1:13" x14ac:dyDescent="0.25">
      <c r="A141" s="22">
        <v>41892.204861111109</v>
      </c>
      <c r="B141" s="23">
        <v>343.1</v>
      </c>
      <c r="C141">
        <v>94.2</v>
      </c>
      <c r="D141">
        <v>8.9</v>
      </c>
      <c r="E141">
        <v>5.8</v>
      </c>
      <c r="G141" s="23">
        <f t="shared" si="25"/>
        <v>10</v>
      </c>
      <c r="H141" s="23">
        <f t="shared" si="26"/>
        <v>4</v>
      </c>
      <c r="K141">
        <v>14</v>
      </c>
      <c r="L141">
        <v>16</v>
      </c>
      <c r="M141">
        <f t="shared" si="24"/>
        <v>452.77500000000003</v>
      </c>
    </row>
    <row r="142" spans="1:13" x14ac:dyDescent="0.25">
      <c r="A142" s="22">
        <v>41892.208333333336</v>
      </c>
      <c r="B142" s="23">
        <v>343.6</v>
      </c>
      <c r="C142">
        <v>94.3</v>
      </c>
      <c r="D142">
        <v>8.9</v>
      </c>
      <c r="E142">
        <v>5.8</v>
      </c>
      <c r="G142" s="23">
        <f t="shared" si="25"/>
        <v>10</v>
      </c>
      <c r="H142" s="23">
        <f t="shared" si="26"/>
        <v>5</v>
      </c>
      <c r="K142">
        <v>14</v>
      </c>
      <c r="L142">
        <v>17</v>
      </c>
      <c r="M142">
        <f t="shared" si="24"/>
        <v>426.35833333333335</v>
      </c>
    </row>
    <row r="143" spans="1:13" x14ac:dyDescent="0.25">
      <c r="A143" s="22">
        <v>41892.211805555555</v>
      </c>
      <c r="B143" s="23">
        <v>343.4</v>
      </c>
      <c r="C143">
        <v>94.4</v>
      </c>
      <c r="D143">
        <v>8.9</v>
      </c>
      <c r="E143">
        <v>5.8</v>
      </c>
      <c r="G143" s="23">
        <f t="shared" si="25"/>
        <v>10</v>
      </c>
      <c r="H143" s="23">
        <f t="shared" si="26"/>
        <v>5</v>
      </c>
      <c r="K143">
        <v>14</v>
      </c>
      <c r="L143">
        <v>18</v>
      </c>
      <c r="M143">
        <f t="shared" si="24"/>
        <v>482.5</v>
      </c>
    </row>
    <row r="144" spans="1:13" x14ac:dyDescent="0.25">
      <c r="A144" s="22">
        <v>41892.215277777781</v>
      </c>
      <c r="B144" s="23">
        <v>342.8</v>
      </c>
      <c r="C144">
        <v>94.3</v>
      </c>
      <c r="D144">
        <v>8.9</v>
      </c>
      <c r="E144">
        <v>5.8</v>
      </c>
      <c r="G144" s="23">
        <f t="shared" si="25"/>
        <v>10</v>
      </c>
      <c r="H144" s="23">
        <f t="shared" si="26"/>
        <v>5</v>
      </c>
      <c r="K144">
        <v>14</v>
      </c>
      <c r="L144">
        <v>19</v>
      </c>
      <c r="M144">
        <f t="shared" si="24"/>
        <v>484.55833333333334</v>
      </c>
    </row>
    <row r="145" spans="1:13" x14ac:dyDescent="0.25">
      <c r="A145" s="22">
        <v>41892.21875</v>
      </c>
      <c r="B145" s="23">
        <v>342.3</v>
      </c>
      <c r="C145">
        <v>94.2</v>
      </c>
      <c r="D145">
        <v>8.9</v>
      </c>
      <c r="E145">
        <v>5.8</v>
      </c>
      <c r="G145" s="23">
        <f t="shared" si="25"/>
        <v>10</v>
      </c>
      <c r="H145" s="23">
        <f t="shared" si="26"/>
        <v>5</v>
      </c>
      <c r="K145">
        <v>14</v>
      </c>
      <c r="L145">
        <v>20</v>
      </c>
      <c r="M145">
        <f t="shared" si="24"/>
        <v>482.69166666666666</v>
      </c>
    </row>
    <row r="146" spans="1:13" x14ac:dyDescent="0.25">
      <c r="A146" s="22">
        <v>41892.222222222219</v>
      </c>
      <c r="B146" s="23">
        <v>341</v>
      </c>
      <c r="C146">
        <v>94.3</v>
      </c>
      <c r="D146">
        <v>8.9</v>
      </c>
      <c r="E146">
        <v>5.8</v>
      </c>
      <c r="G146" s="23">
        <f t="shared" si="25"/>
        <v>10</v>
      </c>
      <c r="H146" s="23">
        <f t="shared" si="26"/>
        <v>5</v>
      </c>
      <c r="K146">
        <v>14</v>
      </c>
      <c r="L146">
        <v>21</v>
      </c>
      <c r="M146">
        <f t="shared" si="24"/>
        <v>480.84999999999991</v>
      </c>
    </row>
    <row r="147" spans="1:13" x14ac:dyDescent="0.25">
      <c r="A147" s="22">
        <v>41892.225694444445</v>
      </c>
      <c r="B147" s="23">
        <v>340.1</v>
      </c>
      <c r="C147">
        <v>94.4</v>
      </c>
      <c r="D147">
        <v>8.8000000000000007</v>
      </c>
      <c r="E147">
        <v>5.8</v>
      </c>
      <c r="G147" s="23">
        <f t="shared" si="25"/>
        <v>10</v>
      </c>
      <c r="H147" s="23">
        <f t="shared" si="26"/>
        <v>5</v>
      </c>
      <c r="K147">
        <v>14</v>
      </c>
      <c r="L147">
        <v>22</v>
      </c>
      <c r="M147">
        <f t="shared" si="24"/>
        <v>476.89166666666665</v>
      </c>
    </row>
    <row r="148" spans="1:13" x14ac:dyDescent="0.25">
      <c r="A148" s="22">
        <v>41892.229166666664</v>
      </c>
      <c r="B148" s="23">
        <v>337.8</v>
      </c>
      <c r="C148">
        <v>94.3</v>
      </c>
      <c r="D148">
        <v>8.8000000000000007</v>
      </c>
      <c r="E148">
        <v>5.8</v>
      </c>
      <c r="G148" s="23">
        <f t="shared" si="25"/>
        <v>10</v>
      </c>
      <c r="H148" s="23">
        <f t="shared" si="26"/>
        <v>5</v>
      </c>
      <c r="K148">
        <v>14</v>
      </c>
      <c r="L148">
        <v>23</v>
      </c>
      <c r="M148">
        <f t="shared" si="24"/>
        <v>430.61666666666662</v>
      </c>
    </row>
    <row r="149" spans="1:13" x14ac:dyDescent="0.25">
      <c r="A149" s="22">
        <v>41892.232638888891</v>
      </c>
      <c r="B149" s="23">
        <v>334.8</v>
      </c>
      <c r="C149">
        <v>94.3</v>
      </c>
      <c r="D149">
        <v>8.8000000000000007</v>
      </c>
      <c r="E149">
        <v>5.7</v>
      </c>
      <c r="G149" s="23">
        <f t="shared" si="25"/>
        <v>10</v>
      </c>
      <c r="H149" s="23">
        <f t="shared" si="26"/>
        <v>5</v>
      </c>
      <c r="K149">
        <v>15</v>
      </c>
      <c r="L149">
        <v>0</v>
      </c>
      <c r="M149">
        <f t="shared" si="24"/>
        <v>409.125</v>
      </c>
    </row>
    <row r="150" spans="1:13" x14ac:dyDescent="0.25">
      <c r="A150" s="22">
        <v>41892.236111111109</v>
      </c>
      <c r="B150" s="23">
        <v>331.8</v>
      </c>
      <c r="C150">
        <v>94.2</v>
      </c>
      <c r="D150">
        <v>8.8000000000000007</v>
      </c>
      <c r="E150">
        <v>5.8</v>
      </c>
      <c r="G150" s="23">
        <f t="shared" si="25"/>
        <v>10</v>
      </c>
      <c r="H150" s="23">
        <f t="shared" si="26"/>
        <v>5</v>
      </c>
      <c r="K150">
        <v>15</v>
      </c>
      <c r="L150">
        <v>1</v>
      </c>
      <c r="M150">
        <f t="shared" si="24"/>
        <v>385.97500000000008</v>
      </c>
    </row>
    <row r="151" spans="1:13" x14ac:dyDescent="0.25">
      <c r="A151" s="22">
        <v>41892.239583333336</v>
      </c>
      <c r="B151" s="23">
        <v>332.3</v>
      </c>
      <c r="C151">
        <v>94.2</v>
      </c>
      <c r="D151">
        <v>8.8000000000000007</v>
      </c>
      <c r="E151">
        <v>5.8</v>
      </c>
      <c r="G151" s="23">
        <f t="shared" si="25"/>
        <v>10</v>
      </c>
      <c r="H151" s="23">
        <f t="shared" si="26"/>
        <v>5</v>
      </c>
      <c r="K151">
        <v>15</v>
      </c>
      <c r="L151">
        <v>2</v>
      </c>
      <c r="M151">
        <f t="shared" si="24"/>
        <v>372.54166666666669</v>
      </c>
    </row>
    <row r="152" spans="1:13" x14ac:dyDescent="0.25">
      <c r="A152" s="22">
        <v>41892.243055555555</v>
      </c>
      <c r="B152" s="23">
        <v>341</v>
      </c>
      <c r="C152">
        <v>94.3</v>
      </c>
      <c r="D152">
        <v>8.9</v>
      </c>
      <c r="E152">
        <v>5.8</v>
      </c>
      <c r="G152" s="23">
        <f t="shared" si="25"/>
        <v>10</v>
      </c>
      <c r="H152" s="23">
        <f t="shared" si="26"/>
        <v>5</v>
      </c>
      <c r="K152">
        <v>15</v>
      </c>
      <c r="L152">
        <v>3</v>
      </c>
      <c r="M152">
        <f t="shared" si="24"/>
        <v>388.97500000000008</v>
      </c>
    </row>
    <row r="153" spans="1:13" x14ac:dyDescent="0.25">
      <c r="A153" s="22">
        <v>41892.246527777781</v>
      </c>
      <c r="B153" s="23">
        <v>333.5</v>
      </c>
      <c r="C153">
        <v>94.3</v>
      </c>
      <c r="D153">
        <v>8.8000000000000007</v>
      </c>
      <c r="E153">
        <v>5.7</v>
      </c>
      <c r="G153" s="23">
        <f t="shared" si="25"/>
        <v>10</v>
      </c>
      <c r="H153" s="23">
        <f t="shared" si="26"/>
        <v>5</v>
      </c>
      <c r="K153">
        <v>15</v>
      </c>
      <c r="L153">
        <v>4</v>
      </c>
      <c r="M153">
        <f t="shared" si="24"/>
        <v>385.10833333333335</v>
      </c>
    </row>
    <row r="154" spans="1:13" x14ac:dyDescent="0.25">
      <c r="A154" s="22">
        <v>41892.25</v>
      </c>
      <c r="B154" s="23">
        <v>331.9</v>
      </c>
      <c r="C154">
        <v>94.2</v>
      </c>
      <c r="D154">
        <v>8.8000000000000007</v>
      </c>
      <c r="E154">
        <v>5.8</v>
      </c>
      <c r="G154" s="23">
        <f t="shared" si="25"/>
        <v>10</v>
      </c>
      <c r="H154" s="23">
        <f t="shared" si="26"/>
        <v>6</v>
      </c>
      <c r="K154">
        <v>15</v>
      </c>
      <c r="L154">
        <v>5</v>
      </c>
      <c r="M154">
        <f t="shared" si="24"/>
        <v>377.54166666666674</v>
      </c>
    </row>
    <row r="155" spans="1:13" x14ac:dyDescent="0.25">
      <c r="A155" s="22">
        <v>41892.253472222219</v>
      </c>
      <c r="B155" s="23">
        <v>362.1</v>
      </c>
      <c r="C155">
        <v>94.3</v>
      </c>
      <c r="D155">
        <v>9.1</v>
      </c>
      <c r="E155">
        <v>5.8</v>
      </c>
      <c r="G155" s="23">
        <f t="shared" si="25"/>
        <v>10</v>
      </c>
      <c r="H155" s="23">
        <f t="shared" si="26"/>
        <v>6</v>
      </c>
      <c r="K155">
        <v>15</v>
      </c>
      <c r="L155">
        <v>6</v>
      </c>
      <c r="M155">
        <f t="shared" si="24"/>
        <v>383.46666666666664</v>
      </c>
    </row>
    <row r="156" spans="1:13" x14ac:dyDescent="0.25">
      <c r="A156" s="22">
        <v>41892.256944444445</v>
      </c>
      <c r="B156" s="23">
        <v>372.2</v>
      </c>
      <c r="C156">
        <v>94.3</v>
      </c>
      <c r="D156">
        <v>9.1999999999999993</v>
      </c>
      <c r="E156">
        <v>5.8</v>
      </c>
      <c r="G156" s="23">
        <f t="shared" si="25"/>
        <v>10</v>
      </c>
      <c r="H156" s="23">
        <f t="shared" si="26"/>
        <v>6</v>
      </c>
      <c r="K156">
        <v>15</v>
      </c>
      <c r="L156">
        <v>7</v>
      </c>
      <c r="M156">
        <f t="shared" si="24"/>
        <v>404.1583333333333</v>
      </c>
    </row>
    <row r="157" spans="1:13" x14ac:dyDescent="0.25">
      <c r="A157" s="22">
        <v>41892.260416666664</v>
      </c>
      <c r="B157" s="23">
        <v>374.5</v>
      </c>
      <c r="C157">
        <v>94.3</v>
      </c>
      <c r="D157">
        <v>9.1999999999999993</v>
      </c>
      <c r="E157">
        <v>5.8</v>
      </c>
      <c r="G157" s="23">
        <f t="shared" si="25"/>
        <v>10</v>
      </c>
      <c r="H157" s="23">
        <f t="shared" si="26"/>
        <v>6</v>
      </c>
      <c r="K157">
        <v>15</v>
      </c>
      <c r="L157">
        <v>8</v>
      </c>
      <c r="M157">
        <f t="shared" si="24"/>
        <v>419.2833333333333</v>
      </c>
    </row>
    <row r="158" spans="1:13" x14ac:dyDescent="0.25">
      <c r="A158" s="22">
        <v>41892.263888888891</v>
      </c>
      <c r="B158" s="23">
        <v>373.6</v>
      </c>
      <c r="C158">
        <v>94.3</v>
      </c>
      <c r="D158">
        <v>9.1999999999999993</v>
      </c>
      <c r="E158">
        <v>5.8</v>
      </c>
      <c r="G158" s="23">
        <f t="shared" si="25"/>
        <v>10</v>
      </c>
      <c r="H158" s="23">
        <f t="shared" si="26"/>
        <v>6</v>
      </c>
      <c r="K158">
        <v>15</v>
      </c>
      <c r="L158">
        <v>9</v>
      </c>
    </row>
    <row r="159" spans="1:13" x14ac:dyDescent="0.25">
      <c r="A159" s="22">
        <v>41892.267361111109</v>
      </c>
      <c r="B159" s="23">
        <v>370.9</v>
      </c>
      <c r="C159">
        <v>94.2</v>
      </c>
      <c r="D159">
        <v>9.1</v>
      </c>
      <c r="E159">
        <v>5.8</v>
      </c>
      <c r="G159" s="23">
        <f t="shared" si="25"/>
        <v>10</v>
      </c>
      <c r="H159" s="23">
        <f t="shared" si="26"/>
        <v>6</v>
      </c>
      <c r="K159">
        <v>15</v>
      </c>
      <c r="L159">
        <v>10</v>
      </c>
    </row>
    <row r="160" spans="1:13" x14ac:dyDescent="0.25">
      <c r="A160" s="22">
        <v>41892.270833333336</v>
      </c>
      <c r="B160" s="23">
        <v>371.7</v>
      </c>
      <c r="C160">
        <v>94.3</v>
      </c>
      <c r="D160">
        <v>9.1</v>
      </c>
      <c r="E160">
        <v>5.8</v>
      </c>
      <c r="G160" s="23">
        <f t="shared" si="25"/>
        <v>10</v>
      </c>
      <c r="H160" s="23">
        <f t="shared" si="26"/>
        <v>6</v>
      </c>
      <c r="K160">
        <v>15</v>
      </c>
      <c r="L160">
        <v>11</v>
      </c>
    </row>
    <row r="161" spans="1:12" x14ac:dyDescent="0.25">
      <c r="A161" s="22">
        <v>41892.274305555555</v>
      </c>
      <c r="B161" s="23">
        <v>371</v>
      </c>
      <c r="C161">
        <v>94.4</v>
      </c>
      <c r="D161">
        <v>9.1</v>
      </c>
      <c r="E161">
        <v>5.8</v>
      </c>
      <c r="G161" s="23">
        <f t="shared" si="25"/>
        <v>10</v>
      </c>
      <c r="H161" s="23">
        <f t="shared" si="26"/>
        <v>6</v>
      </c>
      <c r="K161">
        <v>15</v>
      </c>
      <c r="L161">
        <v>12</v>
      </c>
    </row>
    <row r="162" spans="1:12" x14ac:dyDescent="0.25">
      <c r="A162" s="22">
        <v>41892.277777777781</v>
      </c>
      <c r="B162" s="23">
        <v>368.4</v>
      </c>
      <c r="C162">
        <v>94.3</v>
      </c>
      <c r="D162">
        <v>9.1</v>
      </c>
      <c r="E162">
        <v>5.8</v>
      </c>
      <c r="G162" s="23">
        <f t="shared" si="25"/>
        <v>10</v>
      </c>
      <c r="H162" s="23">
        <f t="shared" si="26"/>
        <v>6</v>
      </c>
      <c r="K162">
        <v>15</v>
      </c>
      <c r="L162">
        <v>13</v>
      </c>
    </row>
    <row r="163" spans="1:12" x14ac:dyDescent="0.25">
      <c r="A163" s="22">
        <v>41892.28125</v>
      </c>
      <c r="B163" s="23">
        <v>366.3</v>
      </c>
      <c r="C163">
        <v>94.2</v>
      </c>
      <c r="D163">
        <v>9.1</v>
      </c>
      <c r="E163">
        <v>5.8</v>
      </c>
      <c r="G163" s="23">
        <f t="shared" si="25"/>
        <v>10</v>
      </c>
      <c r="H163" s="23">
        <f t="shared" si="26"/>
        <v>6</v>
      </c>
      <c r="K163">
        <v>15</v>
      </c>
      <c r="L163">
        <v>14</v>
      </c>
    </row>
    <row r="164" spans="1:12" x14ac:dyDescent="0.25">
      <c r="A164" s="22">
        <v>41892.284722222219</v>
      </c>
      <c r="B164" s="23">
        <v>363.1</v>
      </c>
      <c r="C164">
        <v>94.3</v>
      </c>
      <c r="D164">
        <v>9.1</v>
      </c>
      <c r="E164">
        <v>5.8</v>
      </c>
      <c r="G164" s="23">
        <f t="shared" si="25"/>
        <v>10</v>
      </c>
      <c r="H164" s="23">
        <f t="shared" si="26"/>
        <v>6</v>
      </c>
      <c r="K164">
        <v>15</v>
      </c>
      <c r="L164">
        <v>15</v>
      </c>
    </row>
    <row r="165" spans="1:12" x14ac:dyDescent="0.25">
      <c r="A165" s="22">
        <v>41892.288194444445</v>
      </c>
      <c r="B165" s="23">
        <v>358.7</v>
      </c>
      <c r="C165">
        <v>94.2</v>
      </c>
      <c r="D165">
        <v>9</v>
      </c>
      <c r="E165">
        <v>5.8</v>
      </c>
      <c r="G165" s="23">
        <f t="shared" si="25"/>
        <v>10</v>
      </c>
      <c r="H165" s="23">
        <f t="shared" si="26"/>
        <v>6</v>
      </c>
      <c r="K165">
        <v>15</v>
      </c>
      <c r="L165">
        <v>16</v>
      </c>
    </row>
    <row r="166" spans="1:12" x14ac:dyDescent="0.25">
      <c r="A166" s="22">
        <v>41892.291666666664</v>
      </c>
      <c r="B166" s="23">
        <v>357.5</v>
      </c>
      <c r="C166">
        <v>94.3</v>
      </c>
      <c r="D166">
        <v>9</v>
      </c>
      <c r="E166">
        <v>5.8</v>
      </c>
      <c r="G166" s="23">
        <f t="shared" si="25"/>
        <v>10</v>
      </c>
      <c r="H166" s="23">
        <f t="shared" si="26"/>
        <v>7</v>
      </c>
      <c r="K166">
        <v>15</v>
      </c>
      <c r="L166">
        <v>17</v>
      </c>
    </row>
    <row r="167" spans="1:12" x14ac:dyDescent="0.25">
      <c r="A167" s="22">
        <v>41892.295138888891</v>
      </c>
      <c r="B167" s="23">
        <v>362.1</v>
      </c>
      <c r="C167">
        <v>94.2</v>
      </c>
      <c r="D167">
        <v>9.1</v>
      </c>
      <c r="E167">
        <v>5.8</v>
      </c>
      <c r="G167" s="23">
        <f t="shared" si="25"/>
        <v>10</v>
      </c>
      <c r="H167" s="23">
        <f t="shared" si="26"/>
        <v>7</v>
      </c>
      <c r="K167">
        <v>15</v>
      </c>
      <c r="L167">
        <v>18</v>
      </c>
    </row>
    <row r="168" spans="1:12" x14ac:dyDescent="0.25">
      <c r="A168" s="22">
        <v>41892.298611111109</v>
      </c>
      <c r="B168" s="23">
        <v>370.9</v>
      </c>
      <c r="C168">
        <v>94.3</v>
      </c>
      <c r="D168">
        <v>9.1999999999999993</v>
      </c>
      <c r="E168">
        <v>5.8</v>
      </c>
      <c r="G168" s="23">
        <f t="shared" si="25"/>
        <v>10</v>
      </c>
      <c r="H168" s="23">
        <f t="shared" si="26"/>
        <v>7</v>
      </c>
      <c r="K168">
        <v>15</v>
      </c>
      <c r="L168">
        <v>19</v>
      </c>
    </row>
    <row r="169" spans="1:12" x14ac:dyDescent="0.25">
      <c r="A169" s="22">
        <v>41892.302083333336</v>
      </c>
      <c r="B169" s="23">
        <v>372.2</v>
      </c>
      <c r="C169">
        <v>94.2</v>
      </c>
      <c r="D169">
        <v>9.1999999999999993</v>
      </c>
      <c r="E169">
        <v>5.8</v>
      </c>
      <c r="G169" s="23">
        <f t="shared" si="25"/>
        <v>10</v>
      </c>
      <c r="H169" s="23">
        <f t="shared" si="26"/>
        <v>7</v>
      </c>
      <c r="K169">
        <v>15</v>
      </c>
      <c r="L169">
        <v>20</v>
      </c>
    </row>
    <row r="170" spans="1:12" x14ac:dyDescent="0.25">
      <c r="A170" s="22">
        <v>41892.305555555555</v>
      </c>
      <c r="B170" s="23">
        <v>374.2</v>
      </c>
      <c r="C170">
        <v>94.2</v>
      </c>
      <c r="D170">
        <v>9.1999999999999993</v>
      </c>
      <c r="E170">
        <v>5.8</v>
      </c>
      <c r="G170" s="23">
        <f t="shared" si="25"/>
        <v>10</v>
      </c>
      <c r="H170" s="23">
        <f t="shared" si="26"/>
        <v>7</v>
      </c>
      <c r="K170">
        <v>15</v>
      </c>
      <c r="L170">
        <v>21</v>
      </c>
    </row>
    <row r="171" spans="1:12" x14ac:dyDescent="0.25">
      <c r="A171" s="22">
        <v>41892.309027777781</v>
      </c>
      <c r="B171" s="23">
        <v>375.9</v>
      </c>
      <c r="C171">
        <v>94.2</v>
      </c>
      <c r="D171">
        <v>9.1999999999999993</v>
      </c>
      <c r="E171">
        <v>5.8</v>
      </c>
      <c r="G171" s="23">
        <f t="shared" si="25"/>
        <v>10</v>
      </c>
      <c r="H171" s="23">
        <f t="shared" si="26"/>
        <v>7</v>
      </c>
      <c r="K171">
        <v>15</v>
      </c>
      <c r="L171">
        <v>22</v>
      </c>
    </row>
    <row r="172" spans="1:12" x14ac:dyDescent="0.25">
      <c r="A172" s="22">
        <v>41892.3125</v>
      </c>
      <c r="B172" s="23">
        <v>377.2</v>
      </c>
      <c r="C172">
        <v>94.2</v>
      </c>
      <c r="D172">
        <v>9.1999999999999993</v>
      </c>
      <c r="E172">
        <v>5.8</v>
      </c>
      <c r="G172" s="23">
        <f t="shared" si="25"/>
        <v>10</v>
      </c>
      <c r="H172" s="23">
        <f t="shared" si="26"/>
        <v>7</v>
      </c>
      <c r="K172">
        <v>15</v>
      </c>
      <c r="L172">
        <v>23</v>
      </c>
    </row>
    <row r="173" spans="1:12" x14ac:dyDescent="0.25">
      <c r="A173" s="22">
        <v>41892.315972222219</v>
      </c>
      <c r="B173" s="23">
        <v>375.9</v>
      </c>
      <c r="C173">
        <v>94.2</v>
      </c>
      <c r="D173">
        <v>9.1999999999999993</v>
      </c>
      <c r="E173">
        <v>5.8</v>
      </c>
      <c r="G173" s="23">
        <f t="shared" si="25"/>
        <v>10</v>
      </c>
      <c r="H173" s="23">
        <f t="shared" si="26"/>
        <v>7</v>
      </c>
      <c r="K173">
        <v>16</v>
      </c>
      <c r="L173">
        <v>0</v>
      </c>
    </row>
    <row r="174" spans="1:12" x14ac:dyDescent="0.25">
      <c r="A174" s="22">
        <v>41892.319444444445</v>
      </c>
      <c r="B174" s="23">
        <v>376.4</v>
      </c>
      <c r="C174">
        <v>94.3</v>
      </c>
      <c r="D174">
        <v>9.1999999999999993</v>
      </c>
      <c r="E174">
        <v>5.8</v>
      </c>
      <c r="G174" s="23">
        <f t="shared" si="25"/>
        <v>10</v>
      </c>
      <c r="H174" s="23">
        <f t="shared" si="26"/>
        <v>7</v>
      </c>
      <c r="K174">
        <v>16</v>
      </c>
      <c r="L174">
        <v>1</v>
      </c>
    </row>
    <row r="175" spans="1:12" x14ac:dyDescent="0.25">
      <c r="A175" s="22">
        <v>41892.322916666664</v>
      </c>
      <c r="B175" s="23">
        <v>374.3</v>
      </c>
      <c r="C175">
        <v>94.3</v>
      </c>
      <c r="D175">
        <v>9.1999999999999993</v>
      </c>
      <c r="E175">
        <v>5.8</v>
      </c>
      <c r="G175" s="23">
        <f t="shared" si="25"/>
        <v>10</v>
      </c>
      <c r="H175" s="23">
        <f t="shared" si="26"/>
        <v>7</v>
      </c>
      <c r="K175">
        <v>16</v>
      </c>
      <c r="L175">
        <v>2</v>
      </c>
    </row>
    <row r="176" spans="1:12" x14ac:dyDescent="0.25">
      <c r="A176" s="22">
        <v>41892.326388888891</v>
      </c>
      <c r="B176" s="23">
        <v>373.3</v>
      </c>
      <c r="C176">
        <v>94.2</v>
      </c>
      <c r="D176">
        <v>9.1999999999999993</v>
      </c>
      <c r="E176">
        <v>5.8</v>
      </c>
      <c r="G176" s="23">
        <f t="shared" si="25"/>
        <v>10</v>
      </c>
      <c r="H176" s="23">
        <f t="shared" si="26"/>
        <v>7</v>
      </c>
      <c r="K176">
        <v>16</v>
      </c>
      <c r="L176">
        <v>3</v>
      </c>
    </row>
    <row r="177" spans="1:12" x14ac:dyDescent="0.25">
      <c r="A177" s="22">
        <v>41892.329861111109</v>
      </c>
      <c r="B177" s="23">
        <v>373</v>
      </c>
      <c r="C177">
        <v>94.2</v>
      </c>
      <c r="D177">
        <v>9.1999999999999993</v>
      </c>
      <c r="E177">
        <v>5.8</v>
      </c>
      <c r="G177" s="23">
        <f t="shared" si="25"/>
        <v>10</v>
      </c>
      <c r="H177" s="23">
        <f t="shared" si="26"/>
        <v>7</v>
      </c>
      <c r="K177">
        <v>16</v>
      </c>
      <c r="L177">
        <v>4</v>
      </c>
    </row>
    <row r="178" spans="1:12" x14ac:dyDescent="0.25">
      <c r="A178" s="22">
        <v>41892.333333333336</v>
      </c>
      <c r="B178" s="23">
        <v>378.6</v>
      </c>
      <c r="C178">
        <v>94.2</v>
      </c>
      <c r="D178">
        <v>9.1999999999999993</v>
      </c>
      <c r="E178">
        <v>5.8</v>
      </c>
      <c r="G178" s="23">
        <f t="shared" si="25"/>
        <v>10</v>
      </c>
      <c r="H178" s="23">
        <f t="shared" si="26"/>
        <v>8</v>
      </c>
      <c r="K178">
        <v>16</v>
      </c>
      <c r="L178">
        <v>5</v>
      </c>
    </row>
    <row r="179" spans="1:12" x14ac:dyDescent="0.25">
      <c r="A179" s="22">
        <v>41892.336805555555</v>
      </c>
      <c r="B179" s="23">
        <v>405.6</v>
      </c>
      <c r="C179">
        <v>94.2</v>
      </c>
      <c r="D179">
        <v>9.5</v>
      </c>
      <c r="E179">
        <v>5.8</v>
      </c>
      <c r="G179" s="23">
        <f t="shared" si="25"/>
        <v>10</v>
      </c>
      <c r="H179" s="23">
        <f t="shared" si="26"/>
        <v>8</v>
      </c>
      <c r="K179">
        <v>16</v>
      </c>
      <c r="L179">
        <v>6</v>
      </c>
    </row>
    <row r="180" spans="1:12" x14ac:dyDescent="0.25">
      <c r="A180" s="22">
        <v>41892.340277777781</v>
      </c>
      <c r="B180" s="23">
        <v>402.2</v>
      </c>
      <c r="C180">
        <v>94.2</v>
      </c>
      <c r="D180">
        <v>9.4</v>
      </c>
      <c r="E180">
        <v>5.8</v>
      </c>
      <c r="G180" s="23">
        <f t="shared" si="25"/>
        <v>10</v>
      </c>
      <c r="H180" s="23">
        <f t="shared" si="26"/>
        <v>8</v>
      </c>
      <c r="K180">
        <v>16</v>
      </c>
      <c r="L180">
        <v>7</v>
      </c>
    </row>
    <row r="181" spans="1:12" x14ac:dyDescent="0.25">
      <c r="A181" s="22">
        <v>41892.34375</v>
      </c>
      <c r="B181" s="23">
        <v>405.1</v>
      </c>
      <c r="C181">
        <v>94.2</v>
      </c>
      <c r="D181">
        <v>9.5</v>
      </c>
      <c r="E181">
        <v>5.8</v>
      </c>
      <c r="G181" s="23">
        <f t="shared" si="25"/>
        <v>10</v>
      </c>
      <c r="H181" s="23">
        <f t="shared" si="26"/>
        <v>8</v>
      </c>
      <c r="K181">
        <v>16</v>
      </c>
      <c r="L181">
        <v>8</v>
      </c>
    </row>
    <row r="182" spans="1:12" x14ac:dyDescent="0.25">
      <c r="A182" s="22">
        <v>41892.347222222219</v>
      </c>
      <c r="B182" s="23">
        <v>408.4</v>
      </c>
      <c r="C182">
        <v>94.3</v>
      </c>
      <c r="D182">
        <v>9.5</v>
      </c>
      <c r="E182">
        <v>5.8</v>
      </c>
      <c r="G182" s="23">
        <f t="shared" si="25"/>
        <v>10</v>
      </c>
      <c r="H182" s="23">
        <f t="shared" si="26"/>
        <v>8</v>
      </c>
      <c r="K182">
        <v>16</v>
      </c>
      <c r="L182">
        <v>9</v>
      </c>
    </row>
    <row r="183" spans="1:12" x14ac:dyDescent="0.25">
      <c r="A183" s="22">
        <v>41892.350694444445</v>
      </c>
      <c r="B183" s="23">
        <v>410.7</v>
      </c>
      <c r="C183">
        <v>94.3</v>
      </c>
      <c r="D183">
        <v>9.5</v>
      </c>
      <c r="E183">
        <v>5.8</v>
      </c>
      <c r="G183" s="23">
        <f t="shared" si="25"/>
        <v>10</v>
      </c>
      <c r="H183" s="23">
        <f t="shared" si="26"/>
        <v>8</v>
      </c>
      <c r="K183">
        <v>16</v>
      </c>
      <c r="L183">
        <v>10</v>
      </c>
    </row>
    <row r="184" spans="1:12" x14ac:dyDescent="0.25">
      <c r="A184" s="22">
        <v>41892.354166666664</v>
      </c>
      <c r="B184" s="23">
        <v>412.3</v>
      </c>
      <c r="C184">
        <v>94.3</v>
      </c>
      <c r="D184">
        <v>9.5</v>
      </c>
      <c r="E184">
        <v>5.8</v>
      </c>
      <c r="G184" s="23">
        <f t="shared" si="25"/>
        <v>10</v>
      </c>
      <c r="H184" s="23">
        <f t="shared" si="26"/>
        <v>8</v>
      </c>
      <c r="K184">
        <v>16</v>
      </c>
      <c r="L184">
        <v>11</v>
      </c>
    </row>
    <row r="185" spans="1:12" x14ac:dyDescent="0.25">
      <c r="A185" s="22">
        <v>41892.357638888891</v>
      </c>
      <c r="B185" s="23">
        <v>414.2</v>
      </c>
      <c r="C185">
        <v>94.3</v>
      </c>
      <c r="D185">
        <v>9.5</v>
      </c>
      <c r="E185">
        <v>5.8</v>
      </c>
      <c r="G185" s="23">
        <f t="shared" si="25"/>
        <v>10</v>
      </c>
      <c r="H185" s="23">
        <f t="shared" si="26"/>
        <v>8</v>
      </c>
      <c r="K185">
        <v>16</v>
      </c>
      <c r="L185">
        <v>12</v>
      </c>
    </row>
    <row r="186" spans="1:12" x14ac:dyDescent="0.25">
      <c r="A186" s="22">
        <v>41892.361111111109</v>
      </c>
      <c r="B186" s="23">
        <v>414.6</v>
      </c>
      <c r="C186">
        <v>94.3</v>
      </c>
      <c r="D186">
        <v>9.6</v>
      </c>
      <c r="E186">
        <v>5.8</v>
      </c>
      <c r="G186" s="23">
        <f t="shared" si="25"/>
        <v>10</v>
      </c>
      <c r="H186" s="23">
        <f t="shared" si="26"/>
        <v>8</v>
      </c>
      <c r="K186">
        <v>16</v>
      </c>
      <c r="L186">
        <v>13</v>
      </c>
    </row>
    <row r="187" spans="1:12" x14ac:dyDescent="0.25">
      <c r="A187" s="22">
        <v>41892.364583333336</v>
      </c>
      <c r="B187" s="23">
        <v>414.4</v>
      </c>
      <c r="C187">
        <v>94.4</v>
      </c>
      <c r="D187">
        <v>9.5</v>
      </c>
      <c r="E187">
        <v>5.8</v>
      </c>
      <c r="G187" s="23">
        <f t="shared" si="25"/>
        <v>10</v>
      </c>
      <c r="H187" s="23">
        <f t="shared" si="26"/>
        <v>8</v>
      </c>
      <c r="K187">
        <v>16</v>
      </c>
      <c r="L187">
        <v>14</v>
      </c>
    </row>
    <row r="188" spans="1:12" x14ac:dyDescent="0.25">
      <c r="A188" s="22">
        <v>41892.368055555555</v>
      </c>
      <c r="B188" s="23">
        <v>417.2</v>
      </c>
      <c r="C188">
        <v>94.4</v>
      </c>
      <c r="D188">
        <v>9.6</v>
      </c>
      <c r="E188">
        <v>5.8</v>
      </c>
      <c r="G188" s="23">
        <f t="shared" si="25"/>
        <v>10</v>
      </c>
      <c r="H188" s="23">
        <f t="shared" si="26"/>
        <v>8</v>
      </c>
      <c r="K188">
        <v>16</v>
      </c>
      <c r="L188">
        <v>15</v>
      </c>
    </row>
    <row r="189" spans="1:12" x14ac:dyDescent="0.25">
      <c r="A189" s="22">
        <v>41892.371527777781</v>
      </c>
      <c r="B189" s="23">
        <v>418.7</v>
      </c>
      <c r="C189">
        <v>94.2</v>
      </c>
      <c r="D189">
        <v>9.6</v>
      </c>
      <c r="E189">
        <v>5.8</v>
      </c>
      <c r="G189" s="23">
        <f t="shared" si="25"/>
        <v>10</v>
      </c>
      <c r="H189" s="23">
        <f t="shared" si="26"/>
        <v>8</v>
      </c>
      <c r="K189">
        <v>16</v>
      </c>
      <c r="L189">
        <v>16</v>
      </c>
    </row>
    <row r="190" spans="1:12" x14ac:dyDescent="0.25">
      <c r="A190" s="22">
        <v>41892.375</v>
      </c>
      <c r="B190" s="23">
        <v>420.9</v>
      </c>
      <c r="C190">
        <v>94.3</v>
      </c>
      <c r="D190">
        <v>9.6</v>
      </c>
      <c r="E190">
        <v>5.8</v>
      </c>
      <c r="G190" s="23">
        <f t="shared" si="25"/>
        <v>10</v>
      </c>
      <c r="H190" s="23">
        <f t="shared" si="26"/>
        <v>9</v>
      </c>
      <c r="K190">
        <v>16</v>
      </c>
      <c r="L190">
        <v>17</v>
      </c>
    </row>
    <row r="191" spans="1:12" x14ac:dyDescent="0.25">
      <c r="A191" s="22">
        <v>41892.378472222219</v>
      </c>
      <c r="B191" s="23">
        <v>421.7</v>
      </c>
      <c r="C191">
        <v>94.3</v>
      </c>
      <c r="D191">
        <v>9.6</v>
      </c>
      <c r="E191">
        <v>5.8</v>
      </c>
      <c r="G191" s="23">
        <f t="shared" si="25"/>
        <v>10</v>
      </c>
      <c r="H191" s="23">
        <f t="shared" si="26"/>
        <v>9</v>
      </c>
      <c r="K191">
        <v>16</v>
      </c>
      <c r="L191">
        <v>18</v>
      </c>
    </row>
    <row r="192" spans="1:12" x14ac:dyDescent="0.25">
      <c r="A192" s="22">
        <v>41892.381944444445</v>
      </c>
      <c r="B192" s="23">
        <v>420.7</v>
      </c>
      <c r="C192">
        <v>94.3</v>
      </c>
      <c r="D192">
        <v>9.6</v>
      </c>
      <c r="E192">
        <v>5.8</v>
      </c>
      <c r="G192" s="23">
        <f t="shared" si="25"/>
        <v>10</v>
      </c>
      <c r="H192" s="23">
        <f t="shared" si="26"/>
        <v>9</v>
      </c>
      <c r="K192">
        <v>16</v>
      </c>
      <c r="L192">
        <v>19</v>
      </c>
    </row>
    <row r="193" spans="1:12" x14ac:dyDescent="0.25">
      <c r="A193" s="22">
        <v>41892.385416666664</v>
      </c>
      <c r="B193" s="23">
        <v>423.9</v>
      </c>
      <c r="C193">
        <v>94.3</v>
      </c>
      <c r="D193">
        <v>9.6</v>
      </c>
      <c r="E193">
        <v>5.8</v>
      </c>
      <c r="G193" s="23">
        <f t="shared" si="25"/>
        <v>10</v>
      </c>
      <c r="H193" s="23">
        <f t="shared" si="26"/>
        <v>9</v>
      </c>
      <c r="K193">
        <v>16</v>
      </c>
      <c r="L193">
        <v>20</v>
      </c>
    </row>
    <row r="194" spans="1:12" x14ac:dyDescent="0.25">
      <c r="A194" s="22">
        <v>41892.388888888891</v>
      </c>
      <c r="B194" s="23">
        <v>424.8</v>
      </c>
      <c r="C194">
        <v>94.3</v>
      </c>
      <c r="D194">
        <v>9.6</v>
      </c>
      <c r="E194">
        <v>5.8</v>
      </c>
      <c r="G194" s="23">
        <f t="shared" si="25"/>
        <v>10</v>
      </c>
      <c r="H194" s="23">
        <f t="shared" si="26"/>
        <v>9</v>
      </c>
      <c r="K194">
        <v>16</v>
      </c>
      <c r="L194">
        <v>21</v>
      </c>
    </row>
    <row r="195" spans="1:12" x14ac:dyDescent="0.25">
      <c r="A195" s="22">
        <v>41892.392361111109</v>
      </c>
      <c r="B195" s="23">
        <v>427.9</v>
      </c>
      <c r="C195">
        <v>94.3</v>
      </c>
      <c r="D195">
        <v>9.6999999999999993</v>
      </c>
      <c r="E195">
        <v>5.8</v>
      </c>
      <c r="G195" s="23">
        <f t="shared" si="25"/>
        <v>10</v>
      </c>
      <c r="H195" s="23">
        <f t="shared" si="26"/>
        <v>9</v>
      </c>
      <c r="K195">
        <v>16</v>
      </c>
      <c r="L195">
        <v>22</v>
      </c>
    </row>
    <row r="196" spans="1:12" x14ac:dyDescent="0.25">
      <c r="A196" s="22">
        <v>41892.395833333336</v>
      </c>
      <c r="B196" s="23">
        <v>435.1</v>
      </c>
      <c r="C196">
        <v>94.3</v>
      </c>
      <c r="D196">
        <v>9.6999999999999993</v>
      </c>
      <c r="E196">
        <v>5.8</v>
      </c>
      <c r="G196" s="23">
        <f t="shared" si="25"/>
        <v>10</v>
      </c>
      <c r="H196" s="23">
        <f t="shared" si="26"/>
        <v>9</v>
      </c>
      <c r="K196">
        <v>16</v>
      </c>
      <c r="L196">
        <v>23</v>
      </c>
    </row>
    <row r="197" spans="1:12" x14ac:dyDescent="0.25">
      <c r="A197" s="22">
        <v>41892.399305555555</v>
      </c>
      <c r="B197" s="23">
        <v>439.8</v>
      </c>
      <c r="C197">
        <v>94.3</v>
      </c>
      <c r="D197">
        <v>9.8000000000000007</v>
      </c>
      <c r="E197">
        <v>5.8</v>
      </c>
      <c r="G197" s="23">
        <f t="shared" si="25"/>
        <v>10</v>
      </c>
      <c r="H197" s="23">
        <f t="shared" si="26"/>
        <v>9</v>
      </c>
    </row>
    <row r="198" spans="1:12" x14ac:dyDescent="0.25">
      <c r="A198" s="22">
        <v>41892.402777777781</v>
      </c>
      <c r="B198" s="23">
        <v>443.1</v>
      </c>
      <c r="C198">
        <v>94.2</v>
      </c>
      <c r="D198">
        <v>9.8000000000000007</v>
      </c>
      <c r="E198">
        <v>5.8</v>
      </c>
      <c r="G198" s="23">
        <f t="shared" ref="G198:G261" si="27">+DAY(A198)</f>
        <v>10</v>
      </c>
      <c r="H198" s="23">
        <f t="shared" ref="H198:H261" si="28">+HOUR(A198)</f>
        <v>9</v>
      </c>
    </row>
    <row r="199" spans="1:12" x14ac:dyDescent="0.25">
      <c r="A199" s="22">
        <v>41892.40625</v>
      </c>
      <c r="B199" s="23">
        <v>444.6</v>
      </c>
      <c r="C199">
        <v>94.2</v>
      </c>
      <c r="D199">
        <v>9.8000000000000007</v>
      </c>
      <c r="E199">
        <v>5.8</v>
      </c>
      <c r="G199" s="23">
        <f t="shared" si="27"/>
        <v>10</v>
      </c>
      <c r="H199" s="23">
        <f t="shared" si="28"/>
        <v>9</v>
      </c>
    </row>
    <row r="200" spans="1:12" x14ac:dyDescent="0.25">
      <c r="A200" s="22">
        <v>41892.409722222219</v>
      </c>
      <c r="B200" s="23">
        <v>446.1</v>
      </c>
      <c r="C200">
        <v>94.3</v>
      </c>
      <c r="D200">
        <v>9.8000000000000007</v>
      </c>
      <c r="E200">
        <v>5.8</v>
      </c>
      <c r="G200" s="23">
        <f t="shared" si="27"/>
        <v>10</v>
      </c>
      <c r="H200" s="23">
        <f t="shared" si="28"/>
        <v>9</v>
      </c>
    </row>
    <row r="201" spans="1:12" x14ac:dyDescent="0.25">
      <c r="A201" s="22">
        <v>41892.413194444445</v>
      </c>
      <c r="B201" s="23">
        <v>448.5</v>
      </c>
      <c r="C201">
        <v>94.3</v>
      </c>
      <c r="D201">
        <v>9.9</v>
      </c>
      <c r="E201">
        <v>5.8</v>
      </c>
      <c r="G201" s="23">
        <f t="shared" si="27"/>
        <v>10</v>
      </c>
      <c r="H201" s="23">
        <f t="shared" si="28"/>
        <v>9</v>
      </c>
    </row>
    <row r="202" spans="1:12" x14ac:dyDescent="0.25">
      <c r="A202" s="22">
        <v>41892.416666666664</v>
      </c>
      <c r="B202" s="23">
        <v>447.3</v>
      </c>
      <c r="C202">
        <v>94.2</v>
      </c>
      <c r="D202">
        <v>9.9</v>
      </c>
      <c r="E202">
        <v>5.8</v>
      </c>
      <c r="G202" s="23">
        <f t="shared" si="27"/>
        <v>10</v>
      </c>
      <c r="H202" s="23">
        <f t="shared" si="28"/>
        <v>10</v>
      </c>
    </row>
    <row r="203" spans="1:12" x14ac:dyDescent="0.25">
      <c r="A203" s="22">
        <v>41892.420138888891</v>
      </c>
      <c r="B203" s="23">
        <v>444.5</v>
      </c>
      <c r="C203">
        <v>94.2</v>
      </c>
      <c r="D203">
        <v>9.8000000000000007</v>
      </c>
      <c r="E203">
        <v>5.8</v>
      </c>
      <c r="G203" s="23">
        <f t="shared" si="27"/>
        <v>10</v>
      </c>
      <c r="H203" s="23">
        <f t="shared" si="28"/>
        <v>10</v>
      </c>
    </row>
    <row r="204" spans="1:12" x14ac:dyDescent="0.25">
      <c r="A204" s="22">
        <v>41892.423611111109</v>
      </c>
      <c r="B204" s="23">
        <v>444.6</v>
      </c>
      <c r="C204">
        <v>94.3</v>
      </c>
      <c r="D204">
        <v>9.8000000000000007</v>
      </c>
      <c r="E204">
        <v>5.8</v>
      </c>
      <c r="G204" s="23">
        <f t="shared" si="27"/>
        <v>10</v>
      </c>
      <c r="H204" s="23">
        <f t="shared" si="28"/>
        <v>10</v>
      </c>
    </row>
    <row r="205" spans="1:12" x14ac:dyDescent="0.25">
      <c r="A205" s="22">
        <v>41892.427083333336</v>
      </c>
      <c r="B205" s="23">
        <v>443.5</v>
      </c>
      <c r="C205">
        <v>94.3</v>
      </c>
      <c r="D205">
        <v>9.8000000000000007</v>
      </c>
      <c r="E205">
        <v>5.8</v>
      </c>
      <c r="G205" s="23">
        <f t="shared" si="27"/>
        <v>10</v>
      </c>
      <c r="H205" s="23">
        <f t="shared" si="28"/>
        <v>10</v>
      </c>
    </row>
    <row r="206" spans="1:12" x14ac:dyDescent="0.25">
      <c r="A206" s="22">
        <v>41892.430555555555</v>
      </c>
      <c r="B206" s="23">
        <v>441.6</v>
      </c>
      <c r="C206">
        <v>94.2</v>
      </c>
      <c r="D206">
        <v>9.8000000000000007</v>
      </c>
      <c r="E206">
        <v>5.8</v>
      </c>
      <c r="G206" s="23">
        <f t="shared" si="27"/>
        <v>10</v>
      </c>
      <c r="H206" s="23">
        <f t="shared" si="28"/>
        <v>10</v>
      </c>
    </row>
    <row r="207" spans="1:12" x14ac:dyDescent="0.25">
      <c r="A207" s="22">
        <v>41892.434027777781</v>
      </c>
      <c r="B207" s="23">
        <v>427.8</v>
      </c>
      <c r="C207">
        <v>94.2</v>
      </c>
      <c r="D207">
        <v>9.6</v>
      </c>
      <c r="E207">
        <v>5.8</v>
      </c>
      <c r="G207" s="23">
        <f t="shared" si="27"/>
        <v>10</v>
      </c>
      <c r="H207" s="23">
        <f t="shared" si="28"/>
        <v>10</v>
      </c>
    </row>
    <row r="208" spans="1:12" x14ac:dyDescent="0.25">
      <c r="A208" s="22">
        <v>41892.4375</v>
      </c>
      <c r="B208" s="23">
        <v>407.6</v>
      </c>
      <c r="C208">
        <v>94.3</v>
      </c>
      <c r="D208">
        <v>9.5</v>
      </c>
      <c r="E208">
        <v>5.7</v>
      </c>
      <c r="G208" s="23">
        <f t="shared" si="27"/>
        <v>10</v>
      </c>
      <c r="H208" s="23">
        <f t="shared" si="28"/>
        <v>10</v>
      </c>
    </row>
    <row r="209" spans="1:8" x14ac:dyDescent="0.25">
      <c r="A209" s="22">
        <v>41892.440972222219</v>
      </c>
      <c r="B209" s="23">
        <v>404</v>
      </c>
      <c r="C209">
        <v>94.3</v>
      </c>
      <c r="D209">
        <v>9.4</v>
      </c>
      <c r="E209">
        <v>5.8</v>
      </c>
      <c r="G209" s="23">
        <f t="shared" si="27"/>
        <v>10</v>
      </c>
      <c r="H209" s="23">
        <f t="shared" si="28"/>
        <v>10</v>
      </c>
    </row>
    <row r="210" spans="1:8" x14ac:dyDescent="0.25">
      <c r="A210" s="22">
        <v>41892.444444444445</v>
      </c>
      <c r="B210" s="23">
        <v>397.3</v>
      </c>
      <c r="C210">
        <v>94.2</v>
      </c>
      <c r="D210">
        <v>9.4</v>
      </c>
      <c r="E210">
        <v>5.7</v>
      </c>
      <c r="G210" s="23">
        <f t="shared" si="27"/>
        <v>10</v>
      </c>
      <c r="H210" s="23">
        <f t="shared" si="28"/>
        <v>10</v>
      </c>
    </row>
    <row r="211" spans="1:8" x14ac:dyDescent="0.25">
      <c r="A211" s="22">
        <v>41892.447916666664</v>
      </c>
      <c r="B211" s="23">
        <v>381.7</v>
      </c>
      <c r="C211">
        <v>94.2</v>
      </c>
      <c r="D211">
        <v>9.1999999999999993</v>
      </c>
      <c r="E211">
        <v>5.7</v>
      </c>
      <c r="G211" s="23">
        <f t="shared" si="27"/>
        <v>10</v>
      </c>
      <c r="H211" s="23">
        <f t="shared" si="28"/>
        <v>10</v>
      </c>
    </row>
    <row r="212" spans="1:8" x14ac:dyDescent="0.25">
      <c r="A212" s="22">
        <v>41892.451388888891</v>
      </c>
      <c r="B212" s="23">
        <v>374</v>
      </c>
      <c r="C212">
        <v>94.3</v>
      </c>
      <c r="D212">
        <v>9.1999999999999993</v>
      </c>
      <c r="E212">
        <v>5.8</v>
      </c>
      <c r="G212" s="23">
        <f t="shared" si="27"/>
        <v>10</v>
      </c>
      <c r="H212" s="23">
        <f t="shared" si="28"/>
        <v>10</v>
      </c>
    </row>
    <row r="213" spans="1:8" x14ac:dyDescent="0.25">
      <c r="A213" s="22">
        <v>41892.454861111109</v>
      </c>
      <c r="B213" s="23">
        <v>368.1</v>
      </c>
      <c r="C213">
        <v>94.2</v>
      </c>
      <c r="D213">
        <v>9.1</v>
      </c>
      <c r="E213">
        <v>5.8</v>
      </c>
      <c r="G213" s="23">
        <f t="shared" si="27"/>
        <v>10</v>
      </c>
      <c r="H213" s="23">
        <f t="shared" si="28"/>
        <v>10</v>
      </c>
    </row>
    <row r="214" spans="1:8" x14ac:dyDescent="0.25">
      <c r="A214" s="22">
        <v>41892.458333333336</v>
      </c>
      <c r="B214" s="23">
        <v>362.8</v>
      </c>
      <c r="C214">
        <v>94.3</v>
      </c>
      <c r="D214">
        <v>9.1</v>
      </c>
      <c r="E214">
        <v>5.8</v>
      </c>
      <c r="G214" s="23">
        <f t="shared" si="27"/>
        <v>10</v>
      </c>
      <c r="H214" s="23">
        <f t="shared" si="28"/>
        <v>11</v>
      </c>
    </row>
    <row r="215" spans="1:8" x14ac:dyDescent="0.25">
      <c r="A215" s="22">
        <v>41892.461805555555</v>
      </c>
      <c r="B215" s="23">
        <v>363.8</v>
      </c>
      <c r="C215">
        <v>94.2</v>
      </c>
      <c r="D215">
        <v>9.1</v>
      </c>
      <c r="E215">
        <v>5.8</v>
      </c>
      <c r="G215" s="23">
        <f t="shared" si="27"/>
        <v>10</v>
      </c>
      <c r="H215" s="23">
        <f t="shared" si="28"/>
        <v>11</v>
      </c>
    </row>
    <row r="216" spans="1:8" x14ac:dyDescent="0.25">
      <c r="A216" s="22">
        <v>41892.465277777781</v>
      </c>
      <c r="B216" s="23">
        <v>367.6</v>
      </c>
      <c r="C216">
        <v>94.2</v>
      </c>
      <c r="D216">
        <v>9.1</v>
      </c>
      <c r="E216">
        <v>5.8</v>
      </c>
      <c r="G216" s="23">
        <f t="shared" si="27"/>
        <v>10</v>
      </c>
      <c r="H216" s="23">
        <f t="shared" si="28"/>
        <v>11</v>
      </c>
    </row>
    <row r="217" spans="1:8" x14ac:dyDescent="0.25">
      <c r="A217" s="22">
        <v>41892.46875</v>
      </c>
      <c r="B217" s="23">
        <v>370.6</v>
      </c>
      <c r="C217">
        <v>94.3</v>
      </c>
      <c r="D217">
        <v>9.1</v>
      </c>
      <c r="E217">
        <v>5.8</v>
      </c>
      <c r="G217" s="23">
        <f t="shared" si="27"/>
        <v>10</v>
      </c>
      <c r="H217" s="23">
        <f t="shared" si="28"/>
        <v>11</v>
      </c>
    </row>
    <row r="218" spans="1:8" x14ac:dyDescent="0.25">
      <c r="A218" s="22">
        <v>41892.472222222219</v>
      </c>
      <c r="B218" s="23">
        <v>371.9</v>
      </c>
      <c r="C218">
        <v>94.2</v>
      </c>
      <c r="D218">
        <v>9.1</v>
      </c>
      <c r="E218">
        <v>5.8</v>
      </c>
      <c r="G218" s="23">
        <f t="shared" si="27"/>
        <v>10</v>
      </c>
      <c r="H218" s="23">
        <f t="shared" si="28"/>
        <v>11</v>
      </c>
    </row>
    <row r="219" spans="1:8" x14ac:dyDescent="0.25">
      <c r="A219" s="22">
        <v>41892.475694444445</v>
      </c>
      <c r="B219" s="23">
        <v>373.9</v>
      </c>
      <c r="C219">
        <v>94.2</v>
      </c>
      <c r="D219">
        <v>9.1999999999999993</v>
      </c>
      <c r="E219">
        <v>5.8</v>
      </c>
      <c r="G219" s="23">
        <f t="shared" si="27"/>
        <v>10</v>
      </c>
      <c r="H219" s="23">
        <f t="shared" si="28"/>
        <v>11</v>
      </c>
    </row>
    <row r="220" spans="1:8" x14ac:dyDescent="0.25">
      <c r="A220" s="22">
        <v>41892.479166666664</v>
      </c>
      <c r="B220" s="23">
        <v>374.3</v>
      </c>
      <c r="C220">
        <v>94.2</v>
      </c>
      <c r="D220">
        <v>9.1999999999999993</v>
      </c>
      <c r="E220">
        <v>5.8</v>
      </c>
      <c r="G220" s="23">
        <f t="shared" si="27"/>
        <v>10</v>
      </c>
      <c r="H220" s="23">
        <f t="shared" si="28"/>
        <v>11</v>
      </c>
    </row>
    <row r="221" spans="1:8" x14ac:dyDescent="0.25">
      <c r="A221" s="22">
        <v>41892.482638888891</v>
      </c>
      <c r="B221" s="23">
        <v>374.5</v>
      </c>
      <c r="C221">
        <v>94.1</v>
      </c>
      <c r="D221">
        <v>9.1999999999999993</v>
      </c>
      <c r="E221">
        <v>5.8</v>
      </c>
      <c r="G221" s="23">
        <f t="shared" si="27"/>
        <v>10</v>
      </c>
      <c r="H221" s="23">
        <f t="shared" si="28"/>
        <v>11</v>
      </c>
    </row>
    <row r="222" spans="1:8" x14ac:dyDescent="0.25">
      <c r="A222" s="22">
        <v>41892.486111111109</v>
      </c>
      <c r="B222" s="23">
        <v>373.3</v>
      </c>
      <c r="C222">
        <v>94.2</v>
      </c>
      <c r="D222">
        <v>9.1999999999999993</v>
      </c>
      <c r="E222">
        <v>5.8</v>
      </c>
      <c r="G222" s="23">
        <f t="shared" si="27"/>
        <v>10</v>
      </c>
      <c r="H222" s="23">
        <f t="shared" si="28"/>
        <v>11</v>
      </c>
    </row>
    <row r="223" spans="1:8" x14ac:dyDescent="0.25">
      <c r="A223" s="22">
        <v>41892.489583333336</v>
      </c>
      <c r="B223" s="23">
        <v>372.8</v>
      </c>
      <c r="C223">
        <v>94.2</v>
      </c>
      <c r="D223">
        <v>9.1999999999999993</v>
      </c>
      <c r="E223">
        <v>5.8</v>
      </c>
      <c r="G223" s="23">
        <f t="shared" si="27"/>
        <v>10</v>
      </c>
      <c r="H223" s="23">
        <f t="shared" si="28"/>
        <v>11</v>
      </c>
    </row>
    <row r="224" spans="1:8" x14ac:dyDescent="0.25">
      <c r="A224" s="22">
        <v>41892.493055555555</v>
      </c>
      <c r="B224" s="23">
        <v>375</v>
      </c>
      <c r="C224">
        <v>94.1</v>
      </c>
      <c r="D224">
        <v>9.1999999999999993</v>
      </c>
      <c r="E224">
        <v>5.8</v>
      </c>
      <c r="G224" s="23">
        <f t="shared" si="27"/>
        <v>10</v>
      </c>
      <c r="H224" s="23">
        <f t="shared" si="28"/>
        <v>11</v>
      </c>
    </row>
    <row r="225" spans="1:8" x14ac:dyDescent="0.25">
      <c r="A225" s="22">
        <v>41892.496527777781</v>
      </c>
      <c r="B225" s="23">
        <v>376.3</v>
      </c>
      <c r="C225">
        <v>94.2</v>
      </c>
      <c r="D225">
        <v>9.1999999999999993</v>
      </c>
      <c r="E225">
        <v>5.8</v>
      </c>
      <c r="G225" s="23">
        <f t="shared" si="27"/>
        <v>10</v>
      </c>
      <c r="H225" s="23">
        <f t="shared" si="28"/>
        <v>11</v>
      </c>
    </row>
    <row r="226" spans="1:8" x14ac:dyDescent="0.25">
      <c r="A226" s="22">
        <v>41892.5</v>
      </c>
      <c r="B226" s="23">
        <v>375.6</v>
      </c>
      <c r="C226">
        <v>94.2</v>
      </c>
      <c r="D226">
        <v>9.1999999999999993</v>
      </c>
      <c r="E226">
        <v>5.8</v>
      </c>
      <c r="G226" s="23">
        <f t="shared" si="27"/>
        <v>10</v>
      </c>
      <c r="H226" s="23">
        <f t="shared" si="28"/>
        <v>12</v>
      </c>
    </row>
    <row r="227" spans="1:8" x14ac:dyDescent="0.25">
      <c r="A227" s="22">
        <v>41892.503472222219</v>
      </c>
      <c r="B227" s="23">
        <v>376.3</v>
      </c>
      <c r="C227">
        <v>94.2</v>
      </c>
      <c r="D227">
        <v>9.1999999999999993</v>
      </c>
      <c r="E227">
        <v>5.8</v>
      </c>
      <c r="G227" s="23">
        <f t="shared" si="27"/>
        <v>10</v>
      </c>
      <c r="H227" s="23">
        <f t="shared" si="28"/>
        <v>12</v>
      </c>
    </row>
    <row r="228" spans="1:8" x14ac:dyDescent="0.25">
      <c r="A228" s="22">
        <v>41892.506944444445</v>
      </c>
      <c r="B228" s="23">
        <v>376.4</v>
      </c>
      <c r="C228">
        <v>94.1</v>
      </c>
      <c r="D228">
        <v>9.1999999999999993</v>
      </c>
      <c r="E228">
        <v>5.8</v>
      </c>
      <c r="G228" s="23">
        <f t="shared" si="27"/>
        <v>10</v>
      </c>
      <c r="H228" s="23">
        <f t="shared" si="28"/>
        <v>12</v>
      </c>
    </row>
    <row r="229" spans="1:8" x14ac:dyDescent="0.25">
      <c r="A229" s="22">
        <v>41892.510416666664</v>
      </c>
      <c r="B229" s="23">
        <v>377.6</v>
      </c>
      <c r="C229">
        <v>94.2</v>
      </c>
      <c r="D229">
        <v>9.1999999999999993</v>
      </c>
      <c r="E229">
        <v>5.8</v>
      </c>
      <c r="G229" s="23">
        <f t="shared" si="27"/>
        <v>10</v>
      </c>
      <c r="H229" s="23">
        <f t="shared" si="28"/>
        <v>12</v>
      </c>
    </row>
    <row r="230" spans="1:8" x14ac:dyDescent="0.25">
      <c r="A230" s="22">
        <v>41892.513888888891</v>
      </c>
      <c r="B230" s="23">
        <v>380.3</v>
      </c>
      <c r="C230">
        <v>94.2</v>
      </c>
      <c r="D230">
        <v>9.1999999999999993</v>
      </c>
      <c r="E230">
        <v>5.8</v>
      </c>
      <c r="G230" s="23">
        <f t="shared" si="27"/>
        <v>10</v>
      </c>
      <c r="H230" s="23">
        <f t="shared" si="28"/>
        <v>12</v>
      </c>
    </row>
    <row r="231" spans="1:8" x14ac:dyDescent="0.25">
      <c r="A231" s="22">
        <v>41892.517361111109</v>
      </c>
      <c r="B231" s="23">
        <v>383.9</v>
      </c>
      <c r="C231">
        <v>94.2</v>
      </c>
      <c r="D231">
        <v>9.3000000000000007</v>
      </c>
      <c r="E231">
        <v>5.8</v>
      </c>
      <c r="G231" s="23">
        <f t="shared" si="27"/>
        <v>10</v>
      </c>
      <c r="H231" s="23">
        <f t="shared" si="28"/>
        <v>12</v>
      </c>
    </row>
    <row r="232" spans="1:8" x14ac:dyDescent="0.25">
      <c r="A232" s="22">
        <v>41892.520833333336</v>
      </c>
      <c r="B232" s="23">
        <v>391.1</v>
      </c>
      <c r="C232">
        <v>94.2</v>
      </c>
      <c r="D232">
        <v>9.3000000000000007</v>
      </c>
      <c r="E232">
        <v>5.8</v>
      </c>
      <c r="G232" s="23">
        <f t="shared" si="27"/>
        <v>10</v>
      </c>
      <c r="H232" s="23">
        <f t="shared" si="28"/>
        <v>12</v>
      </c>
    </row>
    <row r="233" spans="1:8" x14ac:dyDescent="0.25">
      <c r="A233" s="22">
        <v>41892.524305555555</v>
      </c>
      <c r="B233" s="23">
        <v>393.8</v>
      </c>
      <c r="C233">
        <v>94.1</v>
      </c>
      <c r="D233">
        <v>9.4</v>
      </c>
      <c r="E233">
        <v>5.8</v>
      </c>
      <c r="G233" s="23">
        <f t="shared" si="27"/>
        <v>10</v>
      </c>
      <c r="H233" s="23">
        <f t="shared" si="28"/>
        <v>12</v>
      </c>
    </row>
    <row r="234" spans="1:8" x14ac:dyDescent="0.25">
      <c r="A234" s="22">
        <v>41892.527777777781</v>
      </c>
      <c r="B234" s="23">
        <v>418.3</v>
      </c>
      <c r="C234">
        <v>94.2</v>
      </c>
      <c r="D234">
        <v>9.6</v>
      </c>
      <c r="E234">
        <v>5.8</v>
      </c>
      <c r="G234" s="23">
        <f t="shared" si="27"/>
        <v>10</v>
      </c>
      <c r="H234" s="23">
        <f t="shared" si="28"/>
        <v>12</v>
      </c>
    </row>
    <row r="235" spans="1:8" x14ac:dyDescent="0.25">
      <c r="A235" s="22">
        <v>41892.53125</v>
      </c>
      <c r="B235" s="23">
        <v>438.7</v>
      </c>
      <c r="C235">
        <v>94.3</v>
      </c>
      <c r="D235">
        <v>9.8000000000000007</v>
      </c>
      <c r="E235">
        <v>5.8</v>
      </c>
      <c r="G235" s="23">
        <f t="shared" si="27"/>
        <v>10</v>
      </c>
      <c r="H235" s="23">
        <f t="shared" si="28"/>
        <v>12</v>
      </c>
    </row>
    <row r="236" spans="1:8" x14ac:dyDescent="0.25">
      <c r="A236" s="22">
        <v>41892.534722222219</v>
      </c>
      <c r="B236" s="23">
        <v>444.4</v>
      </c>
      <c r="C236">
        <v>94.2</v>
      </c>
      <c r="D236">
        <v>9.8000000000000007</v>
      </c>
      <c r="E236">
        <v>5.8</v>
      </c>
      <c r="G236" s="23">
        <f t="shared" si="27"/>
        <v>10</v>
      </c>
      <c r="H236" s="23">
        <f t="shared" si="28"/>
        <v>12</v>
      </c>
    </row>
    <row r="237" spans="1:8" x14ac:dyDescent="0.25">
      <c r="A237" s="22">
        <v>41892.538194444445</v>
      </c>
      <c r="B237" s="23">
        <v>448.7</v>
      </c>
      <c r="C237">
        <v>94.2</v>
      </c>
      <c r="D237">
        <v>9.9</v>
      </c>
      <c r="E237">
        <v>5.8</v>
      </c>
      <c r="G237" s="23">
        <f t="shared" si="27"/>
        <v>10</v>
      </c>
      <c r="H237" s="23">
        <f t="shared" si="28"/>
        <v>12</v>
      </c>
    </row>
    <row r="238" spans="1:8" x14ac:dyDescent="0.25">
      <c r="A238" s="22">
        <v>41892.541666666664</v>
      </c>
      <c r="B238" s="23">
        <v>454.5</v>
      </c>
      <c r="C238">
        <v>94.3</v>
      </c>
      <c r="D238">
        <v>9.9</v>
      </c>
      <c r="E238">
        <v>5.8</v>
      </c>
      <c r="G238" s="23">
        <f t="shared" si="27"/>
        <v>10</v>
      </c>
      <c r="H238" s="23">
        <f t="shared" si="28"/>
        <v>13</v>
      </c>
    </row>
    <row r="239" spans="1:8" x14ac:dyDescent="0.25">
      <c r="A239" s="22">
        <v>41892.545138888891</v>
      </c>
      <c r="B239" s="23">
        <v>457.9</v>
      </c>
      <c r="C239">
        <v>94.3</v>
      </c>
      <c r="D239">
        <v>10</v>
      </c>
      <c r="E239">
        <v>5.9</v>
      </c>
      <c r="G239" s="23">
        <f t="shared" si="27"/>
        <v>10</v>
      </c>
      <c r="H239" s="23">
        <f t="shared" si="28"/>
        <v>13</v>
      </c>
    </row>
    <row r="240" spans="1:8" x14ac:dyDescent="0.25">
      <c r="A240" s="22">
        <v>41892.548611111109</v>
      </c>
      <c r="B240" s="23">
        <v>460.2</v>
      </c>
      <c r="C240">
        <v>94.3</v>
      </c>
      <c r="D240">
        <v>10.1</v>
      </c>
      <c r="E240">
        <v>5.9</v>
      </c>
      <c r="G240" s="23">
        <f t="shared" si="27"/>
        <v>10</v>
      </c>
      <c r="H240" s="23">
        <f t="shared" si="28"/>
        <v>13</v>
      </c>
    </row>
    <row r="241" spans="1:8" x14ac:dyDescent="0.25">
      <c r="A241" s="22">
        <v>41892.552083333336</v>
      </c>
      <c r="B241" s="23">
        <v>458.5</v>
      </c>
      <c r="C241">
        <v>94.2</v>
      </c>
      <c r="D241">
        <v>10.1</v>
      </c>
      <c r="E241">
        <v>5.9</v>
      </c>
      <c r="G241" s="23">
        <f t="shared" si="27"/>
        <v>10</v>
      </c>
      <c r="H241" s="23">
        <f t="shared" si="28"/>
        <v>13</v>
      </c>
    </row>
    <row r="242" spans="1:8" x14ac:dyDescent="0.25">
      <c r="A242" s="22">
        <v>41892.555555555555</v>
      </c>
      <c r="B242" s="23">
        <v>460.1</v>
      </c>
      <c r="C242">
        <v>94.2</v>
      </c>
      <c r="D242">
        <v>10.1</v>
      </c>
      <c r="E242">
        <v>5.9</v>
      </c>
      <c r="G242" s="23">
        <f t="shared" si="27"/>
        <v>10</v>
      </c>
      <c r="H242" s="23">
        <f t="shared" si="28"/>
        <v>13</v>
      </c>
    </row>
    <row r="243" spans="1:8" x14ac:dyDescent="0.25">
      <c r="A243" s="22">
        <v>41892.559027777781</v>
      </c>
      <c r="B243" s="23">
        <v>459.7</v>
      </c>
      <c r="C243">
        <v>94.2</v>
      </c>
      <c r="D243">
        <v>10.1</v>
      </c>
      <c r="E243">
        <v>5.9</v>
      </c>
      <c r="G243" s="23">
        <f t="shared" si="27"/>
        <v>10</v>
      </c>
      <c r="H243" s="23">
        <f t="shared" si="28"/>
        <v>13</v>
      </c>
    </row>
    <row r="244" spans="1:8" x14ac:dyDescent="0.25">
      <c r="A244" s="22">
        <v>41892.5625</v>
      </c>
      <c r="B244" s="23">
        <v>460.5</v>
      </c>
      <c r="C244">
        <v>94.3</v>
      </c>
      <c r="D244">
        <v>10.3</v>
      </c>
      <c r="E244">
        <v>6.1</v>
      </c>
      <c r="G244" s="23">
        <f t="shared" si="27"/>
        <v>10</v>
      </c>
      <c r="H244" s="23">
        <f t="shared" si="28"/>
        <v>13</v>
      </c>
    </row>
    <row r="245" spans="1:8" x14ac:dyDescent="0.25">
      <c r="A245" s="22">
        <v>41892.565972222219</v>
      </c>
      <c r="B245" s="23">
        <v>462.1</v>
      </c>
      <c r="C245">
        <v>94.2</v>
      </c>
      <c r="D245">
        <v>10.3</v>
      </c>
      <c r="E245">
        <v>6.1</v>
      </c>
      <c r="G245" s="23">
        <f t="shared" si="27"/>
        <v>10</v>
      </c>
      <c r="H245" s="23">
        <f t="shared" si="28"/>
        <v>13</v>
      </c>
    </row>
    <row r="246" spans="1:8" x14ac:dyDescent="0.25">
      <c r="A246" s="22">
        <v>41892.569444444445</v>
      </c>
      <c r="B246" s="23">
        <v>462.6</v>
      </c>
      <c r="C246">
        <v>94.1</v>
      </c>
      <c r="D246">
        <v>10.3</v>
      </c>
      <c r="E246">
        <v>6.1</v>
      </c>
      <c r="G246" s="23">
        <f t="shared" si="27"/>
        <v>10</v>
      </c>
      <c r="H246" s="23">
        <f t="shared" si="28"/>
        <v>13</v>
      </c>
    </row>
    <row r="247" spans="1:8" x14ac:dyDescent="0.25">
      <c r="A247" s="22">
        <v>41892.572916666664</v>
      </c>
      <c r="B247" s="23">
        <v>463.4</v>
      </c>
      <c r="C247">
        <v>94.3</v>
      </c>
      <c r="D247">
        <v>10.4</v>
      </c>
      <c r="E247">
        <v>6.1</v>
      </c>
      <c r="G247" s="23">
        <f t="shared" si="27"/>
        <v>10</v>
      </c>
      <c r="H247" s="23">
        <f t="shared" si="28"/>
        <v>13</v>
      </c>
    </row>
    <row r="248" spans="1:8" x14ac:dyDescent="0.25">
      <c r="A248" s="22">
        <v>41892.576388888891</v>
      </c>
      <c r="B248" s="23">
        <v>463</v>
      </c>
      <c r="C248">
        <v>94.4</v>
      </c>
      <c r="D248">
        <v>10.4</v>
      </c>
      <c r="E248">
        <v>6.2</v>
      </c>
      <c r="G248" s="23">
        <f t="shared" si="27"/>
        <v>10</v>
      </c>
      <c r="H248" s="23">
        <f t="shared" si="28"/>
        <v>13</v>
      </c>
    </row>
    <row r="249" spans="1:8" x14ac:dyDescent="0.25">
      <c r="A249" s="22">
        <v>41892.579861111109</v>
      </c>
      <c r="B249" s="23">
        <v>460.2</v>
      </c>
      <c r="C249">
        <v>94.3</v>
      </c>
      <c r="D249">
        <v>10.4</v>
      </c>
      <c r="E249">
        <v>6.2</v>
      </c>
      <c r="G249" s="23">
        <f t="shared" si="27"/>
        <v>10</v>
      </c>
      <c r="H249" s="23">
        <f t="shared" si="28"/>
        <v>13</v>
      </c>
    </row>
    <row r="250" spans="1:8" x14ac:dyDescent="0.25">
      <c r="A250" s="22">
        <v>41892.583333333336</v>
      </c>
      <c r="B250" s="23">
        <v>461.2</v>
      </c>
      <c r="C250">
        <v>94.2</v>
      </c>
      <c r="D250">
        <v>10.4</v>
      </c>
      <c r="E250">
        <v>6.2</v>
      </c>
      <c r="G250" s="23">
        <f t="shared" si="27"/>
        <v>10</v>
      </c>
      <c r="H250" s="23">
        <f t="shared" si="28"/>
        <v>14</v>
      </c>
    </row>
    <row r="251" spans="1:8" x14ac:dyDescent="0.25">
      <c r="A251" s="22">
        <v>41892.586805555555</v>
      </c>
      <c r="B251" s="23">
        <v>462.6</v>
      </c>
      <c r="C251">
        <v>94.3</v>
      </c>
      <c r="D251">
        <v>10.4</v>
      </c>
      <c r="E251">
        <v>6.2</v>
      </c>
      <c r="G251" s="23">
        <f t="shared" si="27"/>
        <v>10</v>
      </c>
      <c r="H251" s="23">
        <f t="shared" si="28"/>
        <v>14</v>
      </c>
    </row>
    <row r="252" spans="1:8" x14ac:dyDescent="0.25">
      <c r="A252" s="22">
        <v>41892.590277777781</v>
      </c>
      <c r="B252" s="23">
        <v>463.6</v>
      </c>
      <c r="C252">
        <v>94.3</v>
      </c>
      <c r="D252">
        <v>10.5</v>
      </c>
      <c r="E252">
        <v>6.3</v>
      </c>
      <c r="G252" s="23">
        <f t="shared" si="27"/>
        <v>10</v>
      </c>
      <c r="H252" s="23">
        <f t="shared" si="28"/>
        <v>14</v>
      </c>
    </row>
    <row r="253" spans="1:8" x14ac:dyDescent="0.25">
      <c r="A253" s="22">
        <v>41892.59375</v>
      </c>
      <c r="B253" s="23">
        <v>462.6</v>
      </c>
      <c r="C253">
        <v>94.3</v>
      </c>
      <c r="D253">
        <v>10.6</v>
      </c>
      <c r="E253">
        <v>6.3</v>
      </c>
      <c r="G253" s="23">
        <f t="shared" si="27"/>
        <v>10</v>
      </c>
      <c r="H253" s="23">
        <f t="shared" si="28"/>
        <v>14</v>
      </c>
    </row>
    <row r="254" spans="1:8" x14ac:dyDescent="0.25">
      <c r="A254" s="22">
        <v>41892.597222222219</v>
      </c>
      <c r="B254" s="23">
        <v>458.3</v>
      </c>
      <c r="C254">
        <v>94.3</v>
      </c>
      <c r="D254">
        <v>10.6</v>
      </c>
      <c r="E254">
        <v>6.4</v>
      </c>
      <c r="G254" s="23">
        <f t="shared" si="27"/>
        <v>10</v>
      </c>
      <c r="H254" s="23">
        <f t="shared" si="28"/>
        <v>14</v>
      </c>
    </row>
    <row r="255" spans="1:8" x14ac:dyDescent="0.25">
      <c r="A255" s="22">
        <v>41892.600694444445</v>
      </c>
      <c r="B255" s="23">
        <v>456.4</v>
      </c>
      <c r="C255">
        <v>94.3</v>
      </c>
      <c r="D255">
        <v>10.6</v>
      </c>
      <c r="E255">
        <v>6.5</v>
      </c>
      <c r="G255" s="23">
        <f t="shared" si="27"/>
        <v>10</v>
      </c>
      <c r="H255" s="23">
        <f t="shared" si="28"/>
        <v>14</v>
      </c>
    </row>
    <row r="256" spans="1:8" x14ac:dyDescent="0.25">
      <c r="A256" s="22">
        <v>41892.604166666664</v>
      </c>
      <c r="B256" s="23">
        <v>458.8</v>
      </c>
      <c r="C256">
        <v>94.4</v>
      </c>
      <c r="D256">
        <v>10.7</v>
      </c>
      <c r="E256">
        <v>6.5</v>
      </c>
      <c r="G256" s="23">
        <f t="shared" si="27"/>
        <v>10</v>
      </c>
      <c r="H256" s="23">
        <f t="shared" si="28"/>
        <v>14</v>
      </c>
    </row>
    <row r="257" spans="1:8" x14ac:dyDescent="0.25">
      <c r="A257" s="22">
        <v>41892.607638888891</v>
      </c>
      <c r="B257" s="23">
        <v>456.6</v>
      </c>
      <c r="C257">
        <v>94.4</v>
      </c>
      <c r="D257">
        <v>10.7</v>
      </c>
      <c r="E257">
        <v>6.6</v>
      </c>
      <c r="G257" s="23">
        <f t="shared" si="27"/>
        <v>10</v>
      </c>
      <c r="H257" s="23">
        <f t="shared" si="28"/>
        <v>14</v>
      </c>
    </row>
    <row r="258" spans="1:8" x14ac:dyDescent="0.25">
      <c r="A258" s="22">
        <v>41892.611111111109</v>
      </c>
      <c r="B258" s="23">
        <v>455.8</v>
      </c>
      <c r="C258">
        <v>94.3</v>
      </c>
      <c r="D258">
        <v>10.8</v>
      </c>
      <c r="E258">
        <v>6.6</v>
      </c>
      <c r="G258" s="23">
        <f t="shared" si="27"/>
        <v>10</v>
      </c>
      <c r="H258" s="23">
        <f t="shared" si="28"/>
        <v>14</v>
      </c>
    </row>
    <row r="259" spans="1:8" x14ac:dyDescent="0.25">
      <c r="A259" s="22">
        <v>41892.614583333336</v>
      </c>
      <c r="B259" s="23">
        <v>457.3</v>
      </c>
      <c r="C259">
        <v>94.3</v>
      </c>
      <c r="D259">
        <v>10.8</v>
      </c>
      <c r="E259">
        <v>6.6</v>
      </c>
      <c r="G259" s="23">
        <f t="shared" si="27"/>
        <v>10</v>
      </c>
      <c r="H259" s="23">
        <f t="shared" si="28"/>
        <v>14</v>
      </c>
    </row>
    <row r="260" spans="1:8" x14ac:dyDescent="0.25">
      <c r="A260" s="22">
        <v>41892.618055555555</v>
      </c>
      <c r="B260" s="23">
        <v>457.5</v>
      </c>
      <c r="C260">
        <v>94.3</v>
      </c>
      <c r="D260">
        <v>10.8</v>
      </c>
      <c r="E260">
        <v>6.6</v>
      </c>
      <c r="G260" s="23">
        <f t="shared" si="27"/>
        <v>10</v>
      </c>
      <c r="H260" s="23">
        <f t="shared" si="28"/>
        <v>14</v>
      </c>
    </row>
    <row r="261" spans="1:8" x14ac:dyDescent="0.25">
      <c r="A261" s="22">
        <v>41892.621527777781</v>
      </c>
      <c r="B261" s="23">
        <v>456.3</v>
      </c>
      <c r="C261">
        <v>94.4</v>
      </c>
      <c r="D261">
        <v>10.8</v>
      </c>
      <c r="E261">
        <v>6.7</v>
      </c>
      <c r="G261" s="23">
        <f t="shared" si="27"/>
        <v>10</v>
      </c>
      <c r="H261" s="23">
        <f t="shared" si="28"/>
        <v>14</v>
      </c>
    </row>
    <row r="262" spans="1:8" x14ac:dyDescent="0.25">
      <c r="A262" s="22">
        <v>41892.625</v>
      </c>
      <c r="B262" s="23">
        <v>457.5</v>
      </c>
      <c r="C262">
        <v>94.4</v>
      </c>
      <c r="D262">
        <v>10.8</v>
      </c>
      <c r="E262">
        <v>6.7</v>
      </c>
      <c r="G262" s="23">
        <f t="shared" ref="G262:G325" si="29">+DAY(A262)</f>
        <v>10</v>
      </c>
      <c r="H262" s="23">
        <f t="shared" ref="H262:H325" si="30">+HOUR(A262)</f>
        <v>15</v>
      </c>
    </row>
    <row r="263" spans="1:8" x14ac:dyDescent="0.25">
      <c r="A263" s="22">
        <v>41892.628472222219</v>
      </c>
      <c r="B263" s="23">
        <v>458.5</v>
      </c>
      <c r="C263">
        <v>94.3</v>
      </c>
      <c r="D263">
        <v>10.8</v>
      </c>
      <c r="E263">
        <v>6.7</v>
      </c>
      <c r="G263" s="23">
        <f t="shared" si="29"/>
        <v>10</v>
      </c>
      <c r="H263" s="23">
        <f t="shared" si="30"/>
        <v>15</v>
      </c>
    </row>
    <row r="264" spans="1:8" x14ac:dyDescent="0.25">
      <c r="A264" s="22">
        <v>41892.631944444445</v>
      </c>
      <c r="B264" s="23">
        <v>460</v>
      </c>
      <c r="C264">
        <v>94.2</v>
      </c>
      <c r="D264">
        <v>10.9</v>
      </c>
      <c r="E264">
        <v>6.7</v>
      </c>
      <c r="G264" s="23">
        <f t="shared" si="29"/>
        <v>10</v>
      </c>
      <c r="H264" s="23">
        <f t="shared" si="30"/>
        <v>15</v>
      </c>
    </row>
    <row r="265" spans="1:8" x14ac:dyDescent="0.25">
      <c r="A265" s="22">
        <v>41892.635416666664</v>
      </c>
      <c r="B265" s="23">
        <v>461</v>
      </c>
      <c r="C265">
        <v>94.4</v>
      </c>
      <c r="D265">
        <v>10.9</v>
      </c>
      <c r="E265">
        <v>6.7</v>
      </c>
      <c r="G265" s="23">
        <f t="shared" si="29"/>
        <v>10</v>
      </c>
      <c r="H265" s="23">
        <f t="shared" si="30"/>
        <v>15</v>
      </c>
    </row>
    <row r="266" spans="1:8" x14ac:dyDescent="0.25">
      <c r="A266" s="22">
        <v>41892.638888888891</v>
      </c>
      <c r="B266" s="23">
        <v>455.2</v>
      </c>
      <c r="C266">
        <v>94.3</v>
      </c>
      <c r="D266">
        <v>10.6</v>
      </c>
      <c r="E266">
        <v>6.5</v>
      </c>
      <c r="G266" s="23">
        <f t="shared" si="29"/>
        <v>10</v>
      </c>
      <c r="H266" s="23">
        <f t="shared" si="30"/>
        <v>15</v>
      </c>
    </row>
    <row r="267" spans="1:8" x14ac:dyDescent="0.25">
      <c r="A267" s="22">
        <v>41892.642361111109</v>
      </c>
      <c r="B267" s="23">
        <v>455.7</v>
      </c>
      <c r="C267">
        <v>94.2</v>
      </c>
      <c r="D267">
        <v>10.4</v>
      </c>
      <c r="E267">
        <v>6.2</v>
      </c>
      <c r="G267" s="23">
        <f t="shared" si="29"/>
        <v>10</v>
      </c>
      <c r="H267" s="23">
        <f t="shared" si="30"/>
        <v>15</v>
      </c>
    </row>
    <row r="268" spans="1:8" x14ac:dyDescent="0.25">
      <c r="A268" s="22">
        <v>41892.645833333336</v>
      </c>
      <c r="B268" s="23">
        <v>454.3</v>
      </c>
      <c r="C268">
        <v>94.2</v>
      </c>
      <c r="D268">
        <v>10.3</v>
      </c>
      <c r="E268">
        <v>6.2</v>
      </c>
      <c r="G268" s="23">
        <f t="shared" si="29"/>
        <v>10</v>
      </c>
      <c r="H268" s="23">
        <f t="shared" si="30"/>
        <v>15</v>
      </c>
    </row>
    <row r="269" spans="1:8" x14ac:dyDescent="0.25">
      <c r="A269" s="22">
        <v>41892.649305555555</v>
      </c>
      <c r="B269" s="23">
        <v>457.6</v>
      </c>
      <c r="C269">
        <v>94.2</v>
      </c>
      <c r="D269">
        <v>10.199999999999999</v>
      </c>
      <c r="E269">
        <v>6.1</v>
      </c>
      <c r="G269" s="23">
        <f t="shared" si="29"/>
        <v>10</v>
      </c>
      <c r="H269" s="23">
        <f t="shared" si="30"/>
        <v>15</v>
      </c>
    </row>
    <row r="270" spans="1:8" x14ac:dyDescent="0.25">
      <c r="A270" s="22">
        <v>41892.652777777781</v>
      </c>
      <c r="B270" s="23">
        <v>456.5</v>
      </c>
      <c r="C270">
        <v>94.4</v>
      </c>
      <c r="D270">
        <v>10.3</v>
      </c>
      <c r="E270">
        <v>6.1</v>
      </c>
      <c r="G270" s="23">
        <f t="shared" si="29"/>
        <v>10</v>
      </c>
      <c r="H270" s="23">
        <f t="shared" si="30"/>
        <v>15</v>
      </c>
    </row>
    <row r="271" spans="1:8" x14ac:dyDescent="0.25">
      <c r="A271" s="22">
        <v>41892.65625</v>
      </c>
      <c r="B271" s="23">
        <v>458.1</v>
      </c>
      <c r="C271">
        <v>94.3</v>
      </c>
      <c r="D271">
        <v>10.199999999999999</v>
      </c>
      <c r="E271">
        <v>6</v>
      </c>
      <c r="G271" s="23">
        <f t="shared" si="29"/>
        <v>10</v>
      </c>
      <c r="H271" s="23">
        <f t="shared" si="30"/>
        <v>15</v>
      </c>
    </row>
    <row r="272" spans="1:8" x14ac:dyDescent="0.25">
      <c r="A272" s="22">
        <v>41892.659722222219</v>
      </c>
      <c r="B272" s="23">
        <v>456.1</v>
      </c>
      <c r="C272">
        <v>94.2</v>
      </c>
      <c r="D272">
        <v>10.1</v>
      </c>
      <c r="E272">
        <v>5.9</v>
      </c>
      <c r="G272" s="23">
        <f t="shared" si="29"/>
        <v>10</v>
      </c>
      <c r="H272" s="23">
        <f t="shared" si="30"/>
        <v>15</v>
      </c>
    </row>
    <row r="273" spans="1:8" x14ac:dyDescent="0.25">
      <c r="A273" s="22">
        <v>41892.663194444445</v>
      </c>
      <c r="B273" s="23">
        <v>454.8</v>
      </c>
      <c r="C273">
        <v>94.3</v>
      </c>
      <c r="D273">
        <v>10</v>
      </c>
      <c r="E273">
        <v>5.9</v>
      </c>
      <c r="G273" s="23">
        <f t="shared" si="29"/>
        <v>10</v>
      </c>
      <c r="H273" s="23">
        <f t="shared" si="30"/>
        <v>15</v>
      </c>
    </row>
    <row r="274" spans="1:8" x14ac:dyDescent="0.25">
      <c r="A274" s="22">
        <v>41892.666666666664</v>
      </c>
      <c r="B274" s="23">
        <v>455.8</v>
      </c>
      <c r="C274">
        <v>94.3</v>
      </c>
      <c r="D274">
        <v>10</v>
      </c>
      <c r="E274">
        <v>5.8</v>
      </c>
      <c r="G274" s="23">
        <f t="shared" si="29"/>
        <v>10</v>
      </c>
      <c r="H274" s="23">
        <f t="shared" si="30"/>
        <v>16</v>
      </c>
    </row>
    <row r="275" spans="1:8" x14ac:dyDescent="0.25">
      <c r="A275" s="22">
        <v>41892.670138888891</v>
      </c>
      <c r="B275" s="23">
        <v>454.1</v>
      </c>
      <c r="C275">
        <v>94.3</v>
      </c>
      <c r="D275">
        <v>9.9</v>
      </c>
      <c r="E275">
        <v>5.8</v>
      </c>
      <c r="G275" s="23">
        <f t="shared" si="29"/>
        <v>10</v>
      </c>
      <c r="H275" s="23">
        <f t="shared" si="30"/>
        <v>16</v>
      </c>
    </row>
    <row r="276" spans="1:8" x14ac:dyDescent="0.25">
      <c r="A276" s="22">
        <v>41892.673611111109</v>
      </c>
      <c r="B276" s="23">
        <v>448.3</v>
      </c>
      <c r="C276">
        <v>94.2</v>
      </c>
      <c r="D276">
        <v>9.9</v>
      </c>
      <c r="E276">
        <v>5.8</v>
      </c>
      <c r="G276" s="23">
        <f t="shared" si="29"/>
        <v>10</v>
      </c>
      <c r="H276" s="23">
        <f t="shared" si="30"/>
        <v>16</v>
      </c>
    </row>
    <row r="277" spans="1:8" x14ac:dyDescent="0.25">
      <c r="A277" s="22">
        <v>41892.677083333336</v>
      </c>
      <c r="B277" s="23">
        <v>444.2</v>
      </c>
      <c r="C277">
        <v>94.3</v>
      </c>
      <c r="D277">
        <v>9.8000000000000007</v>
      </c>
      <c r="E277">
        <v>5.8</v>
      </c>
      <c r="G277" s="23">
        <f t="shared" si="29"/>
        <v>10</v>
      </c>
      <c r="H277" s="23">
        <f t="shared" si="30"/>
        <v>16</v>
      </c>
    </row>
    <row r="278" spans="1:8" x14ac:dyDescent="0.25">
      <c r="A278" s="22">
        <v>41892.680555555555</v>
      </c>
      <c r="B278" s="23">
        <v>437.3</v>
      </c>
      <c r="C278">
        <v>94.3</v>
      </c>
      <c r="D278">
        <v>9.6999999999999993</v>
      </c>
      <c r="E278">
        <v>5.8</v>
      </c>
      <c r="G278" s="23">
        <f t="shared" si="29"/>
        <v>10</v>
      </c>
      <c r="H278" s="23">
        <f t="shared" si="30"/>
        <v>16</v>
      </c>
    </row>
    <row r="279" spans="1:8" x14ac:dyDescent="0.25">
      <c r="A279" s="22">
        <v>41892.684027777781</v>
      </c>
      <c r="B279" s="23">
        <v>430.1</v>
      </c>
      <c r="C279">
        <v>94.2</v>
      </c>
      <c r="D279">
        <v>9.6999999999999993</v>
      </c>
      <c r="E279">
        <v>5.8</v>
      </c>
      <c r="G279" s="23">
        <f t="shared" si="29"/>
        <v>10</v>
      </c>
      <c r="H279" s="23">
        <f t="shared" si="30"/>
        <v>16</v>
      </c>
    </row>
    <row r="280" spans="1:8" x14ac:dyDescent="0.25">
      <c r="A280" s="22">
        <v>41892.6875</v>
      </c>
      <c r="B280" s="23">
        <v>423</v>
      </c>
      <c r="C280">
        <v>94.2</v>
      </c>
      <c r="D280">
        <v>9.6</v>
      </c>
      <c r="E280">
        <v>5.8</v>
      </c>
      <c r="G280" s="23">
        <f t="shared" si="29"/>
        <v>10</v>
      </c>
      <c r="H280" s="23">
        <f t="shared" si="30"/>
        <v>16</v>
      </c>
    </row>
    <row r="281" spans="1:8" x14ac:dyDescent="0.25">
      <c r="A281" s="22">
        <v>41892.690972222219</v>
      </c>
      <c r="B281" s="23">
        <v>413.3</v>
      </c>
      <c r="C281">
        <v>94.2</v>
      </c>
      <c r="D281">
        <v>9.5</v>
      </c>
      <c r="E281">
        <v>5.8</v>
      </c>
      <c r="G281" s="23">
        <f t="shared" si="29"/>
        <v>10</v>
      </c>
      <c r="H281" s="23">
        <f t="shared" si="30"/>
        <v>16</v>
      </c>
    </row>
    <row r="282" spans="1:8" x14ac:dyDescent="0.25">
      <c r="A282" s="22">
        <v>41892.694444444445</v>
      </c>
      <c r="B282" s="23">
        <v>408.1</v>
      </c>
      <c r="C282">
        <v>94.2</v>
      </c>
      <c r="D282">
        <v>9.5</v>
      </c>
      <c r="E282">
        <v>5.8</v>
      </c>
      <c r="G282" s="23">
        <f t="shared" si="29"/>
        <v>10</v>
      </c>
      <c r="H282" s="23">
        <f t="shared" si="30"/>
        <v>16</v>
      </c>
    </row>
    <row r="283" spans="1:8" x14ac:dyDescent="0.25">
      <c r="A283" s="22">
        <v>41892.697916666664</v>
      </c>
      <c r="B283" s="23">
        <v>405.6</v>
      </c>
      <c r="C283">
        <v>94.3</v>
      </c>
      <c r="D283">
        <v>9.5</v>
      </c>
      <c r="E283">
        <v>5.8</v>
      </c>
      <c r="G283" s="23">
        <f t="shared" si="29"/>
        <v>10</v>
      </c>
      <c r="H283" s="23">
        <f t="shared" si="30"/>
        <v>16</v>
      </c>
    </row>
    <row r="284" spans="1:8" x14ac:dyDescent="0.25">
      <c r="A284" s="22">
        <v>41892.701388888891</v>
      </c>
      <c r="B284" s="23">
        <v>403.6</v>
      </c>
      <c r="C284">
        <v>94.2</v>
      </c>
      <c r="D284">
        <v>9.5</v>
      </c>
      <c r="E284">
        <v>5.8</v>
      </c>
      <c r="G284" s="23">
        <f t="shared" si="29"/>
        <v>10</v>
      </c>
      <c r="H284" s="23">
        <f t="shared" si="30"/>
        <v>16</v>
      </c>
    </row>
    <row r="285" spans="1:8" x14ac:dyDescent="0.25">
      <c r="A285" s="22">
        <v>41892.704861111109</v>
      </c>
      <c r="B285" s="23">
        <v>404</v>
      </c>
      <c r="C285">
        <v>94.3</v>
      </c>
      <c r="D285">
        <v>9.5</v>
      </c>
      <c r="E285">
        <v>5.8</v>
      </c>
      <c r="G285" s="23">
        <f t="shared" si="29"/>
        <v>10</v>
      </c>
      <c r="H285" s="23">
        <f t="shared" si="30"/>
        <v>16</v>
      </c>
    </row>
    <row r="286" spans="1:8" x14ac:dyDescent="0.25">
      <c r="A286" s="22">
        <v>41892.708333333336</v>
      </c>
      <c r="B286" s="23">
        <v>403.1</v>
      </c>
      <c r="C286">
        <v>94.1</v>
      </c>
      <c r="D286">
        <v>9.4</v>
      </c>
      <c r="E286">
        <v>5.8</v>
      </c>
      <c r="G286" s="23">
        <f t="shared" si="29"/>
        <v>10</v>
      </c>
      <c r="H286" s="23">
        <f t="shared" si="30"/>
        <v>17</v>
      </c>
    </row>
    <row r="287" spans="1:8" x14ac:dyDescent="0.25">
      <c r="A287" s="22">
        <v>41892.711805555555</v>
      </c>
      <c r="B287" s="23">
        <v>405.5</v>
      </c>
      <c r="C287">
        <v>94.3</v>
      </c>
      <c r="D287">
        <v>9.5</v>
      </c>
      <c r="E287">
        <v>5.8</v>
      </c>
      <c r="G287" s="23">
        <f t="shared" si="29"/>
        <v>10</v>
      </c>
      <c r="H287" s="23">
        <f t="shared" si="30"/>
        <v>17</v>
      </c>
    </row>
    <row r="288" spans="1:8" x14ac:dyDescent="0.25">
      <c r="A288" s="22">
        <v>41892.715277777781</v>
      </c>
      <c r="B288" s="23">
        <v>404.6</v>
      </c>
      <c r="C288">
        <v>94.3</v>
      </c>
      <c r="D288">
        <v>9.5</v>
      </c>
      <c r="E288">
        <v>5.8</v>
      </c>
      <c r="G288" s="23">
        <f t="shared" si="29"/>
        <v>10</v>
      </c>
      <c r="H288" s="23">
        <f t="shared" si="30"/>
        <v>17</v>
      </c>
    </row>
    <row r="289" spans="1:8" x14ac:dyDescent="0.25">
      <c r="A289" s="22">
        <v>41892.71875</v>
      </c>
      <c r="B289" s="23">
        <v>402.8</v>
      </c>
      <c r="C289">
        <v>94.1</v>
      </c>
      <c r="D289">
        <v>9.4</v>
      </c>
      <c r="E289">
        <v>5.8</v>
      </c>
      <c r="G289" s="23">
        <f t="shared" si="29"/>
        <v>10</v>
      </c>
      <c r="H289" s="23">
        <f t="shared" si="30"/>
        <v>17</v>
      </c>
    </row>
    <row r="290" spans="1:8" x14ac:dyDescent="0.25">
      <c r="A290" s="22">
        <v>41892.722222222219</v>
      </c>
      <c r="B290" s="23">
        <v>411.7</v>
      </c>
      <c r="C290">
        <v>94.2</v>
      </c>
      <c r="D290">
        <v>9.6</v>
      </c>
      <c r="E290">
        <v>5.8</v>
      </c>
      <c r="G290" s="23">
        <f t="shared" si="29"/>
        <v>10</v>
      </c>
      <c r="H290" s="23">
        <f t="shared" si="30"/>
        <v>17</v>
      </c>
    </row>
    <row r="291" spans="1:8" x14ac:dyDescent="0.25">
      <c r="A291" s="22">
        <v>41892.725694444445</v>
      </c>
      <c r="B291" s="23">
        <v>424.7</v>
      </c>
      <c r="C291">
        <v>94.2</v>
      </c>
      <c r="D291">
        <v>9.6999999999999993</v>
      </c>
      <c r="E291">
        <v>5.8</v>
      </c>
      <c r="G291" s="23">
        <f t="shared" si="29"/>
        <v>10</v>
      </c>
      <c r="H291" s="23">
        <f t="shared" si="30"/>
        <v>17</v>
      </c>
    </row>
    <row r="292" spans="1:8" x14ac:dyDescent="0.25">
      <c r="A292" s="22">
        <v>41892.729166666664</v>
      </c>
      <c r="B292" s="23">
        <v>427.5</v>
      </c>
      <c r="C292">
        <v>94.3</v>
      </c>
      <c r="D292">
        <v>9.6999999999999993</v>
      </c>
      <c r="E292">
        <v>5.8</v>
      </c>
      <c r="G292" s="23">
        <f t="shared" si="29"/>
        <v>10</v>
      </c>
      <c r="H292" s="23">
        <f t="shared" si="30"/>
        <v>17</v>
      </c>
    </row>
    <row r="293" spans="1:8" x14ac:dyDescent="0.25">
      <c r="A293" s="22">
        <v>41892.732638888891</v>
      </c>
      <c r="B293" s="23">
        <v>430</v>
      </c>
      <c r="C293">
        <v>94.2</v>
      </c>
      <c r="D293">
        <v>9.6999999999999993</v>
      </c>
      <c r="E293">
        <v>5.8</v>
      </c>
      <c r="G293" s="23">
        <f t="shared" si="29"/>
        <v>10</v>
      </c>
      <c r="H293" s="23">
        <f t="shared" si="30"/>
        <v>17</v>
      </c>
    </row>
    <row r="294" spans="1:8" x14ac:dyDescent="0.25">
      <c r="A294" s="22">
        <v>41892.736111111109</v>
      </c>
      <c r="B294" s="23">
        <v>470.7</v>
      </c>
      <c r="C294">
        <v>94.2</v>
      </c>
      <c r="D294">
        <v>10.4</v>
      </c>
      <c r="E294">
        <v>6.1</v>
      </c>
      <c r="G294" s="23">
        <f t="shared" si="29"/>
        <v>10</v>
      </c>
      <c r="H294" s="23">
        <f t="shared" si="30"/>
        <v>17</v>
      </c>
    </row>
    <row r="295" spans="1:8" x14ac:dyDescent="0.25">
      <c r="A295" s="22">
        <v>41892.739583333336</v>
      </c>
      <c r="B295" s="23">
        <v>470</v>
      </c>
      <c r="C295">
        <v>94.3</v>
      </c>
      <c r="D295">
        <v>10.7</v>
      </c>
      <c r="E295">
        <v>6.4</v>
      </c>
      <c r="G295" s="23">
        <f t="shared" si="29"/>
        <v>10</v>
      </c>
      <c r="H295" s="23">
        <f t="shared" si="30"/>
        <v>17</v>
      </c>
    </row>
    <row r="296" spans="1:8" x14ac:dyDescent="0.25">
      <c r="A296" s="22">
        <v>41892.743055555555</v>
      </c>
      <c r="B296" s="23">
        <v>468.3</v>
      </c>
      <c r="C296">
        <v>94.4</v>
      </c>
      <c r="D296">
        <v>10.7</v>
      </c>
      <c r="E296">
        <v>6.4</v>
      </c>
      <c r="G296" s="23">
        <f t="shared" si="29"/>
        <v>10</v>
      </c>
      <c r="H296" s="23">
        <f t="shared" si="30"/>
        <v>17</v>
      </c>
    </row>
    <row r="297" spans="1:8" x14ac:dyDescent="0.25">
      <c r="A297" s="22">
        <v>41892.746527777781</v>
      </c>
      <c r="B297" s="23">
        <v>474.2</v>
      </c>
      <c r="C297">
        <v>94.3</v>
      </c>
      <c r="D297">
        <v>10.8</v>
      </c>
      <c r="E297">
        <v>6.4</v>
      </c>
      <c r="G297" s="23">
        <f t="shared" si="29"/>
        <v>10</v>
      </c>
      <c r="H297" s="23">
        <f t="shared" si="30"/>
        <v>17</v>
      </c>
    </row>
    <row r="298" spans="1:8" x14ac:dyDescent="0.25">
      <c r="A298" s="22">
        <v>41892.75</v>
      </c>
      <c r="B298" s="23">
        <v>471.5</v>
      </c>
      <c r="C298">
        <v>94.3</v>
      </c>
      <c r="D298">
        <v>10.8</v>
      </c>
      <c r="E298">
        <v>6.6</v>
      </c>
      <c r="G298" s="23">
        <f t="shared" si="29"/>
        <v>10</v>
      </c>
      <c r="H298" s="23">
        <f t="shared" si="30"/>
        <v>18</v>
      </c>
    </row>
    <row r="299" spans="1:8" x14ac:dyDescent="0.25">
      <c r="A299" s="22">
        <v>41892.753472222219</v>
      </c>
      <c r="B299" s="23">
        <v>474.1</v>
      </c>
      <c r="C299">
        <v>94.3</v>
      </c>
      <c r="D299">
        <v>10.9</v>
      </c>
      <c r="E299">
        <v>6.6</v>
      </c>
      <c r="G299" s="23">
        <f t="shared" si="29"/>
        <v>10</v>
      </c>
      <c r="H299" s="23">
        <f t="shared" si="30"/>
        <v>18</v>
      </c>
    </row>
    <row r="300" spans="1:8" x14ac:dyDescent="0.25">
      <c r="A300" s="22">
        <v>41892.756944444445</v>
      </c>
      <c r="B300" s="23">
        <v>474.9</v>
      </c>
      <c r="C300">
        <v>94.4</v>
      </c>
      <c r="D300">
        <v>11</v>
      </c>
      <c r="E300">
        <v>6.7</v>
      </c>
      <c r="G300" s="23">
        <f t="shared" si="29"/>
        <v>10</v>
      </c>
      <c r="H300" s="23">
        <f t="shared" si="30"/>
        <v>18</v>
      </c>
    </row>
    <row r="301" spans="1:8" x14ac:dyDescent="0.25">
      <c r="A301" s="22">
        <v>41892.760416666664</v>
      </c>
      <c r="B301" s="23">
        <v>475.7</v>
      </c>
      <c r="C301">
        <v>94.4</v>
      </c>
      <c r="D301">
        <v>11.1</v>
      </c>
      <c r="E301">
        <v>6.8</v>
      </c>
      <c r="G301" s="23">
        <f t="shared" si="29"/>
        <v>10</v>
      </c>
      <c r="H301" s="23">
        <f t="shared" si="30"/>
        <v>18</v>
      </c>
    </row>
    <row r="302" spans="1:8" x14ac:dyDescent="0.25">
      <c r="A302" s="22">
        <v>41892.763888888891</v>
      </c>
      <c r="B302" s="23">
        <v>474.1</v>
      </c>
      <c r="C302">
        <v>94.4</v>
      </c>
      <c r="D302">
        <v>11.1</v>
      </c>
      <c r="E302">
        <v>6.8</v>
      </c>
      <c r="G302" s="23">
        <f t="shared" si="29"/>
        <v>10</v>
      </c>
      <c r="H302" s="23">
        <f t="shared" si="30"/>
        <v>18</v>
      </c>
    </row>
    <row r="303" spans="1:8" x14ac:dyDescent="0.25">
      <c r="A303" s="22">
        <v>41892.767361111109</v>
      </c>
      <c r="B303" s="23">
        <v>475.5</v>
      </c>
      <c r="C303">
        <v>94.3</v>
      </c>
      <c r="D303">
        <v>11.1</v>
      </c>
      <c r="E303">
        <v>6.8</v>
      </c>
      <c r="G303" s="23">
        <f t="shared" si="29"/>
        <v>10</v>
      </c>
      <c r="H303" s="23">
        <f t="shared" si="30"/>
        <v>18</v>
      </c>
    </row>
    <row r="304" spans="1:8" x14ac:dyDescent="0.25">
      <c r="A304" s="22">
        <v>41892.770833333336</v>
      </c>
      <c r="B304" s="23">
        <v>478</v>
      </c>
      <c r="C304">
        <v>94.4</v>
      </c>
      <c r="D304">
        <v>11.2</v>
      </c>
      <c r="E304">
        <v>6.8</v>
      </c>
      <c r="G304" s="23">
        <f t="shared" si="29"/>
        <v>10</v>
      </c>
      <c r="H304" s="23">
        <f t="shared" si="30"/>
        <v>18</v>
      </c>
    </row>
    <row r="305" spans="1:8" x14ac:dyDescent="0.25">
      <c r="A305" s="22">
        <v>41892.774305555555</v>
      </c>
      <c r="B305" s="23">
        <v>476.8</v>
      </c>
      <c r="C305">
        <v>94.5</v>
      </c>
      <c r="D305">
        <v>11.2</v>
      </c>
      <c r="E305">
        <v>6.9</v>
      </c>
      <c r="G305" s="23">
        <f t="shared" si="29"/>
        <v>10</v>
      </c>
      <c r="H305" s="23">
        <f t="shared" si="30"/>
        <v>18</v>
      </c>
    </row>
    <row r="306" spans="1:8" x14ac:dyDescent="0.25">
      <c r="A306" s="22">
        <v>41892.777777777781</v>
      </c>
      <c r="B306" s="23">
        <v>480.5</v>
      </c>
      <c r="C306">
        <v>94.4</v>
      </c>
      <c r="D306">
        <v>11.4</v>
      </c>
      <c r="E306">
        <v>7</v>
      </c>
      <c r="G306" s="23">
        <f t="shared" si="29"/>
        <v>10</v>
      </c>
      <c r="H306" s="23">
        <f t="shared" si="30"/>
        <v>18</v>
      </c>
    </row>
    <row r="307" spans="1:8" x14ac:dyDescent="0.25">
      <c r="A307" s="22">
        <v>41892.78125</v>
      </c>
      <c r="B307" s="23">
        <v>476.1</v>
      </c>
      <c r="C307">
        <v>94.4</v>
      </c>
      <c r="D307">
        <v>11.4</v>
      </c>
      <c r="E307">
        <v>7.1</v>
      </c>
      <c r="G307" s="23">
        <f t="shared" si="29"/>
        <v>10</v>
      </c>
      <c r="H307" s="23">
        <f t="shared" si="30"/>
        <v>18</v>
      </c>
    </row>
    <row r="308" spans="1:8" x14ac:dyDescent="0.25">
      <c r="A308" s="22">
        <v>41892.784722222219</v>
      </c>
      <c r="B308" s="23">
        <v>480.3</v>
      </c>
      <c r="C308">
        <v>94.3</v>
      </c>
      <c r="D308">
        <v>11.4</v>
      </c>
      <c r="E308">
        <v>7</v>
      </c>
      <c r="G308" s="23">
        <f t="shared" si="29"/>
        <v>10</v>
      </c>
      <c r="H308" s="23">
        <f t="shared" si="30"/>
        <v>18</v>
      </c>
    </row>
    <row r="309" spans="1:8" x14ac:dyDescent="0.25">
      <c r="A309" s="22">
        <v>41892.788194444445</v>
      </c>
      <c r="B309" s="23">
        <v>481.6</v>
      </c>
      <c r="C309">
        <v>94.5</v>
      </c>
      <c r="D309">
        <v>11.4</v>
      </c>
      <c r="E309">
        <v>7.1</v>
      </c>
      <c r="G309" s="23">
        <f t="shared" si="29"/>
        <v>10</v>
      </c>
      <c r="H309" s="23">
        <f t="shared" si="30"/>
        <v>18</v>
      </c>
    </row>
    <row r="310" spans="1:8" x14ac:dyDescent="0.25">
      <c r="A310" s="22">
        <v>41892.791666666664</v>
      </c>
      <c r="B310" s="23">
        <v>480.3</v>
      </c>
      <c r="C310">
        <v>94.4</v>
      </c>
      <c r="D310">
        <v>11.5</v>
      </c>
      <c r="E310">
        <v>7.1</v>
      </c>
      <c r="G310" s="23">
        <f t="shared" si="29"/>
        <v>10</v>
      </c>
      <c r="H310" s="23">
        <f t="shared" si="30"/>
        <v>19</v>
      </c>
    </row>
    <row r="311" spans="1:8" x14ac:dyDescent="0.25">
      <c r="A311" s="22">
        <v>41892.795138888891</v>
      </c>
      <c r="B311" s="23">
        <v>479</v>
      </c>
      <c r="C311">
        <v>94.4</v>
      </c>
      <c r="D311">
        <v>11.5</v>
      </c>
      <c r="E311">
        <v>7.2</v>
      </c>
      <c r="G311" s="23">
        <f t="shared" si="29"/>
        <v>10</v>
      </c>
      <c r="H311" s="23">
        <f t="shared" si="30"/>
        <v>19</v>
      </c>
    </row>
    <row r="312" spans="1:8" x14ac:dyDescent="0.25">
      <c r="A312" s="22">
        <v>41892.798611111109</v>
      </c>
      <c r="B312" s="23">
        <v>478.9</v>
      </c>
      <c r="C312">
        <v>94.4</v>
      </c>
      <c r="D312">
        <v>11.6</v>
      </c>
      <c r="E312">
        <v>7.2</v>
      </c>
      <c r="G312" s="23">
        <f t="shared" si="29"/>
        <v>10</v>
      </c>
      <c r="H312" s="23">
        <f t="shared" si="30"/>
        <v>19</v>
      </c>
    </row>
    <row r="313" spans="1:8" x14ac:dyDescent="0.25">
      <c r="A313" s="22">
        <v>41892.802083333336</v>
      </c>
      <c r="B313" s="23">
        <v>482</v>
      </c>
      <c r="C313">
        <v>94.5</v>
      </c>
      <c r="D313">
        <v>11.6</v>
      </c>
      <c r="E313">
        <v>7.2</v>
      </c>
      <c r="G313" s="23">
        <f t="shared" si="29"/>
        <v>10</v>
      </c>
      <c r="H313" s="23">
        <f t="shared" si="30"/>
        <v>19</v>
      </c>
    </row>
    <row r="314" spans="1:8" x14ac:dyDescent="0.25">
      <c r="A314" s="22">
        <v>41892.805555555555</v>
      </c>
      <c r="B314" s="23">
        <v>483.5</v>
      </c>
      <c r="C314">
        <v>94.5</v>
      </c>
      <c r="D314">
        <v>11.6</v>
      </c>
      <c r="E314">
        <v>7.2</v>
      </c>
      <c r="G314" s="23">
        <f t="shared" si="29"/>
        <v>10</v>
      </c>
      <c r="H314" s="23">
        <f t="shared" si="30"/>
        <v>19</v>
      </c>
    </row>
    <row r="315" spans="1:8" x14ac:dyDescent="0.25">
      <c r="A315" s="22">
        <v>41892.809027777781</v>
      </c>
      <c r="B315" s="23">
        <v>483.1</v>
      </c>
      <c r="C315">
        <v>94.4</v>
      </c>
      <c r="D315">
        <v>11.6</v>
      </c>
      <c r="E315">
        <v>7.2</v>
      </c>
      <c r="G315" s="23">
        <f t="shared" si="29"/>
        <v>10</v>
      </c>
      <c r="H315" s="23">
        <f t="shared" si="30"/>
        <v>19</v>
      </c>
    </row>
    <row r="316" spans="1:8" x14ac:dyDescent="0.25">
      <c r="A316" s="22">
        <v>41892.8125</v>
      </c>
      <c r="B316" s="23">
        <v>483.4</v>
      </c>
      <c r="C316">
        <v>94.4</v>
      </c>
      <c r="D316">
        <v>11.7</v>
      </c>
      <c r="E316">
        <v>7.3</v>
      </c>
      <c r="G316" s="23">
        <f t="shared" si="29"/>
        <v>10</v>
      </c>
      <c r="H316" s="23">
        <f t="shared" si="30"/>
        <v>19</v>
      </c>
    </row>
    <row r="317" spans="1:8" x14ac:dyDescent="0.25">
      <c r="A317" s="22">
        <v>41892.815972222219</v>
      </c>
      <c r="B317" s="23">
        <v>485.4</v>
      </c>
      <c r="C317">
        <v>94.6</v>
      </c>
      <c r="D317">
        <v>11.7</v>
      </c>
      <c r="E317">
        <v>7.3</v>
      </c>
      <c r="G317" s="23">
        <f t="shared" si="29"/>
        <v>10</v>
      </c>
      <c r="H317" s="23">
        <f t="shared" si="30"/>
        <v>19</v>
      </c>
    </row>
    <row r="318" spans="1:8" x14ac:dyDescent="0.25">
      <c r="A318" s="22">
        <v>41892.819444444445</v>
      </c>
      <c r="B318" s="23">
        <v>488.2</v>
      </c>
      <c r="C318">
        <v>94.4</v>
      </c>
      <c r="D318">
        <v>11.7</v>
      </c>
      <c r="E318">
        <v>7.3</v>
      </c>
      <c r="G318" s="23">
        <f t="shared" si="29"/>
        <v>10</v>
      </c>
      <c r="H318" s="23">
        <f t="shared" si="30"/>
        <v>19</v>
      </c>
    </row>
    <row r="319" spans="1:8" x14ac:dyDescent="0.25">
      <c r="A319" s="22">
        <v>41892.822916666664</v>
      </c>
      <c r="B319" s="23">
        <v>487.4</v>
      </c>
      <c r="C319">
        <v>94.5</v>
      </c>
      <c r="D319">
        <v>11.7</v>
      </c>
      <c r="E319">
        <v>7.3</v>
      </c>
      <c r="G319" s="23">
        <f t="shared" si="29"/>
        <v>10</v>
      </c>
      <c r="H319" s="23">
        <f t="shared" si="30"/>
        <v>19</v>
      </c>
    </row>
    <row r="320" spans="1:8" x14ac:dyDescent="0.25">
      <c r="A320" s="22">
        <v>41892.826388888891</v>
      </c>
      <c r="B320" s="23">
        <v>488</v>
      </c>
      <c r="C320">
        <v>94.4</v>
      </c>
      <c r="D320">
        <v>11.7</v>
      </c>
      <c r="E320">
        <v>7.3</v>
      </c>
      <c r="G320" s="23">
        <f t="shared" si="29"/>
        <v>10</v>
      </c>
      <c r="H320" s="23">
        <f t="shared" si="30"/>
        <v>19</v>
      </c>
    </row>
    <row r="321" spans="1:8" x14ac:dyDescent="0.25">
      <c r="A321" s="22">
        <v>41892.829861111109</v>
      </c>
      <c r="B321" s="23">
        <v>485.8</v>
      </c>
      <c r="C321">
        <v>94.4</v>
      </c>
      <c r="D321">
        <v>11.7</v>
      </c>
      <c r="E321">
        <v>7.3</v>
      </c>
      <c r="G321" s="23">
        <f t="shared" si="29"/>
        <v>10</v>
      </c>
      <c r="H321" s="23">
        <f t="shared" si="30"/>
        <v>19</v>
      </c>
    </row>
    <row r="322" spans="1:8" x14ac:dyDescent="0.25">
      <c r="A322" s="22">
        <v>41892.833333333336</v>
      </c>
      <c r="B322" s="23">
        <v>486.6</v>
      </c>
      <c r="C322">
        <v>94.5</v>
      </c>
      <c r="D322">
        <v>11.7</v>
      </c>
      <c r="E322">
        <v>7.3</v>
      </c>
      <c r="G322" s="23">
        <f t="shared" si="29"/>
        <v>10</v>
      </c>
      <c r="H322" s="23">
        <f t="shared" si="30"/>
        <v>20</v>
      </c>
    </row>
    <row r="323" spans="1:8" x14ac:dyDescent="0.25">
      <c r="A323" s="22">
        <v>41892.836805555555</v>
      </c>
      <c r="B323" s="23">
        <v>486.3</v>
      </c>
      <c r="C323">
        <v>94.5</v>
      </c>
      <c r="D323">
        <v>11.7</v>
      </c>
      <c r="E323">
        <v>7.3</v>
      </c>
      <c r="G323" s="23">
        <f t="shared" si="29"/>
        <v>10</v>
      </c>
      <c r="H323" s="23">
        <f t="shared" si="30"/>
        <v>20</v>
      </c>
    </row>
    <row r="324" spans="1:8" x14ac:dyDescent="0.25">
      <c r="A324" s="22">
        <v>41892.840277777781</v>
      </c>
      <c r="B324" s="23">
        <v>487.6</v>
      </c>
      <c r="C324">
        <v>94.4</v>
      </c>
      <c r="D324">
        <v>11.7</v>
      </c>
      <c r="E324">
        <v>7.3</v>
      </c>
      <c r="G324" s="23">
        <f t="shared" si="29"/>
        <v>10</v>
      </c>
      <c r="H324" s="23">
        <f t="shared" si="30"/>
        <v>20</v>
      </c>
    </row>
    <row r="325" spans="1:8" x14ac:dyDescent="0.25">
      <c r="A325" s="22">
        <v>41892.84375</v>
      </c>
      <c r="B325" s="23">
        <v>488.7</v>
      </c>
      <c r="C325">
        <v>94.4</v>
      </c>
      <c r="D325">
        <v>11.7</v>
      </c>
      <c r="E325">
        <v>7.3</v>
      </c>
      <c r="G325" s="23">
        <f t="shared" si="29"/>
        <v>10</v>
      </c>
      <c r="H325" s="23">
        <f t="shared" si="30"/>
        <v>20</v>
      </c>
    </row>
    <row r="326" spans="1:8" x14ac:dyDescent="0.25">
      <c r="A326" s="22">
        <v>41892.847222222219</v>
      </c>
      <c r="B326" s="23">
        <v>487.1</v>
      </c>
      <c r="C326">
        <v>94.5</v>
      </c>
      <c r="D326">
        <v>11.7</v>
      </c>
      <c r="E326">
        <v>7.3</v>
      </c>
      <c r="G326" s="23">
        <f t="shared" ref="G326:G389" si="31">+DAY(A326)</f>
        <v>10</v>
      </c>
      <c r="H326" s="23">
        <f t="shared" ref="H326:H389" si="32">+HOUR(A326)</f>
        <v>20</v>
      </c>
    </row>
    <row r="327" spans="1:8" x14ac:dyDescent="0.25">
      <c r="A327" s="22">
        <v>41892.850694444445</v>
      </c>
      <c r="B327" s="23">
        <v>486.4</v>
      </c>
      <c r="C327">
        <v>94.5</v>
      </c>
      <c r="D327">
        <v>11.7</v>
      </c>
      <c r="E327">
        <v>7.3</v>
      </c>
      <c r="G327" s="23">
        <f t="shared" si="31"/>
        <v>10</v>
      </c>
      <c r="H327" s="23">
        <f t="shared" si="32"/>
        <v>20</v>
      </c>
    </row>
    <row r="328" spans="1:8" x14ac:dyDescent="0.25">
      <c r="A328" s="22">
        <v>41892.854166666664</v>
      </c>
      <c r="B328" s="23">
        <v>485.2</v>
      </c>
      <c r="C328">
        <v>94.4</v>
      </c>
      <c r="D328">
        <v>11.7</v>
      </c>
      <c r="E328">
        <v>7.3</v>
      </c>
      <c r="G328" s="23">
        <f t="shared" si="31"/>
        <v>10</v>
      </c>
      <c r="H328" s="23">
        <f t="shared" si="32"/>
        <v>20</v>
      </c>
    </row>
    <row r="329" spans="1:8" x14ac:dyDescent="0.25">
      <c r="A329" s="22">
        <v>41892.857638888891</v>
      </c>
      <c r="B329" s="23">
        <v>485.4</v>
      </c>
      <c r="C329">
        <v>94.5</v>
      </c>
      <c r="D329">
        <v>11.7</v>
      </c>
      <c r="E329">
        <v>7.3</v>
      </c>
      <c r="G329" s="23">
        <f t="shared" si="31"/>
        <v>10</v>
      </c>
      <c r="H329" s="23">
        <f t="shared" si="32"/>
        <v>20</v>
      </c>
    </row>
    <row r="330" spans="1:8" x14ac:dyDescent="0.25">
      <c r="A330" s="22">
        <v>41892.861111111109</v>
      </c>
      <c r="B330" s="23">
        <v>485.4</v>
      </c>
      <c r="C330">
        <v>94.5</v>
      </c>
      <c r="D330">
        <v>11.7</v>
      </c>
      <c r="E330">
        <v>7.3</v>
      </c>
      <c r="G330" s="23">
        <f t="shared" si="31"/>
        <v>10</v>
      </c>
      <c r="H330" s="23">
        <f t="shared" si="32"/>
        <v>20</v>
      </c>
    </row>
    <row r="331" spans="1:8" x14ac:dyDescent="0.25">
      <c r="A331" s="22">
        <v>41892.864583333336</v>
      </c>
      <c r="B331" s="23">
        <v>485.5</v>
      </c>
      <c r="C331">
        <v>94.5</v>
      </c>
      <c r="D331">
        <v>11.7</v>
      </c>
      <c r="E331">
        <v>7.3</v>
      </c>
      <c r="G331" s="23">
        <f t="shared" si="31"/>
        <v>10</v>
      </c>
      <c r="H331" s="23">
        <f t="shared" si="32"/>
        <v>20</v>
      </c>
    </row>
    <row r="332" spans="1:8" x14ac:dyDescent="0.25">
      <c r="A332" s="22">
        <v>41892.868055555555</v>
      </c>
      <c r="B332" s="23">
        <v>484.5</v>
      </c>
      <c r="C332">
        <v>94.5</v>
      </c>
      <c r="D332">
        <v>11.7</v>
      </c>
      <c r="E332">
        <v>7.3</v>
      </c>
      <c r="G332" s="23">
        <f t="shared" si="31"/>
        <v>10</v>
      </c>
      <c r="H332" s="23">
        <f t="shared" si="32"/>
        <v>20</v>
      </c>
    </row>
    <row r="333" spans="1:8" x14ac:dyDescent="0.25">
      <c r="A333" s="22">
        <v>41892.871527777781</v>
      </c>
      <c r="B333" s="23">
        <v>483.8</v>
      </c>
      <c r="C333">
        <v>94.4</v>
      </c>
      <c r="D333">
        <v>11.7</v>
      </c>
      <c r="E333">
        <v>7.3</v>
      </c>
      <c r="G333" s="23">
        <f t="shared" si="31"/>
        <v>10</v>
      </c>
      <c r="H333" s="23">
        <f t="shared" si="32"/>
        <v>20</v>
      </c>
    </row>
    <row r="334" spans="1:8" x14ac:dyDescent="0.25">
      <c r="A334" s="22">
        <v>41892.875</v>
      </c>
      <c r="B334" s="23">
        <v>485.4</v>
      </c>
      <c r="C334">
        <v>94.5</v>
      </c>
      <c r="D334">
        <v>11.7</v>
      </c>
      <c r="E334">
        <v>7.2</v>
      </c>
      <c r="G334" s="23">
        <f t="shared" si="31"/>
        <v>10</v>
      </c>
      <c r="H334" s="23">
        <f t="shared" si="32"/>
        <v>21</v>
      </c>
    </row>
    <row r="335" spans="1:8" x14ac:dyDescent="0.25">
      <c r="A335" s="22">
        <v>41892.878472222219</v>
      </c>
      <c r="B335" s="23">
        <v>487.2</v>
      </c>
      <c r="C335">
        <v>94.5</v>
      </c>
      <c r="D335">
        <v>11.7</v>
      </c>
      <c r="E335">
        <v>7.2</v>
      </c>
      <c r="G335" s="23">
        <f t="shared" si="31"/>
        <v>10</v>
      </c>
      <c r="H335" s="23">
        <f t="shared" si="32"/>
        <v>21</v>
      </c>
    </row>
    <row r="336" spans="1:8" x14ac:dyDescent="0.25">
      <c r="A336" s="22">
        <v>41892.881944444445</v>
      </c>
      <c r="B336" s="23">
        <v>486.4</v>
      </c>
      <c r="C336">
        <v>94.5</v>
      </c>
      <c r="D336">
        <v>11.7</v>
      </c>
      <c r="E336">
        <v>7.2</v>
      </c>
      <c r="G336" s="23">
        <f t="shared" si="31"/>
        <v>10</v>
      </c>
      <c r="H336" s="23">
        <f t="shared" si="32"/>
        <v>21</v>
      </c>
    </row>
    <row r="337" spans="1:8" x14ac:dyDescent="0.25">
      <c r="A337" s="22">
        <v>41892.885416666664</v>
      </c>
      <c r="B337" s="23">
        <v>488.5</v>
      </c>
      <c r="C337">
        <v>94.4</v>
      </c>
      <c r="D337">
        <v>11.7</v>
      </c>
      <c r="E337">
        <v>7.2</v>
      </c>
      <c r="G337" s="23">
        <f t="shared" si="31"/>
        <v>10</v>
      </c>
      <c r="H337" s="23">
        <f t="shared" si="32"/>
        <v>21</v>
      </c>
    </row>
    <row r="338" spans="1:8" x14ac:dyDescent="0.25">
      <c r="A338" s="22">
        <v>41892.888888888891</v>
      </c>
      <c r="B338" s="23">
        <v>488.7</v>
      </c>
      <c r="C338">
        <v>94.4</v>
      </c>
      <c r="D338">
        <v>11.7</v>
      </c>
      <c r="E338">
        <v>7.2</v>
      </c>
      <c r="G338" s="23">
        <f t="shared" si="31"/>
        <v>10</v>
      </c>
      <c r="H338" s="23">
        <f t="shared" si="32"/>
        <v>21</v>
      </c>
    </row>
    <row r="339" spans="1:8" x14ac:dyDescent="0.25">
      <c r="A339" s="22">
        <v>41892.892361111109</v>
      </c>
      <c r="B339" s="23">
        <v>488.9</v>
      </c>
      <c r="C339">
        <v>94.5</v>
      </c>
      <c r="D339">
        <v>11.7</v>
      </c>
      <c r="E339">
        <v>7.2</v>
      </c>
      <c r="G339" s="23">
        <f t="shared" si="31"/>
        <v>10</v>
      </c>
      <c r="H339" s="23">
        <f t="shared" si="32"/>
        <v>21</v>
      </c>
    </row>
    <row r="340" spans="1:8" x14ac:dyDescent="0.25">
      <c r="A340" s="22">
        <v>41892.895833333336</v>
      </c>
      <c r="B340" s="23">
        <v>486.5</v>
      </c>
      <c r="C340">
        <v>94.5</v>
      </c>
      <c r="D340">
        <v>11.6</v>
      </c>
      <c r="E340">
        <v>7.2</v>
      </c>
      <c r="G340" s="23">
        <f t="shared" si="31"/>
        <v>10</v>
      </c>
      <c r="H340" s="23">
        <f t="shared" si="32"/>
        <v>21</v>
      </c>
    </row>
    <row r="341" spans="1:8" x14ac:dyDescent="0.25">
      <c r="A341" s="22">
        <v>41892.899305555555</v>
      </c>
      <c r="B341" s="23">
        <v>487.3</v>
      </c>
      <c r="C341">
        <v>94.5</v>
      </c>
      <c r="D341">
        <v>11.6</v>
      </c>
      <c r="E341">
        <v>7.2</v>
      </c>
      <c r="G341" s="23">
        <f t="shared" si="31"/>
        <v>10</v>
      </c>
      <c r="H341" s="23">
        <f t="shared" si="32"/>
        <v>21</v>
      </c>
    </row>
    <row r="342" spans="1:8" x14ac:dyDescent="0.25">
      <c r="A342" s="22">
        <v>41892.902777777781</v>
      </c>
      <c r="B342" s="23">
        <v>487.1</v>
      </c>
      <c r="C342">
        <v>94.4</v>
      </c>
      <c r="D342">
        <v>11.6</v>
      </c>
      <c r="E342">
        <v>7.2</v>
      </c>
      <c r="G342" s="23">
        <f t="shared" si="31"/>
        <v>10</v>
      </c>
      <c r="H342" s="23">
        <f t="shared" si="32"/>
        <v>21</v>
      </c>
    </row>
    <row r="343" spans="1:8" x14ac:dyDescent="0.25">
      <c r="A343" s="22">
        <v>41892.90625</v>
      </c>
      <c r="B343" s="23">
        <v>486.8</v>
      </c>
      <c r="C343">
        <v>94.5</v>
      </c>
      <c r="D343">
        <v>11.6</v>
      </c>
      <c r="E343">
        <v>7.2</v>
      </c>
      <c r="G343" s="23">
        <f t="shared" si="31"/>
        <v>10</v>
      </c>
      <c r="H343" s="23">
        <f t="shared" si="32"/>
        <v>21</v>
      </c>
    </row>
    <row r="344" spans="1:8" x14ac:dyDescent="0.25">
      <c r="A344" s="22">
        <v>41892.909722222219</v>
      </c>
      <c r="B344" s="23">
        <v>487.7</v>
      </c>
      <c r="C344">
        <v>94.5</v>
      </c>
      <c r="D344">
        <v>11.6</v>
      </c>
      <c r="E344">
        <v>7.2</v>
      </c>
      <c r="G344" s="23">
        <f t="shared" si="31"/>
        <v>10</v>
      </c>
      <c r="H344" s="23">
        <f t="shared" si="32"/>
        <v>21</v>
      </c>
    </row>
    <row r="345" spans="1:8" x14ac:dyDescent="0.25">
      <c r="A345" s="22">
        <v>41892.913194444445</v>
      </c>
      <c r="B345" s="23">
        <v>488.4</v>
      </c>
      <c r="C345">
        <v>94.5</v>
      </c>
      <c r="D345">
        <v>11.6</v>
      </c>
      <c r="E345">
        <v>7.2</v>
      </c>
      <c r="G345" s="23">
        <f t="shared" si="31"/>
        <v>10</v>
      </c>
      <c r="H345" s="23">
        <f t="shared" si="32"/>
        <v>21</v>
      </c>
    </row>
    <row r="346" spans="1:8" x14ac:dyDescent="0.25">
      <c r="A346" s="22">
        <v>41892.916666666664</v>
      </c>
      <c r="B346" s="23">
        <v>488.4</v>
      </c>
      <c r="C346">
        <v>94.5</v>
      </c>
      <c r="D346">
        <v>11.6</v>
      </c>
      <c r="E346">
        <v>7.1</v>
      </c>
      <c r="G346" s="23">
        <f t="shared" si="31"/>
        <v>10</v>
      </c>
      <c r="H346" s="23">
        <f t="shared" si="32"/>
        <v>22</v>
      </c>
    </row>
    <row r="347" spans="1:8" x14ac:dyDescent="0.25">
      <c r="A347" s="22">
        <v>41892.920138888891</v>
      </c>
      <c r="B347" s="23">
        <v>487.8</v>
      </c>
      <c r="C347">
        <v>94.4</v>
      </c>
      <c r="D347">
        <v>11.6</v>
      </c>
      <c r="E347">
        <v>7.1</v>
      </c>
      <c r="G347" s="23">
        <f t="shared" si="31"/>
        <v>10</v>
      </c>
      <c r="H347" s="23">
        <f t="shared" si="32"/>
        <v>22</v>
      </c>
    </row>
    <row r="348" spans="1:8" x14ac:dyDescent="0.25">
      <c r="A348" s="22">
        <v>41892.923611111109</v>
      </c>
      <c r="B348" s="23">
        <v>488.6</v>
      </c>
      <c r="C348">
        <v>94.5</v>
      </c>
      <c r="D348">
        <v>11.6</v>
      </c>
      <c r="E348">
        <v>7.2</v>
      </c>
      <c r="G348" s="23">
        <f t="shared" si="31"/>
        <v>10</v>
      </c>
      <c r="H348" s="23">
        <f t="shared" si="32"/>
        <v>22</v>
      </c>
    </row>
    <row r="349" spans="1:8" x14ac:dyDescent="0.25">
      <c r="A349" s="22">
        <v>41892.927083333336</v>
      </c>
      <c r="B349" s="23">
        <v>489.6</v>
      </c>
      <c r="C349">
        <v>94.5</v>
      </c>
      <c r="D349">
        <v>11.6</v>
      </c>
      <c r="E349">
        <v>7.2</v>
      </c>
      <c r="G349" s="23">
        <f t="shared" si="31"/>
        <v>10</v>
      </c>
      <c r="H349" s="23">
        <f t="shared" si="32"/>
        <v>22</v>
      </c>
    </row>
    <row r="350" spans="1:8" x14ac:dyDescent="0.25">
      <c r="A350" s="22">
        <v>41892.930555555555</v>
      </c>
      <c r="B350" s="23">
        <v>488.7</v>
      </c>
      <c r="C350">
        <v>94.4</v>
      </c>
      <c r="D350">
        <v>11.6</v>
      </c>
      <c r="E350">
        <v>7.2</v>
      </c>
      <c r="G350" s="23">
        <f t="shared" si="31"/>
        <v>10</v>
      </c>
      <c r="H350" s="23">
        <f t="shared" si="32"/>
        <v>22</v>
      </c>
    </row>
    <row r="351" spans="1:8" x14ac:dyDescent="0.25">
      <c r="A351" s="22">
        <v>41892.934027777781</v>
      </c>
      <c r="B351" s="23">
        <v>488.9</v>
      </c>
      <c r="C351">
        <v>94.4</v>
      </c>
      <c r="D351">
        <v>11.6</v>
      </c>
      <c r="E351">
        <v>7.1</v>
      </c>
      <c r="G351" s="23">
        <f t="shared" si="31"/>
        <v>10</v>
      </c>
      <c r="H351" s="23">
        <f t="shared" si="32"/>
        <v>22</v>
      </c>
    </row>
    <row r="352" spans="1:8" x14ac:dyDescent="0.25">
      <c r="A352" s="22">
        <v>41892.9375</v>
      </c>
      <c r="B352" s="23">
        <v>491.5</v>
      </c>
      <c r="C352">
        <v>94.5</v>
      </c>
      <c r="D352">
        <v>11.6</v>
      </c>
      <c r="E352">
        <v>7.1</v>
      </c>
      <c r="G352" s="23">
        <f t="shared" si="31"/>
        <v>10</v>
      </c>
      <c r="H352" s="23">
        <f t="shared" si="32"/>
        <v>22</v>
      </c>
    </row>
    <row r="353" spans="1:8" x14ac:dyDescent="0.25">
      <c r="A353" s="22">
        <v>41892.940972222219</v>
      </c>
      <c r="B353" s="23">
        <v>492.4</v>
      </c>
      <c r="C353">
        <v>94.5</v>
      </c>
      <c r="D353">
        <v>11.5</v>
      </c>
      <c r="E353">
        <v>7.1</v>
      </c>
      <c r="G353" s="23">
        <f t="shared" si="31"/>
        <v>10</v>
      </c>
      <c r="H353" s="23">
        <f t="shared" si="32"/>
        <v>22</v>
      </c>
    </row>
    <row r="354" spans="1:8" x14ac:dyDescent="0.25">
      <c r="A354" s="22">
        <v>41892.944444444445</v>
      </c>
      <c r="B354" s="23">
        <v>492.8</v>
      </c>
      <c r="C354">
        <v>94.4</v>
      </c>
      <c r="D354">
        <v>11.5</v>
      </c>
      <c r="E354">
        <v>7</v>
      </c>
      <c r="G354" s="23">
        <f t="shared" si="31"/>
        <v>10</v>
      </c>
      <c r="H354" s="23">
        <f t="shared" si="32"/>
        <v>22</v>
      </c>
    </row>
    <row r="355" spans="1:8" x14ac:dyDescent="0.25">
      <c r="A355" s="22">
        <v>41892.947916666664</v>
      </c>
      <c r="B355" s="23">
        <v>492.4</v>
      </c>
      <c r="C355">
        <v>94.4</v>
      </c>
      <c r="D355">
        <v>11.4</v>
      </c>
      <c r="E355">
        <v>7</v>
      </c>
      <c r="G355" s="23">
        <f t="shared" si="31"/>
        <v>10</v>
      </c>
      <c r="H355" s="23">
        <f t="shared" si="32"/>
        <v>22</v>
      </c>
    </row>
    <row r="356" spans="1:8" x14ac:dyDescent="0.25">
      <c r="A356" s="22">
        <v>41892.951388888891</v>
      </c>
      <c r="B356" s="23">
        <v>484.1</v>
      </c>
      <c r="C356">
        <v>94.4</v>
      </c>
      <c r="D356">
        <v>11.2</v>
      </c>
      <c r="E356">
        <v>6.8</v>
      </c>
      <c r="G356" s="23">
        <f t="shared" si="31"/>
        <v>10</v>
      </c>
      <c r="H356" s="23">
        <f t="shared" si="32"/>
        <v>22</v>
      </c>
    </row>
    <row r="357" spans="1:8" x14ac:dyDescent="0.25">
      <c r="A357" s="22">
        <v>41892.954861111109</v>
      </c>
      <c r="B357" s="23">
        <v>491.5</v>
      </c>
      <c r="C357">
        <v>94.4</v>
      </c>
      <c r="D357">
        <v>11.1</v>
      </c>
      <c r="E357">
        <v>6.6</v>
      </c>
      <c r="G357" s="23">
        <f t="shared" si="31"/>
        <v>10</v>
      </c>
      <c r="H357" s="23">
        <f t="shared" si="32"/>
        <v>22</v>
      </c>
    </row>
    <row r="358" spans="1:8" x14ac:dyDescent="0.25">
      <c r="A358" s="22">
        <v>41892.958333333336</v>
      </c>
      <c r="B358" s="23">
        <v>486.3</v>
      </c>
      <c r="C358">
        <v>94.3</v>
      </c>
      <c r="D358">
        <v>10.9</v>
      </c>
      <c r="E358">
        <v>6.5</v>
      </c>
      <c r="G358" s="23">
        <f t="shared" si="31"/>
        <v>10</v>
      </c>
      <c r="H358" s="23">
        <f t="shared" si="32"/>
        <v>23</v>
      </c>
    </row>
    <row r="359" spans="1:8" x14ac:dyDescent="0.25">
      <c r="A359" s="22">
        <v>41892.961805555555</v>
      </c>
      <c r="B359" s="23">
        <v>483.6</v>
      </c>
      <c r="C359">
        <v>94.3</v>
      </c>
      <c r="D359">
        <v>10.7</v>
      </c>
      <c r="E359">
        <v>6.3</v>
      </c>
      <c r="G359" s="23">
        <f t="shared" si="31"/>
        <v>10</v>
      </c>
      <c r="H359" s="23">
        <f t="shared" si="32"/>
        <v>23</v>
      </c>
    </row>
    <row r="360" spans="1:8" x14ac:dyDescent="0.25">
      <c r="A360" s="22">
        <v>41892.965277777781</v>
      </c>
      <c r="B360" s="23">
        <v>484.4</v>
      </c>
      <c r="C360">
        <v>94.3</v>
      </c>
      <c r="D360">
        <v>10.6</v>
      </c>
      <c r="E360">
        <v>6.2</v>
      </c>
      <c r="G360" s="23">
        <f t="shared" si="31"/>
        <v>10</v>
      </c>
      <c r="H360" s="23">
        <f t="shared" si="32"/>
        <v>23</v>
      </c>
    </row>
    <row r="361" spans="1:8" x14ac:dyDescent="0.25">
      <c r="A361" s="22">
        <v>41892.96875</v>
      </c>
      <c r="B361" s="23">
        <v>484.7</v>
      </c>
      <c r="C361">
        <v>94.3</v>
      </c>
      <c r="D361">
        <v>10.4</v>
      </c>
      <c r="E361">
        <v>6</v>
      </c>
      <c r="G361" s="23">
        <f t="shared" si="31"/>
        <v>10</v>
      </c>
      <c r="H361" s="23">
        <f t="shared" si="32"/>
        <v>23</v>
      </c>
    </row>
    <row r="362" spans="1:8" x14ac:dyDescent="0.25">
      <c r="A362" s="22">
        <v>41892.972222222219</v>
      </c>
      <c r="B362" s="23">
        <v>483.3</v>
      </c>
      <c r="C362">
        <v>94.3</v>
      </c>
      <c r="D362">
        <v>10.3</v>
      </c>
      <c r="E362">
        <v>5.9</v>
      </c>
      <c r="G362" s="23">
        <f t="shared" si="31"/>
        <v>10</v>
      </c>
      <c r="H362" s="23">
        <f t="shared" si="32"/>
        <v>23</v>
      </c>
    </row>
    <row r="363" spans="1:8" x14ac:dyDescent="0.25">
      <c r="A363" s="22">
        <v>41892.975694444445</v>
      </c>
      <c r="B363" s="23">
        <v>480.8</v>
      </c>
      <c r="C363">
        <v>94.3</v>
      </c>
      <c r="D363">
        <v>10.199999999999999</v>
      </c>
      <c r="E363">
        <v>5.8</v>
      </c>
      <c r="G363" s="23">
        <f t="shared" si="31"/>
        <v>10</v>
      </c>
      <c r="H363" s="23">
        <f t="shared" si="32"/>
        <v>23</v>
      </c>
    </row>
    <row r="364" spans="1:8" x14ac:dyDescent="0.25">
      <c r="A364" s="22">
        <v>41892.979166666664</v>
      </c>
      <c r="B364" s="23">
        <v>473.8</v>
      </c>
      <c r="C364">
        <v>94.2</v>
      </c>
      <c r="D364">
        <v>10.1</v>
      </c>
      <c r="E364">
        <v>5.8</v>
      </c>
      <c r="G364" s="23">
        <f t="shared" si="31"/>
        <v>10</v>
      </c>
      <c r="H364" s="23">
        <f t="shared" si="32"/>
        <v>23</v>
      </c>
    </row>
    <row r="365" spans="1:8" x14ac:dyDescent="0.25">
      <c r="A365" s="22">
        <v>41892.982638888891</v>
      </c>
      <c r="B365" s="23">
        <v>462.3</v>
      </c>
      <c r="C365">
        <v>94.3</v>
      </c>
      <c r="D365">
        <v>10</v>
      </c>
      <c r="E365">
        <v>5.8</v>
      </c>
      <c r="G365" s="23">
        <f t="shared" si="31"/>
        <v>10</v>
      </c>
      <c r="H365" s="23">
        <f t="shared" si="32"/>
        <v>23</v>
      </c>
    </row>
    <row r="366" spans="1:8" x14ac:dyDescent="0.25">
      <c r="A366" s="22">
        <v>41892.986111111109</v>
      </c>
      <c r="B366" s="23">
        <v>451.9</v>
      </c>
      <c r="C366">
        <v>94.3</v>
      </c>
      <c r="D366">
        <v>9.9</v>
      </c>
      <c r="E366">
        <v>5.8</v>
      </c>
      <c r="G366" s="23">
        <f t="shared" si="31"/>
        <v>10</v>
      </c>
      <c r="H366" s="23">
        <f t="shared" si="32"/>
        <v>23</v>
      </c>
    </row>
    <row r="367" spans="1:8" x14ac:dyDescent="0.25">
      <c r="A367" s="22">
        <v>41892.989583333336</v>
      </c>
      <c r="B367" s="23">
        <v>441.9</v>
      </c>
      <c r="C367">
        <v>94.2</v>
      </c>
      <c r="D367">
        <v>9.8000000000000007</v>
      </c>
      <c r="E367">
        <v>5.8</v>
      </c>
      <c r="G367" s="23">
        <f t="shared" si="31"/>
        <v>10</v>
      </c>
      <c r="H367" s="23">
        <f t="shared" si="32"/>
        <v>23</v>
      </c>
    </row>
    <row r="368" spans="1:8" x14ac:dyDescent="0.25">
      <c r="A368" s="22">
        <v>41892.993055555555</v>
      </c>
      <c r="B368" s="23">
        <v>437.4</v>
      </c>
      <c r="C368">
        <v>94.2</v>
      </c>
      <c r="D368">
        <v>9.8000000000000007</v>
      </c>
      <c r="E368">
        <v>5.8</v>
      </c>
      <c r="G368" s="23">
        <f t="shared" si="31"/>
        <v>10</v>
      </c>
      <c r="H368" s="23">
        <f t="shared" si="32"/>
        <v>23</v>
      </c>
    </row>
    <row r="369" spans="1:8" x14ac:dyDescent="0.25">
      <c r="A369" s="22">
        <v>41892.996527777781</v>
      </c>
      <c r="B369" s="23">
        <v>433.9</v>
      </c>
      <c r="C369">
        <v>94.3</v>
      </c>
      <c r="D369">
        <v>9.6999999999999993</v>
      </c>
      <c r="E369">
        <v>5.8</v>
      </c>
      <c r="G369" s="23">
        <f t="shared" si="31"/>
        <v>10</v>
      </c>
      <c r="H369" s="23">
        <f t="shared" si="32"/>
        <v>23</v>
      </c>
    </row>
    <row r="370" spans="1:8" x14ac:dyDescent="0.25">
      <c r="A370" s="22">
        <v>41893</v>
      </c>
      <c r="B370" s="23">
        <v>430.1</v>
      </c>
      <c r="C370">
        <v>94.3</v>
      </c>
      <c r="D370">
        <v>9.6999999999999993</v>
      </c>
      <c r="E370">
        <v>5.8</v>
      </c>
      <c r="G370" s="23">
        <f t="shared" si="31"/>
        <v>11</v>
      </c>
      <c r="H370" s="23">
        <f t="shared" si="32"/>
        <v>0</v>
      </c>
    </row>
    <row r="371" spans="1:8" x14ac:dyDescent="0.25">
      <c r="A371" s="22">
        <v>41893.003472222219</v>
      </c>
      <c r="B371" s="23">
        <v>422.6</v>
      </c>
      <c r="C371">
        <v>94.3</v>
      </c>
      <c r="D371">
        <v>9.6</v>
      </c>
      <c r="E371">
        <v>5.8</v>
      </c>
      <c r="G371" s="23">
        <f t="shared" si="31"/>
        <v>11</v>
      </c>
      <c r="H371" s="23">
        <f t="shared" si="32"/>
        <v>0</v>
      </c>
    </row>
    <row r="372" spans="1:8" x14ac:dyDescent="0.25">
      <c r="A372" s="22">
        <v>41893.006944444445</v>
      </c>
      <c r="B372" s="23">
        <v>419.2</v>
      </c>
      <c r="C372">
        <v>94.3</v>
      </c>
      <c r="D372">
        <v>9.6</v>
      </c>
      <c r="E372">
        <v>5.8</v>
      </c>
      <c r="G372" s="23">
        <f t="shared" si="31"/>
        <v>11</v>
      </c>
      <c r="H372" s="23">
        <f t="shared" si="32"/>
        <v>0</v>
      </c>
    </row>
    <row r="373" spans="1:8" x14ac:dyDescent="0.25">
      <c r="A373" s="22">
        <v>41893.010416666664</v>
      </c>
      <c r="B373" s="23">
        <v>415.3</v>
      </c>
      <c r="C373">
        <v>94.3</v>
      </c>
      <c r="D373">
        <v>9.6</v>
      </c>
      <c r="E373">
        <v>5.8</v>
      </c>
      <c r="G373" s="23">
        <f t="shared" si="31"/>
        <v>11</v>
      </c>
      <c r="H373" s="23">
        <f t="shared" si="32"/>
        <v>0</v>
      </c>
    </row>
    <row r="374" spans="1:8" x14ac:dyDescent="0.25">
      <c r="A374" s="22">
        <v>41893.013888888891</v>
      </c>
      <c r="B374" s="23">
        <v>409.1</v>
      </c>
      <c r="C374">
        <v>94.2</v>
      </c>
      <c r="D374">
        <v>9.5</v>
      </c>
      <c r="E374">
        <v>5.8</v>
      </c>
      <c r="G374" s="23">
        <f t="shared" si="31"/>
        <v>11</v>
      </c>
      <c r="H374" s="23">
        <f t="shared" si="32"/>
        <v>0</v>
      </c>
    </row>
    <row r="375" spans="1:8" x14ac:dyDescent="0.25">
      <c r="A375" s="22">
        <v>41893.017361111109</v>
      </c>
      <c r="B375" s="23">
        <v>406.6</v>
      </c>
      <c r="C375">
        <v>94.4</v>
      </c>
      <c r="D375">
        <v>9.5</v>
      </c>
      <c r="E375">
        <v>5.8</v>
      </c>
      <c r="G375" s="23">
        <f t="shared" si="31"/>
        <v>11</v>
      </c>
      <c r="H375" s="23">
        <f t="shared" si="32"/>
        <v>0</v>
      </c>
    </row>
    <row r="376" spans="1:8" x14ac:dyDescent="0.25">
      <c r="A376" s="22">
        <v>41893.020833333336</v>
      </c>
      <c r="B376" s="23">
        <v>404.9</v>
      </c>
      <c r="C376">
        <v>94.3</v>
      </c>
      <c r="D376">
        <v>9.5</v>
      </c>
      <c r="E376">
        <v>5.8</v>
      </c>
      <c r="G376" s="23">
        <f t="shared" si="31"/>
        <v>11</v>
      </c>
      <c r="H376" s="23">
        <f t="shared" si="32"/>
        <v>0</v>
      </c>
    </row>
    <row r="377" spans="1:8" x14ac:dyDescent="0.25">
      <c r="A377" s="22">
        <v>41893.024305555555</v>
      </c>
      <c r="B377" s="23">
        <v>402.1</v>
      </c>
      <c r="C377">
        <v>94.3</v>
      </c>
      <c r="D377">
        <v>9.4</v>
      </c>
      <c r="E377">
        <v>5.8</v>
      </c>
      <c r="G377" s="23">
        <f t="shared" si="31"/>
        <v>11</v>
      </c>
      <c r="H377" s="23">
        <f t="shared" si="32"/>
        <v>0</v>
      </c>
    </row>
    <row r="378" spans="1:8" x14ac:dyDescent="0.25">
      <c r="A378" s="22">
        <v>41893.027777777781</v>
      </c>
      <c r="B378" s="23">
        <v>401.9</v>
      </c>
      <c r="C378">
        <v>94.3</v>
      </c>
      <c r="D378">
        <v>9.4</v>
      </c>
      <c r="E378">
        <v>5.8</v>
      </c>
      <c r="G378" s="23">
        <f t="shared" si="31"/>
        <v>11</v>
      </c>
      <c r="H378" s="23">
        <f t="shared" si="32"/>
        <v>0</v>
      </c>
    </row>
    <row r="379" spans="1:8" x14ac:dyDescent="0.25">
      <c r="A379" s="22">
        <v>41893.03125</v>
      </c>
      <c r="B379" s="23">
        <v>401.2</v>
      </c>
      <c r="C379">
        <v>94.4</v>
      </c>
      <c r="D379">
        <v>9.4</v>
      </c>
      <c r="E379">
        <v>5.8</v>
      </c>
      <c r="G379" s="23">
        <f t="shared" si="31"/>
        <v>11</v>
      </c>
      <c r="H379" s="23">
        <f t="shared" si="32"/>
        <v>0</v>
      </c>
    </row>
    <row r="380" spans="1:8" x14ac:dyDescent="0.25">
      <c r="A380" s="22">
        <v>41893.034722222219</v>
      </c>
      <c r="B380" s="23">
        <v>400.5</v>
      </c>
      <c r="C380">
        <v>94.3</v>
      </c>
      <c r="D380">
        <v>9.4</v>
      </c>
      <c r="E380">
        <v>5.8</v>
      </c>
      <c r="G380" s="23">
        <f t="shared" si="31"/>
        <v>11</v>
      </c>
      <c r="H380" s="23">
        <f t="shared" si="32"/>
        <v>0</v>
      </c>
    </row>
    <row r="381" spans="1:8" x14ac:dyDescent="0.25">
      <c r="A381" s="22">
        <v>41893.038194444445</v>
      </c>
      <c r="B381" s="23">
        <v>396</v>
      </c>
      <c r="C381">
        <v>94.2</v>
      </c>
      <c r="D381">
        <v>9.4</v>
      </c>
      <c r="E381">
        <v>5.8</v>
      </c>
      <c r="G381" s="23">
        <f t="shared" si="31"/>
        <v>11</v>
      </c>
      <c r="H381" s="23">
        <f t="shared" si="32"/>
        <v>0</v>
      </c>
    </row>
    <row r="382" spans="1:8" x14ac:dyDescent="0.25">
      <c r="A382" s="22">
        <v>41893.041666666664</v>
      </c>
      <c r="B382" s="23">
        <v>394.5</v>
      </c>
      <c r="C382">
        <v>94.3</v>
      </c>
      <c r="D382">
        <v>9.4</v>
      </c>
      <c r="E382">
        <v>5.8</v>
      </c>
      <c r="G382" s="23">
        <f t="shared" si="31"/>
        <v>11</v>
      </c>
      <c r="H382" s="23">
        <f t="shared" si="32"/>
        <v>1</v>
      </c>
    </row>
    <row r="383" spans="1:8" x14ac:dyDescent="0.25">
      <c r="A383" s="22">
        <v>41893.045138888891</v>
      </c>
      <c r="B383" s="23">
        <v>394</v>
      </c>
      <c r="C383">
        <v>94.4</v>
      </c>
      <c r="D383">
        <v>9.4</v>
      </c>
      <c r="E383">
        <v>5.8</v>
      </c>
      <c r="G383" s="23">
        <f t="shared" si="31"/>
        <v>11</v>
      </c>
      <c r="H383" s="23">
        <f t="shared" si="32"/>
        <v>1</v>
      </c>
    </row>
    <row r="384" spans="1:8" x14ac:dyDescent="0.25">
      <c r="A384" s="22">
        <v>41893.048611111109</v>
      </c>
      <c r="B384" s="23">
        <v>391</v>
      </c>
      <c r="C384">
        <v>94.3</v>
      </c>
      <c r="D384">
        <v>9.3000000000000007</v>
      </c>
      <c r="E384">
        <v>5.8</v>
      </c>
      <c r="G384" s="23">
        <f t="shared" si="31"/>
        <v>11</v>
      </c>
      <c r="H384" s="23">
        <f t="shared" si="32"/>
        <v>1</v>
      </c>
    </row>
    <row r="385" spans="1:8" x14ac:dyDescent="0.25">
      <c r="A385" s="22">
        <v>41893.052083333336</v>
      </c>
      <c r="B385" s="23">
        <v>391.1</v>
      </c>
      <c r="C385">
        <v>94.4</v>
      </c>
      <c r="D385">
        <v>9.3000000000000007</v>
      </c>
      <c r="E385">
        <v>5.8</v>
      </c>
      <c r="G385" s="23">
        <f t="shared" si="31"/>
        <v>11</v>
      </c>
      <c r="H385" s="23">
        <f t="shared" si="32"/>
        <v>1</v>
      </c>
    </row>
    <row r="386" spans="1:8" x14ac:dyDescent="0.25">
      <c r="A386" s="22">
        <v>41893.055555555555</v>
      </c>
      <c r="B386" s="23">
        <v>389.9</v>
      </c>
      <c r="C386">
        <v>94.3</v>
      </c>
      <c r="D386">
        <v>9.3000000000000007</v>
      </c>
      <c r="E386">
        <v>5.8</v>
      </c>
      <c r="G386" s="23">
        <f t="shared" si="31"/>
        <v>11</v>
      </c>
      <c r="H386" s="23">
        <f t="shared" si="32"/>
        <v>1</v>
      </c>
    </row>
    <row r="387" spans="1:8" x14ac:dyDescent="0.25">
      <c r="A387" s="22">
        <v>41893.059027777781</v>
      </c>
      <c r="B387" s="23">
        <v>389</v>
      </c>
      <c r="C387">
        <v>94.3</v>
      </c>
      <c r="D387">
        <v>9.3000000000000007</v>
      </c>
      <c r="E387">
        <v>5.8</v>
      </c>
      <c r="G387" s="23">
        <f t="shared" si="31"/>
        <v>11</v>
      </c>
      <c r="H387" s="23">
        <f t="shared" si="32"/>
        <v>1</v>
      </c>
    </row>
    <row r="388" spans="1:8" x14ac:dyDescent="0.25">
      <c r="A388" s="22">
        <v>41893.0625</v>
      </c>
      <c r="B388" s="23">
        <v>386</v>
      </c>
      <c r="C388">
        <v>94.4</v>
      </c>
      <c r="D388">
        <v>9.3000000000000007</v>
      </c>
      <c r="E388">
        <v>5.8</v>
      </c>
      <c r="G388" s="23">
        <f t="shared" si="31"/>
        <v>11</v>
      </c>
      <c r="H388" s="23">
        <f t="shared" si="32"/>
        <v>1</v>
      </c>
    </row>
    <row r="389" spans="1:8" x14ac:dyDescent="0.25">
      <c r="A389" s="22">
        <v>41893.065972222219</v>
      </c>
      <c r="B389" s="23">
        <v>382.9</v>
      </c>
      <c r="C389">
        <v>94.2</v>
      </c>
      <c r="D389">
        <v>9.3000000000000007</v>
      </c>
      <c r="E389">
        <v>5.8</v>
      </c>
      <c r="G389" s="23">
        <f t="shared" si="31"/>
        <v>11</v>
      </c>
      <c r="H389" s="23">
        <f t="shared" si="32"/>
        <v>1</v>
      </c>
    </row>
    <row r="390" spans="1:8" x14ac:dyDescent="0.25">
      <c r="A390" s="22">
        <v>41893.069444444445</v>
      </c>
      <c r="B390" s="23">
        <v>381.3</v>
      </c>
      <c r="C390">
        <v>94.3</v>
      </c>
      <c r="D390">
        <v>9.1999999999999993</v>
      </c>
      <c r="E390">
        <v>5.8</v>
      </c>
      <c r="G390" s="23">
        <f t="shared" ref="G390:G453" si="33">+DAY(A390)</f>
        <v>11</v>
      </c>
      <c r="H390" s="23">
        <f t="shared" ref="H390:H453" si="34">+HOUR(A390)</f>
        <v>1</v>
      </c>
    </row>
    <row r="391" spans="1:8" x14ac:dyDescent="0.25">
      <c r="A391" s="22">
        <v>41893.072916666664</v>
      </c>
      <c r="B391" s="23">
        <v>379.8</v>
      </c>
      <c r="C391">
        <v>94.3</v>
      </c>
      <c r="D391">
        <v>9.1999999999999993</v>
      </c>
      <c r="E391">
        <v>5.8</v>
      </c>
      <c r="G391" s="23">
        <f t="shared" si="33"/>
        <v>11</v>
      </c>
      <c r="H391" s="23">
        <f t="shared" si="34"/>
        <v>1</v>
      </c>
    </row>
    <row r="392" spans="1:8" x14ac:dyDescent="0.25">
      <c r="A392" s="22">
        <v>41893.076388888891</v>
      </c>
      <c r="B392" s="23">
        <v>377.7</v>
      </c>
      <c r="C392">
        <v>94.3</v>
      </c>
      <c r="D392">
        <v>9.1999999999999993</v>
      </c>
      <c r="E392">
        <v>5.8</v>
      </c>
      <c r="G392" s="23">
        <f t="shared" si="33"/>
        <v>11</v>
      </c>
      <c r="H392" s="23">
        <f t="shared" si="34"/>
        <v>1</v>
      </c>
    </row>
    <row r="393" spans="1:8" x14ac:dyDescent="0.25">
      <c r="A393" s="22">
        <v>41893.079861111109</v>
      </c>
      <c r="B393" s="23">
        <v>374.5</v>
      </c>
      <c r="C393">
        <v>94.3</v>
      </c>
      <c r="D393">
        <v>9.1999999999999993</v>
      </c>
      <c r="E393">
        <v>5.8</v>
      </c>
      <c r="G393" s="23">
        <f t="shared" si="33"/>
        <v>11</v>
      </c>
      <c r="H393" s="23">
        <f t="shared" si="34"/>
        <v>1</v>
      </c>
    </row>
    <row r="394" spans="1:8" x14ac:dyDescent="0.25">
      <c r="A394" s="22">
        <v>41893.083333333336</v>
      </c>
      <c r="B394" s="23">
        <v>373.8</v>
      </c>
      <c r="C394">
        <v>94.3</v>
      </c>
      <c r="D394">
        <v>9.1999999999999993</v>
      </c>
      <c r="E394">
        <v>5.8</v>
      </c>
      <c r="G394" s="23">
        <f t="shared" si="33"/>
        <v>11</v>
      </c>
      <c r="H394" s="23">
        <f t="shared" si="34"/>
        <v>2</v>
      </c>
    </row>
    <row r="395" spans="1:8" x14ac:dyDescent="0.25">
      <c r="A395" s="22">
        <v>41893.086805555555</v>
      </c>
      <c r="B395" s="23">
        <v>371.7</v>
      </c>
      <c r="C395">
        <v>94.2</v>
      </c>
      <c r="D395">
        <v>9.1</v>
      </c>
      <c r="E395">
        <v>5.8</v>
      </c>
      <c r="G395" s="23">
        <f t="shared" si="33"/>
        <v>11</v>
      </c>
      <c r="H395" s="23">
        <f t="shared" si="34"/>
        <v>2</v>
      </c>
    </row>
    <row r="396" spans="1:8" x14ac:dyDescent="0.25">
      <c r="A396" s="22">
        <v>41893.090277777781</v>
      </c>
      <c r="B396" s="23">
        <v>371.7</v>
      </c>
      <c r="C396">
        <v>94.3</v>
      </c>
      <c r="D396">
        <v>9.1999999999999993</v>
      </c>
      <c r="E396">
        <v>5.8</v>
      </c>
      <c r="G396" s="23">
        <f t="shared" si="33"/>
        <v>11</v>
      </c>
      <c r="H396" s="23">
        <f t="shared" si="34"/>
        <v>2</v>
      </c>
    </row>
    <row r="397" spans="1:8" x14ac:dyDescent="0.25">
      <c r="A397" s="22">
        <v>41893.09375</v>
      </c>
      <c r="B397" s="23">
        <v>371.9</v>
      </c>
      <c r="C397">
        <v>94.3</v>
      </c>
      <c r="D397">
        <v>9.1999999999999993</v>
      </c>
      <c r="E397">
        <v>5.8</v>
      </c>
      <c r="G397" s="23">
        <f t="shared" si="33"/>
        <v>11</v>
      </c>
      <c r="H397" s="23">
        <f t="shared" si="34"/>
        <v>2</v>
      </c>
    </row>
    <row r="398" spans="1:8" x14ac:dyDescent="0.25">
      <c r="A398" s="22">
        <v>41893.097222222219</v>
      </c>
      <c r="B398" s="23">
        <v>374.2</v>
      </c>
      <c r="C398">
        <v>94.3</v>
      </c>
      <c r="D398">
        <v>9.1999999999999993</v>
      </c>
      <c r="E398">
        <v>5.8</v>
      </c>
      <c r="G398" s="23">
        <f t="shared" si="33"/>
        <v>11</v>
      </c>
      <c r="H398" s="23">
        <f t="shared" si="34"/>
        <v>2</v>
      </c>
    </row>
    <row r="399" spans="1:8" x14ac:dyDescent="0.25">
      <c r="A399" s="22">
        <v>41893.100694444445</v>
      </c>
      <c r="B399" s="23">
        <v>375.7</v>
      </c>
      <c r="C399">
        <v>94.1</v>
      </c>
      <c r="D399">
        <v>9.1999999999999993</v>
      </c>
      <c r="E399">
        <v>5.8</v>
      </c>
      <c r="G399" s="23">
        <f t="shared" si="33"/>
        <v>11</v>
      </c>
      <c r="H399" s="23">
        <f t="shared" si="34"/>
        <v>2</v>
      </c>
    </row>
    <row r="400" spans="1:8" x14ac:dyDescent="0.25">
      <c r="A400" s="22">
        <v>41893.104166666664</v>
      </c>
      <c r="B400" s="23">
        <v>372.8</v>
      </c>
      <c r="C400">
        <v>94.3</v>
      </c>
      <c r="D400">
        <v>9.1999999999999993</v>
      </c>
      <c r="E400">
        <v>5.8</v>
      </c>
      <c r="G400" s="23">
        <f t="shared" si="33"/>
        <v>11</v>
      </c>
      <c r="H400" s="23">
        <f t="shared" si="34"/>
        <v>2</v>
      </c>
    </row>
    <row r="401" spans="1:8" x14ac:dyDescent="0.25">
      <c r="A401" s="22">
        <v>41893.107638888891</v>
      </c>
      <c r="B401" s="23">
        <v>373.6</v>
      </c>
      <c r="C401">
        <v>94.3</v>
      </c>
      <c r="D401">
        <v>9.1999999999999993</v>
      </c>
      <c r="E401">
        <v>5.8</v>
      </c>
      <c r="G401" s="23">
        <f t="shared" si="33"/>
        <v>11</v>
      </c>
      <c r="H401" s="23">
        <f t="shared" si="34"/>
        <v>2</v>
      </c>
    </row>
    <row r="402" spans="1:8" x14ac:dyDescent="0.25">
      <c r="A402" s="22">
        <v>41893.111111111109</v>
      </c>
      <c r="B402" s="23">
        <v>371.6</v>
      </c>
      <c r="C402">
        <v>94.3</v>
      </c>
      <c r="D402">
        <v>9.1</v>
      </c>
      <c r="E402">
        <v>5.8</v>
      </c>
      <c r="G402" s="23">
        <f t="shared" si="33"/>
        <v>11</v>
      </c>
      <c r="H402" s="23">
        <f t="shared" si="34"/>
        <v>2</v>
      </c>
    </row>
    <row r="403" spans="1:8" x14ac:dyDescent="0.25">
      <c r="A403" s="22">
        <v>41893.114583333336</v>
      </c>
      <c r="B403" s="23">
        <v>371.6</v>
      </c>
      <c r="C403">
        <v>94.3</v>
      </c>
      <c r="D403">
        <v>9.1999999999999993</v>
      </c>
      <c r="E403">
        <v>5.8</v>
      </c>
      <c r="G403" s="23">
        <f t="shared" si="33"/>
        <v>11</v>
      </c>
      <c r="H403" s="23">
        <f t="shared" si="34"/>
        <v>2</v>
      </c>
    </row>
    <row r="404" spans="1:8" x14ac:dyDescent="0.25">
      <c r="A404" s="22">
        <v>41893.118055555555</v>
      </c>
      <c r="B404" s="23">
        <v>370.7</v>
      </c>
      <c r="C404">
        <v>94.3</v>
      </c>
      <c r="D404">
        <v>9.1</v>
      </c>
      <c r="E404">
        <v>5.8</v>
      </c>
      <c r="G404" s="23">
        <f t="shared" si="33"/>
        <v>11</v>
      </c>
      <c r="H404" s="23">
        <f t="shared" si="34"/>
        <v>2</v>
      </c>
    </row>
    <row r="405" spans="1:8" x14ac:dyDescent="0.25">
      <c r="A405" s="22">
        <v>41893.121527777781</v>
      </c>
      <c r="B405" s="23">
        <v>371.2</v>
      </c>
      <c r="C405">
        <v>94.4</v>
      </c>
      <c r="D405">
        <v>9.1</v>
      </c>
      <c r="E405">
        <v>5.8</v>
      </c>
      <c r="G405" s="23">
        <f t="shared" si="33"/>
        <v>11</v>
      </c>
      <c r="H405" s="23">
        <f t="shared" si="34"/>
        <v>2</v>
      </c>
    </row>
    <row r="406" spans="1:8" x14ac:dyDescent="0.25">
      <c r="A406" s="22">
        <v>41893.125</v>
      </c>
      <c r="B406" s="23">
        <v>370.8</v>
      </c>
      <c r="C406">
        <v>94.3</v>
      </c>
      <c r="D406">
        <v>9.1</v>
      </c>
      <c r="E406">
        <v>5.8</v>
      </c>
      <c r="G406" s="23">
        <f t="shared" si="33"/>
        <v>11</v>
      </c>
      <c r="H406" s="23">
        <f t="shared" si="34"/>
        <v>3</v>
      </c>
    </row>
    <row r="407" spans="1:8" x14ac:dyDescent="0.25">
      <c r="A407" s="22">
        <v>41893.128472222219</v>
      </c>
      <c r="B407" s="23">
        <v>378.4</v>
      </c>
      <c r="C407">
        <v>94.3</v>
      </c>
      <c r="D407">
        <v>9.1999999999999993</v>
      </c>
      <c r="E407">
        <v>5.8</v>
      </c>
      <c r="G407" s="23">
        <f t="shared" si="33"/>
        <v>11</v>
      </c>
      <c r="H407" s="23">
        <f t="shared" si="34"/>
        <v>3</v>
      </c>
    </row>
    <row r="408" spans="1:8" x14ac:dyDescent="0.25">
      <c r="A408" s="22">
        <v>41893.131944444445</v>
      </c>
      <c r="B408" s="23">
        <v>386.3</v>
      </c>
      <c r="C408">
        <v>94.2</v>
      </c>
      <c r="D408">
        <v>9.3000000000000007</v>
      </c>
      <c r="E408">
        <v>5.8</v>
      </c>
      <c r="G408" s="23">
        <f t="shared" si="33"/>
        <v>11</v>
      </c>
      <c r="H408" s="23">
        <f t="shared" si="34"/>
        <v>3</v>
      </c>
    </row>
    <row r="409" spans="1:8" x14ac:dyDescent="0.25">
      <c r="A409" s="22">
        <v>41893.135416666664</v>
      </c>
      <c r="B409" s="23">
        <v>390.7</v>
      </c>
      <c r="C409">
        <v>94.4</v>
      </c>
      <c r="D409">
        <v>9.3000000000000007</v>
      </c>
      <c r="E409">
        <v>5.8</v>
      </c>
      <c r="G409" s="23">
        <f t="shared" si="33"/>
        <v>11</v>
      </c>
      <c r="H409" s="23">
        <f t="shared" si="34"/>
        <v>3</v>
      </c>
    </row>
    <row r="410" spans="1:8" x14ac:dyDescent="0.25">
      <c r="A410" s="22">
        <v>41893.138888888891</v>
      </c>
      <c r="B410" s="23">
        <v>391.4</v>
      </c>
      <c r="C410">
        <v>94.3</v>
      </c>
      <c r="D410">
        <v>9.3000000000000007</v>
      </c>
      <c r="E410">
        <v>5.8</v>
      </c>
      <c r="G410" s="23">
        <f t="shared" si="33"/>
        <v>11</v>
      </c>
      <c r="H410" s="23">
        <f t="shared" si="34"/>
        <v>3</v>
      </c>
    </row>
    <row r="411" spans="1:8" x14ac:dyDescent="0.25">
      <c r="A411" s="22">
        <v>41893.142361111109</v>
      </c>
      <c r="B411" s="23">
        <v>394.3</v>
      </c>
      <c r="C411">
        <v>94.4</v>
      </c>
      <c r="D411">
        <v>9.4</v>
      </c>
      <c r="E411">
        <v>5.8</v>
      </c>
      <c r="G411" s="23">
        <f t="shared" si="33"/>
        <v>11</v>
      </c>
      <c r="H411" s="23">
        <f t="shared" si="34"/>
        <v>3</v>
      </c>
    </row>
    <row r="412" spans="1:8" x14ac:dyDescent="0.25">
      <c r="A412" s="22">
        <v>41893.145833333336</v>
      </c>
      <c r="B412" s="23">
        <v>394.6</v>
      </c>
      <c r="C412">
        <v>94.3</v>
      </c>
      <c r="D412">
        <v>9.4</v>
      </c>
      <c r="E412">
        <v>5.8</v>
      </c>
      <c r="G412" s="23">
        <f t="shared" si="33"/>
        <v>11</v>
      </c>
      <c r="H412" s="23">
        <f t="shared" si="34"/>
        <v>3</v>
      </c>
    </row>
    <row r="413" spans="1:8" x14ac:dyDescent="0.25">
      <c r="A413" s="22">
        <v>41893.149305555555</v>
      </c>
      <c r="B413" s="23">
        <v>393.3</v>
      </c>
      <c r="C413">
        <v>94.3</v>
      </c>
      <c r="D413">
        <v>9.4</v>
      </c>
      <c r="E413">
        <v>5.8</v>
      </c>
      <c r="G413" s="23">
        <f t="shared" si="33"/>
        <v>11</v>
      </c>
      <c r="H413" s="23">
        <f t="shared" si="34"/>
        <v>3</v>
      </c>
    </row>
    <row r="414" spans="1:8" x14ac:dyDescent="0.25">
      <c r="A414" s="22">
        <v>41893.152777777781</v>
      </c>
      <c r="B414" s="23">
        <v>393.8</v>
      </c>
      <c r="C414">
        <v>94.4</v>
      </c>
      <c r="D414">
        <v>9.4</v>
      </c>
      <c r="E414">
        <v>5.8</v>
      </c>
      <c r="G414" s="23">
        <f t="shared" si="33"/>
        <v>11</v>
      </c>
      <c r="H414" s="23">
        <f t="shared" si="34"/>
        <v>3</v>
      </c>
    </row>
    <row r="415" spans="1:8" x14ac:dyDescent="0.25">
      <c r="A415" s="22">
        <v>41893.15625</v>
      </c>
      <c r="B415" s="23">
        <v>392.6</v>
      </c>
      <c r="C415">
        <v>94.3</v>
      </c>
      <c r="D415">
        <v>9.3000000000000007</v>
      </c>
      <c r="E415">
        <v>5.8</v>
      </c>
      <c r="G415" s="23">
        <f t="shared" si="33"/>
        <v>11</v>
      </c>
      <c r="H415" s="23">
        <f t="shared" si="34"/>
        <v>3</v>
      </c>
    </row>
    <row r="416" spans="1:8" x14ac:dyDescent="0.25">
      <c r="A416" s="22">
        <v>41893.159722222219</v>
      </c>
      <c r="B416" s="23">
        <v>390.7</v>
      </c>
      <c r="C416">
        <v>94.2</v>
      </c>
      <c r="D416">
        <v>9.3000000000000007</v>
      </c>
      <c r="E416">
        <v>5.8</v>
      </c>
      <c r="G416" s="23">
        <f t="shared" si="33"/>
        <v>11</v>
      </c>
      <c r="H416" s="23">
        <f t="shared" si="34"/>
        <v>3</v>
      </c>
    </row>
    <row r="417" spans="1:8" x14ac:dyDescent="0.25">
      <c r="A417" s="22">
        <v>41893.163194444445</v>
      </c>
      <c r="B417" s="23">
        <v>390.8</v>
      </c>
      <c r="C417">
        <v>94.3</v>
      </c>
      <c r="D417">
        <v>9.3000000000000007</v>
      </c>
      <c r="E417">
        <v>5.8</v>
      </c>
      <c r="G417" s="23">
        <f t="shared" si="33"/>
        <v>11</v>
      </c>
      <c r="H417" s="23">
        <f t="shared" si="34"/>
        <v>3</v>
      </c>
    </row>
    <row r="418" spans="1:8" x14ac:dyDescent="0.25">
      <c r="A418" s="22">
        <v>41893.166666666664</v>
      </c>
      <c r="B418" s="23">
        <v>390.9</v>
      </c>
      <c r="C418">
        <v>94.4</v>
      </c>
      <c r="D418">
        <v>9.3000000000000007</v>
      </c>
      <c r="E418">
        <v>5.8</v>
      </c>
      <c r="G418" s="23">
        <f t="shared" si="33"/>
        <v>11</v>
      </c>
      <c r="H418" s="23">
        <f t="shared" si="34"/>
        <v>4</v>
      </c>
    </row>
    <row r="419" spans="1:8" x14ac:dyDescent="0.25">
      <c r="A419" s="22">
        <v>41893.170138888891</v>
      </c>
      <c r="B419" s="23">
        <v>390.6</v>
      </c>
      <c r="C419">
        <v>94.4</v>
      </c>
      <c r="D419">
        <v>9.3000000000000007</v>
      </c>
      <c r="E419">
        <v>5.8</v>
      </c>
      <c r="G419" s="23">
        <f t="shared" si="33"/>
        <v>11</v>
      </c>
      <c r="H419" s="23">
        <f t="shared" si="34"/>
        <v>4</v>
      </c>
    </row>
    <row r="420" spans="1:8" x14ac:dyDescent="0.25">
      <c r="A420" s="22">
        <v>41893.173611111109</v>
      </c>
      <c r="B420" s="23">
        <v>388.6</v>
      </c>
      <c r="C420">
        <v>94.3</v>
      </c>
      <c r="D420">
        <v>9.3000000000000007</v>
      </c>
      <c r="E420">
        <v>5.8</v>
      </c>
      <c r="G420" s="23">
        <f t="shared" si="33"/>
        <v>11</v>
      </c>
      <c r="H420" s="23">
        <f t="shared" si="34"/>
        <v>4</v>
      </c>
    </row>
    <row r="421" spans="1:8" x14ac:dyDescent="0.25">
      <c r="A421" s="22">
        <v>41893.177083333336</v>
      </c>
      <c r="B421" s="23">
        <v>387.2</v>
      </c>
      <c r="C421">
        <v>94.2</v>
      </c>
      <c r="D421">
        <v>9.3000000000000007</v>
      </c>
      <c r="E421">
        <v>5.8</v>
      </c>
      <c r="G421" s="23">
        <f t="shared" si="33"/>
        <v>11</v>
      </c>
      <c r="H421" s="23">
        <f t="shared" si="34"/>
        <v>4</v>
      </c>
    </row>
    <row r="422" spans="1:8" x14ac:dyDescent="0.25">
      <c r="A422" s="22">
        <v>41893.180555555555</v>
      </c>
      <c r="B422" s="23">
        <v>387.4</v>
      </c>
      <c r="C422">
        <v>94.4</v>
      </c>
      <c r="D422">
        <v>9.3000000000000007</v>
      </c>
      <c r="E422">
        <v>5.8</v>
      </c>
      <c r="G422" s="23">
        <f t="shared" si="33"/>
        <v>11</v>
      </c>
      <c r="H422" s="23">
        <f t="shared" si="34"/>
        <v>4</v>
      </c>
    </row>
    <row r="423" spans="1:8" x14ac:dyDescent="0.25">
      <c r="A423" s="22">
        <v>41893.184027777781</v>
      </c>
      <c r="B423" s="23">
        <v>387.5</v>
      </c>
      <c r="C423">
        <v>94.4</v>
      </c>
      <c r="D423">
        <v>9.3000000000000007</v>
      </c>
      <c r="E423">
        <v>5.8</v>
      </c>
      <c r="G423" s="23">
        <f t="shared" si="33"/>
        <v>11</v>
      </c>
      <c r="H423" s="23">
        <f t="shared" si="34"/>
        <v>4</v>
      </c>
    </row>
    <row r="424" spans="1:8" x14ac:dyDescent="0.25">
      <c r="A424" s="22">
        <v>41893.1875</v>
      </c>
      <c r="B424" s="23">
        <v>385.6</v>
      </c>
      <c r="C424">
        <v>94.3</v>
      </c>
      <c r="D424">
        <v>9.3000000000000007</v>
      </c>
      <c r="E424">
        <v>5.8</v>
      </c>
      <c r="G424" s="23">
        <f t="shared" si="33"/>
        <v>11</v>
      </c>
      <c r="H424" s="23">
        <f t="shared" si="34"/>
        <v>4</v>
      </c>
    </row>
    <row r="425" spans="1:8" x14ac:dyDescent="0.25">
      <c r="A425" s="22">
        <v>41893.190972222219</v>
      </c>
      <c r="B425" s="23">
        <v>380.8</v>
      </c>
      <c r="C425">
        <v>94.2</v>
      </c>
      <c r="D425">
        <v>9.1999999999999993</v>
      </c>
      <c r="E425">
        <v>5.8</v>
      </c>
      <c r="G425" s="23">
        <f t="shared" si="33"/>
        <v>11</v>
      </c>
      <c r="H425" s="23">
        <f t="shared" si="34"/>
        <v>4</v>
      </c>
    </row>
    <row r="426" spans="1:8" x14ac:dyDescent="0.25">
      <c r="A426" s="22">
        <v>41893.194444444445</v>
      </c>
      <c r="B426" s="23">
        <v>383.3</v>
      </c>
      <c r="C426">
        <v>94.4</v>
      </c>
      <c r="D426">
        <v>9.3000000000000007</v>
      </c>
      <c r="E426">
        <v>5.8</v>
      </c>
      <c r="G426" s="23">
        <f t="shared" si="33"/>
        <v>11</v>
      </c>
      <c r="H426" s="23">
        <f t="shared" si="34"/>
        <v>4</v>
      </c>
    </row>
    <row r="427" spans="1:8" x14ac:dyDescent="0.25">
      <c r="A427" s="22">
        <v>41893.197916666664</v>
      </c>
      <c r="B427" s="23">
        <v>381.9</v>
      </c>
      <c r="C427">
        <v>94.3</v>
      </c>
      <c r="D427">
        <v>9.1999999999999993</v>
      </c>
      <c r="E427">
        <v>5.8</v>
      </c>
      <c r="G427" s="23">
        <f t="shared" si="33"/>
        <v>11</v>
      </c>
      <c r="H427" s="23">
        <f t="shared" si="34"/>
        <v>4</v>
      </c>
    </row>
    <row r="428" spans="1:8" x14ac:dyDescent="0.25">
      <c r="A428" s="22">
        <v>41893.201388888891</v>
      </c>
      <c r="B428" s="23">
        <v>380.2</v>
      </c>
      <c r="C428">
        <v>94.4</v>
      </c>
      <c r="D428">
        <v>9.1999999999999993</v>
      </c>
      <c r="E428">
        <v>5.8</v>
      </c>
      <c r="G428" s="23">
        <f t="shared" si="33"/>
        <v>11</v>
      </c>
      <c r="H428" s="23">
        <f t="shared" si="34"/>
        <v>4</v>
      </c>
    </row>
    <row r="429" spans="1:8" x14ac:dyDescent="0.25">
      <c r="A429" s="22">
        <v>41893.204861111109</v>
      </c>
      <c r="B429" s="23">
        <v>377.3</v>
      </c>
      <c r="C429">
        <v>94.3</v>
      </c>
      <c r="D429">
        <v>9.1999999999999993</v>
      </c>
      <c r="E429">
        <v>5.8</v>
      </c>
      <c r="G429" s="23">
        <f t="shared" si="33"/>
        <v>11</v>
      </c>
      <c r="H429" s="23">
        <f t="shared" si="34"/>
        <v>4</v>
      </c>
    </row>
    <row r="430" spans="1:8" x14ac:dyDescent="0.25">
      <c r="A430" s="22">
        <v>41893.208333333336</v>
      </c>
      <c r="B430" s="23">
        <v>377.1</v>
      </c>
      <c r="C430">
        <v>94.3</v>
      </c>
      <c r="D430">
        <v>9.1999999999999993</v>
      </c>
      <c r="E430">
        <v>5.8</v>
      </c>
      <c r="G430" s="23">
        <f t="shared" si="33"/>
        <v>11</v>
      </c>
      <c r="H430" s="23">
        <f t="shared" si="34"/>
        <v>5</v>
      </c>
    </row>
    <row r="431" spans="1:8" x14ac:dyDescent="0.25">
      <c r="A431" s="22">
        <v>41893.211805555555</v>
      </c>
      <c r="B431" s="23">
        <v>376.3</v>
      </c>
      <c r="C431">
        <v>94.4</v>
      </c>
      <c r="D431">
        <v>9.1999999999999993</v>
      </c>
      <c r="E431">
        <v>5.8</v>
      </c>
      <c r="G431" s="23">
        <f t="shared" si="33"/>
        <v>11</v>
      </c>
      <c r="H431" s="23">
        <f t="shared" si="34"/>
        <v>5</v>
      </c>
    </row>
    <row r="432" spans="1:8" x14ac:dyDescent="0.25">
      <c r="A432" s="22">
        <v>41893.215277777781</v>
      </c>
      <c r="B432" s="23">
        <v>375.9</v>
      </c>
      <c r="C432">
        <v>94.4</v>
      </c>
      <c r="D432">
        <v>9.1999999999999993</v>
      </c>
      <c r="E432">
        <v>5.8</v>
      </c>
      <c r="G432" s="23">
        <f t="shared" si="33"/>
        <v>11</v>
      </c>
      <c r="H432" s="23">
        <f t="shared" si="34"/>
        <v>5</v>
      </c>
    </row>
    <row r="433" spans="1:8" x14ac:dyDescent="0.25">
      <c r="A433" s="22">
        <v>41893.21875</v>
      </c>
      <c r="B433" s="23">
        <v>376.7</v>
      </c>
      <c r="C433">
        <v>94.3</v>
      </c>
      <c r="D433">
        <v>9.1999999999999993</v>
      </c>
      <c r="E433">
        <v>5.8</v>
      </c>
      <c r="G433" s="23">
        <f t="shared" si="33"/>
        <v>11</v>
      </c>
      <c r="H433" s="23">
        <f t="shared" si="34"/>
        <v>5</v>
      </c>
    </row>
    <row r="434" spans="1:8" x14ac:dyDescent="0.25">
      <c r="A434" s="22">
        <v>41893.222222222219</v>
      </c>
      <c r="B434" s="23">
        <v>377.9</v>
      </c>
      <c r="C434">
        <v>94.3</v>
      </c>
      <c r="D434">
        <v>9.1999999999999993</v>
      </c>
      <c r="E434">
        <v>5.8</v>
      </c>
      <c r="G434" s="23">
        <f t="shared" si="33"/>
        <v>11</v>
      </c>
      <c r="H434" s="23">
        <f t="shared" si="34"/>
        <v>5</v>
      </c>
    </row>
    <row r="435" spans="1:8" x14ac:dyDescent="0.25">
      <c r="A435" s="22">
        <v>41893.225694444445</v>
      </c>
      <c r="B435" s="23">
        <v>377.9</v>
      </c>
      <c r="C435">
        <v>94.4</v>
      </c>
      <c r="D435">
        <v>9.1999999999999993</v>
      </c>
      <c r="E435">
        <v>5.8</v>
      </c>
      <c r="G435" s="23">
        <f t="shared" si="33"/>
        <v>11</v>
      </c>
      <c r="H435" s="23">
        <f t="shared" si="34"/>
        <v>5</v>
      </c>
    </row>
    <row r="436" spans="1:8" x14ac:dyDescent="0.25">
      <c r="A436" s="22">
        <v>41893.229166666664</v>
      </c>
      <c r="B436" s="23">
        <v>378</v>
      </c>
      <c r="C436">
        <v>94.4</v>
      </c>
      <c r="D436">
        <v>9.1999999999999993</v>
      </c>
      <c r="E436">
        <v>5.8</v>
      </c>
      <c r="G436" s="23">
        <f t="shared" si="33"/>
        <v>11</v>
      </c>
      <c r="H436" s="23">
        <f t="shared" si="34"/>
        <v>5</v>
      </c>
    </row>
    <row r="437" spans="1:8" x14ac:dyDescent="0.25">
      <c r="A437" s="22">
        <v>41893.232638888891</v>
      </c>
      <c r="B437" s="23">
        <v>379.8</v>
      </c>
      <c r="C437">
        <v>94.3</v>
      </c>
      <c r="D437">
        <v>9.1999999999999993</v>
      </c>
      <c r="E437">
        <v>5.8</v>
      </c>
      <c r="G437" s="23">
        <f t="shared" si="33"/>
        <v>11</v>
      </c>
      <c r="H437" s="23">
        <f t="shared" si="34"/>
        <v>5</v>
      </c>
    </row>
    <row r="438" spans="1:8" x14ac:dyDescent="0.25">
      <c r="A438" s="22">
        <v>41893.236111111109</v>
      </c>
      <c r="B438" s="23">
        <v>376.4</v>
      </c>
      <c r="C438">
        <v>94.3</v>
      </c>
      <c r="D438">
        <v>9.1999999999999993</v>
      </c>
      <c r="E438">
        <v>5.8</v>
      </c>
      <c r="G438" s="23">
        <f t="shared" si="33"/>
        <v>11</v>
      </c>
      <c r="H438" s="23">
        <f t="shared" si="34"/>
        <v>5</v>
      </c>
    </row>
    <row r="439" spans="1:8" x14ac:dyDescent="0.25">
      <c r="A439" s="22">
        <v>41893.239583333336</v>
      </c>
      <c r="B439" s="23">
        <v>378.8</v>
      </c>
      <c r="C439">
        <v>94.3</v>
      </c>
      <c r="D439">
        <v>9.1999999999999993</v>
      </c>
      <c r="E439">
        <v>5.8</v>
      </c>
      <c r="G439" s="23">
        <f t="shared" si="33"/>
        <v>11</v>
      </c>
      <c r="H439" s="23">
        <f t="shared" si="34"/>
        <v>5</v>
      </c>
    </row>
    <row r="440" spans="1:8" x14ac:dyDescent="0.25">
      <c r="A440" s="22">
        <v>41893.243055555555</v>
      </c>
      <c r="B440" s="23">
        <v>378.1</v>
      </c>
      <c r="C440">
        <v>94.3</v>
      </c>
      <c r="D440">
        <v>9.1999999999999993</v>
      </c>
      <c r="E440">
        <v>5.8</v>
      </c>
      <c r="G440" s="23">
        <f t="shared" si="33"/>
        <v>11</v>
      </c>
      <c r="H440" s="23">
        <f t="shared" si="34"/>
        <v>5</v>
      </c>
    </row>
    <row r="441" spans="1:8" x14ac:dyDescent="0.25">
      <c r="A441" s="22">
        <v>41893.246527777781</v>
      </c>
      <c r="B441" s="23">
        <v>377.6</v>
      </c>
      <c r="C441">
        <v>94.2</v>
      </c>
      <c r="D441">
        <v>9.1999999999999993</v>
      </c>
      <c r="E441">
        <v>5.8</v>
      </c>
      <c r="G441" s="23">
        <f t="shared" si="33"/>
        <v>11</v>
      </c>
      <c r="H441" s="23">
        <f t="shared" si="34"/>
        <v>5</v>
      </c>
    </row>
    <row r="442" spans="1:8" x14ac:dyDescent="0.25">
      <c r="A442" s="22">
        <v>41893.25</v>
      </c>
      <c r="B442" s="23">
        <v>378.6</v>
      </c>
      <c r="C442">
        <v>94.3</v>
      </c>
      <c r="D442">
        <v>9.1999999999999993</v>
      </c>
      <c r="E442">
        <v>5.8</v>
      </c>
      <c r="G442" s="23">
        <f t="shared" si="33"/>
        <v>11</v>
      </c>
      <c r="H442" s="23">
        <f t="shared" si="34"/>
        <v>6</v>
      </c>
    </row>
    <row r="443" spans="1:8" x14ac:dyDescent="0.25">
      <c r="A443" s="22">
        <v>41893.253472222219</v>
      </c>
      <c r="B443" s="23">
        <v>381.4</v>
      </c>
      <c r="C443">
        <v>94.3</v>
      </c>
      <c r="D443">
        <v>9.3000000000000007</v>
      </c>
      <c r="E443">
        <v>5.8</v>
      </c>
      <c r="G443" s="23">
        <f t="shared" si="33"/>
        <v>11</v>
      </c>
      <c r="H443" s="23">
        <f t="shared" si="34"/>
        <v>6</v>
      </c>
    </row>
    <row r="444" spans="1:8" x14ac:dyDescent="0.25">
      <c r="A444" s="22">
        <v>41893.256944444445</v>
      </c>
      <c r="B444" s="23">
        <v>379.9</v>
      </c>
      <c r="C444">
        <v>94.3</v>
      </c>
      <c r="D444">
        <v>9.1999999999999993</v>
      </c>
      <c r="E444">
        <v>5.8</v>
      </c>
      <c r="G444" s="23">
        <f t="shared" si="33"/>
        <v>11</v>
      </c>
      <c r="H444" s="23">
        <f t="shared" si="34"/>
        <v>6</v>
      </c>
    </row>
    <row r="445" spans="1:8" x14ac:dyDescent="0.25">
      <c r="A445" s="22">
        <v>41893.260416666664</v>
      </c>
      <c r="B445" s="23">
        <v>378.2</v>
      </c>
      <c r="C445">
        <v>94.3</v>
      </c>
      <c r="D445">
        <v>9.1999999999999993</v>
      </c>
      <c r="E445">
        <v>5.8</v>
      </c>
      <c r="G445" s="23">
        <f t="shared" si="33"/>
        <v>11</v>
      </c>
      <c r="H445" s="23">
        <f t="shared" si="34"/>
        <v>6</v>
      </c>
    </row>
    <row r="446" spans="1:8" x14ac:dyDescent="0.25">
      <c r="A446" s="22">
        <v>41893.263888888891</v>
      </c>
      <c r="B446" s="23">
        <v>374.8</v>
      </c>
      <c r="C446">
        <v>94.2</v>
      </c>
      <c r="D446">
        <v>9.1999999999999993</v>
      </c>
      <c r="E446">
        <v>5.8</v>
      </c>
      <c r="G446" s="23">
        <f t="shared" si="33"/>
        <v>11</v>
      </c>
      <c r="H446" s="23">
        <f t="shared" si="34"/>
        <v>6</v>
      </c>
    </row>
    <row r="447" spans="1:8" x14ac:dyDescent="0.25">
      <c r="A447" s="22">
        <v>41893.267361111109</v>
      </c>
      <c r="B447" s="23">
        <v>373.2</v>
      </c>
      <c r="C447">
        <v>94.2</v>
      </c>
      <c r="D447">
        <v>9.1999999999999993</v>
      </c>
      <c r="E447">
        <v>5.8</v>
      </c>
      <c r="G447" s="23">
        <f t="shared" si="33"/>
        <v>11</v>
      </c>
      <c r="H447" s="23">
        <f t="shared" si="34"/>
        <v>6</v>
      </c>
    </row>
    <row r="448" spans="1:8" x14ac:dyDescent="0.25">
      <c r="A448" s="22">
        <v>41893.270833333336</v>
      </c>
      <c r="B448" s="23">
        <v>370.1</v>
      </c>
      <c r="C448">
        <v>94.3</v>
      </c>
      <c r="D448">
        <v>9.1</v>
      </c>
      <c r="E448">
        <v>5.8</v>
      </c>
      <c r="G448" s="23">
        <f t="shared" si="33"/>
        <v>11</v>
      </c>
      <c r="H448" s="23">
        <f t="shared" si="34"/>
        <v>6</v>
      </c>
    </row>
    <row r="449" spans="1:8" x14ac:dyDescent="0.25">
      <c r="A449" s="22">
        <v>41893.274305555555</v>
      </c>
      <c r="B449" s="23">
        <v>368.5</v>
      </c>
      <c r="C449">
        <v>94.3</v>
      </c>
      <c r="D449">
        <v>9.1</v>
      </c>
      <c r="E449">
        <v>5.8</v>
      </c>
      <c r="G449" s="23">
        <f t="shared" si="33"/>
        <v>11</v>
      </c>
      <c r="H449" s="23">
        <f t="shared" si="34"/>
        <v>6</v>
      </c>
    </row>
    <row r="450" spans="1:8" x14ac:dyDescent="0.25">
      <c r="A450" s="22">
        <v>41893.277777777781</v>
      </c>
      <c r="B450" s="23">
        <v>376.2</v>
      </c>
      <c r="C450">
        <v>94.3</v>
      </c>
      <c r="D450">
        <v>9.1999999999999993</v>
      </c>
      <c r="E450">
        <v>5.8</v>
      </c>
      <c r="G450" s="23">
        <f t="shared" si="33"/>
        <v>11</v>
      </c>
      <c r="H450" s="23">
        <f t="shared" si="34"/>
        <v>6</v>
      </c>
    </row>
    <row r="451" spans="1:8" x14ac:dyDescent="0.25">
      <c r="A451" s="22">
        <v>41893.28125</v>
      </c>
      <c r="B451" s="23">
        <v>427.1</v>
      </c>
      <c r="C451">
        <v>94.2</v>
      </c>
      <c r="D451">
        <v>9.8000000000000007</v>
      </c>
      <c r="E451">
        <v>5.9</v>
      </c>
      <c r="G451" s="23">
        <f t="shared" si="33"/>
        <v>11</v>
      </c>
      <c r="H451" s="23">
        <f t="shared" si="34"/>
        <v>6</v>
      </c>
    </row>
    <row r="452" spans="1:8" x14ac:dyDescent="0.25">
      <c r="A452" s="22">
        <v>41893.284722222219</v>
      </c>
      <c r="B452" s="23">
        <v>393.4</v>
      </c>
      <c r="C452">
        <v>94.2</v>
      </c>
      <c r="D452">
        <v>9.3000000000000007</v>
      </c>
      <c r="E452">
        <v>5.7</v>
      </c>
      <c r="G452" s="23">
        <f t="shared" si="33"/>
        <v>11</v>
      </c>
      <c r="H452" s="23">
        <f t="shared" si="34"/>
        <v>6</v>
      </c>
    </row>
    <row r="453" spans="1:8" x14ac:dyDescent="0.25">
      <c r="A453" s="22">
        <v>41893.288194444445</v>
      </c>
      <c r="B453" s="23">
        <v>400.2</v>
      </c>
      <c r="C453">
        <v>94.3</v>
      </c>
      <c r="D453">
        <v>9.5</v>
      </c>
      <c r="E453">
        <v>5.8</v>
      </c>
      <c r="G453" s="23">
        <f t="shared" si="33"/>
        <v>11</v>
      </c>
      <c r="H453" s="23">
        <f t="shared" si="34"/>
        <v>6</v>
      </c>
    </row>
    <row r="454" spans="1:8" x14ac:dyDescent="0.25">
      <c r="A454" s="22">
        <v>41893.291666666664</v>
      </c>
      <c r="B454" s="23">
        <v>406.9</v>
      </c>
      <c r="C454">
        <v>94.4</v>
      </c>
      <c r="D454">
        <v>9.5</v>
      </c>
      <c r="E454">
        <v>5.8</v>
      </c>
      <c r="G454" s="23">
        <f t="shared" ref="G454:G517" si="35">+DAY(A454)</f>
        <v>11</v>
      </c>
      <c r="H454" s="23">
        <f t="shared" ref="H454:H517" si="36">+HOUR(A454)</f>
        <v>7</v>
      </c>
    </row>
    <row r="455" spans="1:8" x14ac:dyDescent="0.25">
      <c r="A455" s="22">
        <v>41893.295138888891</v>
      </c>
      <c r="B455" s="23">
        <v>407.1</v>
      </c>
      <c r="C455">
        <v>94.2</v>
      </c>
      <c r="D455">
        <v>9.5</v>
      </c>
      <c r="E455">
        <v>5.8</v>
      </c>
      <c r="G455" s="23">
        <f t="shared" si="35"/>
        <v>11</v>
      </c>
      <c r="H455" s="23">
        <f t="shared" si="36"/>
        <v>7</v>
      </c>
    </row>
    <row r="456" spans="1:8" x14ac:dyDescent="0.25">
      <c r="A456" s="22">
        <v>41893.298611111109</v>
      </c>
      <c r="B456" s="23">
        <v>408.1</v>
      </c>
      <c r="C456">
        <v>94.3</v>
      </c>
      <c r="D456">
        <v>9.5</v>
      </c>
      <c r="E456">
        <v>5.8</v>
      </c>
      <c r="G456" s="23">
        <f t="shared" si="35"/>
        <v>11</v>
      </c>
      <c r="H456" s="23">
        <f t="shared" si="36"/>
        <v>7</v>
      </c>
    </row>
    <row r="457" spans="1:8" x14ac:dyDescent="0.25">
      <c r="A457" s="22">
        <v>41893.302083333336</v>
      </c>
      <c r="B457" s="23">
        <v>406</v>
      </c>
      <c r="C457">
        <v>94.3</v>
      </c>
      <c r="D457">
        <v>9.5</v>
      </c>
      <c r="E457">
        <v>5.8</v>
      </c>
      <c r="G457" s="23">
        <f t="shared" si="35"/>
        <v>11</v>
      </c>
      <c r="H457" s="23">
        <f t="shared" si="36"/>
        <v>7</v>
      </c>
    </row>
    <row r="458" spans="1:8" x14ac:dyDescent="0.25">
      <c r="A458" s="22">
        <v>41893.305555555555</v>
      </c>
      <c r="B458" s="23">
        <v>403.1</v>
      </c>
      <c r="C458">
        <v>94.3</v>
      </c>
      <c r="D458">
        <v>9.4</v>
      </c>
      <c r="E458">
        <v>5.8</v>
      </c>
      <c r="G458" s="23">
        <f t="shared" si="35"/>
        <v>11</v>
      </c>
      <c r="H458" s="23">
        <f t="shared" si="36"/>
        <v>7</v>
      </c>
    </row>
    <row r="459" spans="1:8" x14ac:dyDescent="0.25">
      <c r="A459" s="22">
        <v>41893.309027777781</v>
      </c>
      <c r="B459" s="23">
        <v>402</v>
      </c>
      <c r="C459">
        <v>94.3</v>
      </c>
      <c r="D459">
        <v>9.4</v>
      </c>
      <c r="E459">
        <v>5.8</v>
      </c>
      <c r="G459" s="23">
        <f t="shared" si="35"/>
        <v>11</v>
      </c>
      <c r="H459" s="23">
        <f t="shared" si="36"/>
        <v>7</v>
      </c>
    </row>
    <row r="460" spans="1:8" x14ac:dyDescent="0.25">
      <c r="A460" s="22">
        <v>41893.3125</v>
      </c>
      <c r="B460" s="23">
        <v>401.4</v>
      </c>
      <c r="C460">
        <v>94.1</v>
      </c>
      <c r="D460">
        <v>9.4</v>
      </c>
      <c r="E460">
        <v>5.8</v>
      </c>
      <c r="G460" s="23">
        <f t="shared" si="35"/>
        <v>11</v>
      </c>
      <c r="H460" s="23">
        <f t="shared" si="36"/>
        <v>7</v>
      </c>
    </row>
    <row r="461" spans="1:8" x14ac:dyDescent="0.25">
      <c r="A461" s="22">
        <v>41893.315972222219</v>
      </c>
      <c r="B461" s="23">
        <v>403.8</v>
      </c>
      <c r="C461">
        <v>94.2</v>
      </c>
      <c r="D461">
        <v>9.5</v>
      </c>
      <c r="E461">
        <v>5.8</v>
      </c>
      <c r="G461" s="23">
        <f t="shared" si="35"/>
        <v>11</v>
      </c>
      <c r="H461" s="23">
        <f t="shared" si="36"/>
        <v>7</v>
      </c>
    </row>
    <row r="462" spans="1:8" x14ac:dyDescent="0.25">
      <c r="A462" s="22">
        <v>41893.319444444445</v>
      </c>
      <c r="B462" s="23">
        <v>402.7</v>
      </c>
      <c r="C462">
        <v>94.4</v>
      </c>
      <c r="D462">
        <v>9.4</v>
      </c>
      <c r="E462">
        <v>5.8</v>
      </c>
      <c r="G462" s="23">
        <f t="shared" si="35"/>
        <v>11</v>
      </c>
      <c r="H462" s="23">
        <f t="shared" si="36"/>
        <v>7</v>
      </c>
    </row>
    <row r="463" spans="1:8" x14ac:dyDescent="0.25">
      <c r="A463" s="22">
        <v>41893.322916666664</v>
      </c>
      <c r="B463" s="23">
        <v>401.6</v>
      </c>
      <c r="C463">
        <v>94.2</v>
      </c>
      <c r="D463">
        <v>9.4</v>
      </c>
      <c r="E463">
        <v>5.8</v>
      </c>
      <c r="G463" s="23">
        <f t="shared" si="35"/>
        <v>11</v>
      </c>
      <c r="H463" s="23">
        <f t="shared" si="36"/>
        <v>7</v>
      </c>
    </row>
    <row r="464" spans="1:8" x14ac:dyDescent="0.25">
      <c r="A464" s="22">
        <v>41893.326388888891</v>
      </c>
      <c r="B464" s="23">
        <v>402.3</v>
      </c>
      <c r="C464">
        <v>94.2</v>
      </c>
      <c r="D464">
        <v>9.5</v>
      </c>
      <c r="E464">
        <v>5.8</v>
      </c>
      <c r="G464" s="23">
        <f t="shared" si="35"/>
        <v>11</v>
      </c>
      <c r="H464" s="23">
        <f t="shared" si="36"/>
        <v>7</v>
      </c>
    </row>
    <row r="465" spans="1:8" x14ac:dyDescent="0.25">
      <c r="A465" s="22">
        <v>41893.329861111109</v>
      </c>
      <c r="B465" s="23">
        <v>404.9</v>
      </c>
      <c r="C465">
        <v>94.2</v>
      </c>
      <c r="D465">
        <v>9.5</v>
      </c>
      <c r="E465">
        <v>5.8</v>
      </c>
      <c r="G465" s="23">
        <f t="shared" si="35"/>
        <v>11</v>
      </c>
      <c r="H465" s="23">
        <f t="shared" si="36"/>
        <v>7</v>
      </c>
    </row>
    <row r="466" spans="1:8" x14ac:dyDescent="0.25">
      <c r="A466" s="22">
        <v>41893.333333333336</v>
      </c>
      <c r="B466" s="23">
        <v>406.3</v>
      </c>
      <c r="C466">
        <v>94.3</v>
      </c>
      <c r="D466">
        <v>9.5</v>
      </c>
      <c r="E466">
        <v>5.8</v>
      </c>
      <c r="G466" s="23">
        <f t="shared" si="35"/>
        <v>11</v>
      </c>
      <c r="H466" s="23">
        <f t="shared" si="36"/>
        <v>8</v>
      </c>
    </row>
    <row r="467" spans="1:8" x14ac:dyDescent="0.25">
      <c r="A467" s="22">
        <v>41893.336805555555</v>
      </c>
      <c r="B467" s="23">
        <v>412.7</v>
      </c>
      <c r="C467">
        <v>94.3</v>
      </c>
      <c r="D467">
        <v>9.5</v>
      </c>
      <c r="E467">
        <v>5.8</v>
      </c>
      <c r="G467" s="23">
        <f t="shared" si="35"/>
        <v>11</v>
      </c>
      <c r="H467" s="23">
        <f t="shared" si="36"/>
        <v>8</v>
      </c>
    </row>
    <row r="468" spans="1:8" x14ac:dyDescent="0.25">
      <c r="A468" s="22">
        <v>41893.340277777781</v>
      </c>
      <c r="B468" s="23">
        <v>414.2</v>
      </c>
      <c r="C468">
        <v>94.3</v>
      </c>
      <c r="D468">
        <v>9.6</v>
      </c>
      <c r="E468">
        <v>5.8</v>
      </c>
      <c r="G468" s="23">
        <f t="shared" si="35"/>
        <v>11</v>
      </c>
      <c r="H468" s="23">
        <f t="shared" si="36"/>
        <v>8</v>
      </c>
    </row>
    <row r="469" spans="1:8" x14ac:dyDescent="0.25">
      <c r="A469" s="22">
        <v>41893.34375</v>
      </c>
      <c r="B469" s="23">
        <v>414.9</v>
      </c>
      <c r="C469">
        <v>94.2</v>
      </c>
      <c r="D469">
        <v>9.6</v>
      </c>
      <c r="E469">
        <v>5.8</v>
      </c>
      <c r="G469" s="23">
        <f t="shared" si="35"/>
        <v>11</v>
      </c>
      <c r="H469" s="23">
        <f t="shared" si="36"/>
        <v>8</v>
      </c>
    </row>
    <row r="470" spans="1:8" x14ac:dyDescent="0.25">
      <c r="A470" s="22">
        <v>41893.347222222219</v>
      </c>
      <c r="B470" s="23">
        <v>418.3</v>
      </c>
      <c r="C470">
        <v>94.2</v>
      </c>
      <c r="D470">
        <v>9.6</v>
      </c>
      <c r="E470">
        <v>5.8</v>
      </c>
      <c r="G470" s="23">
        <f t="shared" si="35"/>
        <v>11</v>
      </c>
      <c r="H470" s="23">
        <f t="shared" si="36"/>
        <v>8</v>
      </c>
    </row>
    <row r="471" spans="1:8" x14ac:dyDescent="0.25">
      <c r="A471" s="22">
        <v>41893.350694444445</v>
      </c>
      <c r="B471" s="23">
        <v>421.2</v>
      </c>
      <c r="C471">
        <v>94.3</v>
      </c>
      <c r="D471">
        <v>9.6</v>
      </c>
      <c r="E471">
        <v>5.8</v>
      </c>
      <c r="G471" s="23">
        <f t="shared" si="35"/>
        <v>11</v>
      </c>
      <c r="H471" s="23">
        <f t="shared" si="36"/>
        <v>8</v>
      </c>
    </row>
    <row r="472" spans="1:8" x14ac:dyDescent="0.25">
      <c r="A472" s="22">
        <v>41893.354166666664</v>
      </c>
      <c r="B472" s="23">
        <v>421.9</v>
      </c>
      <c r="C472">
        <v>94.2</v>
      </c>
      <c r="D472">
        <v>9.6</v>
      </c>
      <c r="E472">
        <v>5.8</v>
      </c>
      <c r="G472" s="23">
        <f t="shared" si="35"/>
        <v>11</v>
      </c>
      <c r="H472" s="23">
        <f t="shared" si="36"/>
        <v>8</v>
      </c>
    </row>
    <row r="473" spans="1:8" x14ac:dyDescent="0.25">
      <c r="A473" s="22">
        <v>41893.357638888891</v>
      </c>
      <c r="B473" s="23">
        <v>423.8</v>
      </c>
      <c r="C473">
        <v>94.2</v>
      </c>
      <c r="D473">
        <v>9.6</v>
      </c>
      <c r="E473">
        <v>5.8</v>
      </c>
      <c r="G473" s="23">
        <f t="shared" si="35"/>
        <v>11</v>
      </c>
      <c r="H473" s="23">
        <f t="shared" si="36"/>
        <v>8</v>
      </c>
    </row>
    <row r="474" spans="1:8" x14ac:dyDescent="0.25">
      <c r="A474" s="22">
        <v>41893.361111111109</v>
      </c>
      <c r="B474" s="23">
        <v>423</v>
      </c>
      <c r="C474">
        <v>94.3</v>
      </c>
      <c r="D474">
        <v>9.6</v>
      </c>
      <c r="E474">
        <v>5.8</v>
      </c>
      <c r="G474" s="23">
        <f t="shared" si="35"/>
        <v>11</v>
      </c>
      <c r="H474" s="23">
        <f t="shared" si="36"/>
        <v>8</v>
      </c>
    </row>
    <row r="475" spans="1:8" x14ac:dyDescent="0.25">
      <c r="A475" s="22">
        <v>41893.364583333336</v>
      </c>
      <c r="B475" s="23">
        <v>423.5</v>
      </c>
      <c r="C475">
        <v>94.3</v>
      </c>
      <c r="D475">
        <v>9.6</v>
      </c>
      <c r="E475">
        <v>5.8</v>
      </c>
      <c r="G475" s="23">
        <f t="shared" si="35"/>
        <v>11</v>
      </c>
      <c r="H475" s="23">
        <f t="shared" si="36"/>
        <v>8</v>
      </c>
    </row>
    <row r="476" spans="1:8" x14ac:dyDescent="0.25">
      <c r="A476" s="22">
        <v>41893.368055555555</v>
      </c>
      <c r="B476" s="23">
        <v>425.2</v>
      </c>
      <c r="C476">
        <v>94.3</v>
      </c>
      <c r="D476">
        <v>9.6999999999999993</v>
      </c>
      <c r="E476">
        <v>5.8</v>
      </c>
      <c r="G476" s="23">
        <f t="shared" si="35"/>
        <v>11</v>
      </c>
      <c r="H476" s="23">
        <f t="shared" si="36"/>
        <v>8</v>
      </c>
    </row>
    <row r="477" spans="1:8" x14ac:dyDescent="0.25">
      <c r="A477" s="22">
        <v>41893.371527777781</v>
      </c>
      <c r="B477" s="23">
        <v>426.4</v>
      </c>
      <c r="C477">
        <v>94.2</v>
      </c>
      <c r="D477">
        <v>9.6999999999999993</v>
      </c>
      <c r="E477">
        <v>5.8</v>
      </c>
      <c r="G477" s="23">
        <f t="shared" si="35"/>
        <v>11</v>
      </c>
      <c r="H477" s="23">
        <f t="shared" si="36"/>
        <v>8</v>
      </c>
    </row>
    <row r="478" spans="1:8" x14ac:dyDescent="0.25">
      <c r="A478" s="22">
        <v>41893.375</v>
      </c>
      <c r="B478" s="23">
        <v>426.3</v>
      </c>
      <c r="C478">
        <v>94.3</v>
      </c>
      <c r="D478">
        <v>9.6999999999999993</v>
      </c>
      <c r="E478">
        <v>5.8</v>
      </c>
      <c r="G478" s="23">
        <f t="shared" si="35"/>
        <v>11</v>
      </c>
      <c r="H478" s="23">
        <f t="shared" si="36"/>
        <v>9</v>
      </c>
    </row>
    <row r="479" spans="1:8" x14ac:dyDescent="0.25">
      <c r="A479" s="22">
        <v>41893.378472222219</v>
      </c>
      <c r="B479" s="23">
        <v>425.8</v>
      </c>
      <c r="C479">
        <v>94.2</v>
      </c>
      <c r="D479">
        <v>9.6999999999999993</v>
      </c>
      <c r="E479">
        <v>5.8</v>
      </c>
      <c r="G479" s="23">
        <f t="shared" si="35"/>
        <v>11</v>
      </c>
      <c r="H479" s="23">
        <f t="shared" si="36"/>
        <v>9</v>
      </c>
    </row>
    <row r="480" spans="1:8" x14ac:dyDescent="0.25">
      <c r="A480" s="22">
        <v>41893.381944444445</v>
      </c>
      <c r="B480" s="23">
        <v>429.2</v>
      </c>
      <c r="C480">
        <v>94.3</v>
      </c>
      <c r="D480">
        <v>9.6999999999999993</v>
      </c>
      <c r="E480">
        <v>5.8</v>
      </c>
      <c r="G480" s="23">
        <f t="shared" si="35"/>
        <v>11</v>
      </c>
      <c r="H480" s="23">
        <f t="shared" si="36"/>
        <v>9</v>
      </c>
    </row>
    <row r="481" spans="1:8" x14ac:dyDescent="0.25">
      <c r="A481" s="22">
        <v>41893.385416666664</v>
      </c>
      <c r="B481" s="23">
        <v>437.6</v>
      </c>
      <c r="C481">
        <v>94.3</v>
      </c>
      <c r="D481">
        <v>9.8000000000000007</v>
      </c>
      <c r="E481">
        <v>5.8</v>
      </c>
      <c r="G481" s="23">
        <f t="shared" si="35"/>
        <v>11</v>
      </c>
      <c r="H481" s="23">
        <f t="shared" si="36"/>
        <v>9</v>
      </c>
    </row>
    <row r="482" spans="1:8" x14ac:dyDescent="0.25">
      <c r="A482" s="22">
        <v>41893.388888888891</v>
      </c>
      <c r="B482" s="23">
        <v>437.7</v>
      </c>
      <c r="C482">
        <v>94.2</v>
      </c>
      <c r="D482">
        <v>9.8000000000000007</v>
      </c>
      <c r="E482">
        <v>5.8</v>
      </c>
      <c r="G482" s="23">
        <f t="shared" si="35"/>
        <v>11</v>
      </c>
      <c r="H482" s="23">
        <f t="shared" si="36"/>
        <v>9</v>
      </c>
    </row>
    <row r="483" spans="1:8" x14ac:dyDescent="0.25">
      <c r="A483" s="22">
        <v>41893.392361111109</v>
      </c>
      <c r="B483" s="23">
        <v>442.2</v>
      </c>
      <c r="C483">
        <v>94.3</v>
      </c>
      <c r="D483">
        <v>9.8000000000000007</v>
      </c>
      <c r="E483">
        <v>5.8</v>
      </c>
      <c r="G483" s="23">
        <f t="shared" si="35"/>
        <v>11</v>
      </c>
      <c r="H483" s="23">
        <f t="shared" si="36"/>
        <v>9</v>
      </c>
    </row>
    <row r="484" spans="1:8" x14ac:dyDescent="0.25">
      <c r="A484" s="22">
        <v>41893.395833333336</v>
      </c>
      <c r="B484" s="23">
        <v>442.1</v>
      </c>
      <c r="C484">
        <v>94.3</v>
      </c>
      <c r="D484">
        <v>9.8000000000000007</v>
      </c>
      <c r="E484">
        <v>5.8</v>
      </c>
      <c r="G484" s="23">
        <f t="shared" si="35"/>
        <v>11</v>
      </c>
      <c r="H484" s="23">
        <f t="shared" si="36"/>
        <v>9</v>
      </c>
    </row>
    <row r="485" spans="1:8" x14ac:dyDescent="0.25">
      <c r="A485" s="22">
        <v>41893.399305555555</v>
      </c>
      <c r="B485" s="23">
        <v>440</v>
      </c>
      <c r="C485">
        <v>94.3</v>
      </c>
      <c r="D485">
        <v>9.8000000000000007</v>
      </c>
      <c r="E485">
        <v>5.8</v>
      </c>
      <c r="G485" s="23">
        <f t="shared" si="35"/>
        <v>11</v>
      </c>
      <c r="H485" s="23">
        <f t="shared" si="36"/>
        <v>9</v>
      </c>
    </row>
    <row r="486" spans="1:8" x14ac:dyDescent="0.25">
      <c r="A486" s="22">
        <v>41893.402777777781</v>
      </c>
      <c r="B486" s="23">
        <v>440.3</v>
      </c>
      <c r="C486">
        <v>94.3</v>
      </c>
      <c r="D486">
        <v>9.8000000000000007</v>
      </c>
      <c r="E486">
        <v>5.8</v>
      </c>
      <c r="G486" s="23">
        <f t="shared" si="35"/>
        <v>11</v>
      </c>
      <c r="H486" s="23">
        <f t="shared" si="36"/>
        <v>9</v>
      </c>
    </row>
    <row r="487" spans="1:8" x14ac:dyDescent="0.25">
      <c r="A487" s="22">
        <v>41893.40625</v>
      </c>
      <c r="B487" s="23">
        <v>438.7</v>
      </c>
      <c r="C487">
        <v>94.2</v>
      </c>
      <c r="D487">
        <v>9.8000000000000007</v>
      </c>
      <c r="E487">
        <v>5.8</v>
      </c>
      <c r="G487" s="23">
        <f t="shared" si="35"/>
        <v>11</v>
      </c>
      <c r="H487" s="23">
        <f t="shared" si="36"/>
        <v>9</v>
      </c>
    </row>
    <row r="488" spans="1:8" x14ac:dyDescent="0.25">
      <c r="A488" s="22">
        <v>41893.409722222219</v>
      </c>
      <c r="B488" s="23">
        <v>436.5</v>
      </c>
      <c r="C488">
        <v>94.3</v>
      </c>
      <c r="D488">
        <v>9.8000000000000007</v>
      </c>
      <c r="E488">
        <v>5.8</v>
      </c>
      <c r="G488" s="23">
        <f t="shared" si="35"/>
        <v>11</v>
      </c>
      <c r="H488" s="23">
        <f t="shared" si="36"/>
        <v>9</v>
      </c>
    </row>
    <row r="489" spans="1:8" x14ac:dyDescent="0.25">
      <c r="A489" s="22">
        <v>41893.413194444445</v>
      </c>
      <c r="B489" s="23">
        <v>436.7</v>
      </c>
      <c r="C489">
        <v>94.3</v>
      </c>
      <c r="D489">
        <v>9.8000000000000007</v>
      </c>
      <c r="E489">
        <v>5.8</v>
      </c>
      <c r="G489" s="23">
        <f t="shared" si="35"/>
        <v>11</v>
      </c>
      <c r="H489" s="23">
        <f t="shared" si="36"/>
        <v>9</v>
      </c>
    </row>
    <row r="490" spans="1:8" x14ac:dyDescent="0.25">
      <c r="A490" s="22">
        <v>41893.416666666664</v>
      </c>
      <c r="B490" s="23">
        <v>437.1</v>
      </c>
      <c r="C490">
        <v>94.2</v>
      </c>
      <c r="D490">
        <v>9.8000000000000007</v>
      </c>
      <c r="E490">
        <v>5.8</v>
      </c>
      <c r="G490" s="23">
        <f t="shared" si="35"/>
        <v>11</v>
      </c>
      <c r="H490" s="23">
        <f t="shared" si="36"/>
        <v>10</v>
      </c>
    </row>
    <row r="491" spans="1:8" x14ac:dyDescent="0.25">
      <c r="A491" s="22">
        <v>41893.420138888891</v>
      </c>
      <c r="B491" s="23">
        <v>437.4</v>
      </c>
      <c r="C491">
        <v>94.2</v>
      </c>
      <c r="D491">
        <v>9.8000000000000007</v>
      </c>
      <c r="E491">
        <v>5.8</v>
      </c>
      <c r="G491" s="23">
        <f t="shared" si="35"/>
        <v>11</v>
      </c>
      <c r="H491" s="23">
        <f t="shared" si="36"/>
        <v>10</v>
      </c>
    </row>
    <row r="492" spans="1:8" x14ac:dyDescent="0.25">
      <c r="A492" s="22">
        <v>41893.423611111109</v>
      </c>
      <c r="B492" s="23">
        <v>434.2</v>
      </c>
      <c r="C492">
        <v>94.3</v>
      </c>
      <c r="D492">
        <v>9.6999999999999993</v>
      </c>
      <c r="E492">
        <v>5.8</v>
      </c>
      <c r="G492" s="23">
        <f t="shared" si="35"/>
        <v>11</v>
      </c>
      <c r="H492" s="23">
        <f t="shared" si="36"/>
        <v>10</v>
      </c>
    </row>
    <row r="493" spans="1:8" x14ac:dyDescent="0.25">
      <c r="A493" s="22">
        <v>41893.427083333336</v>
      </c>
      <c r="B493" s="23">
        <v>432.6</v>
      </c>
      <c r="C493">
        <v>94.3</v>
      </c>
      <c r="D493">
        <v>9.6999999999999993</v>
      </c>
      <c r="E493">
        <v>5.8</v>
      </c>
      <c r="G493" s="23">
        <f t="shared" si="35"/>
        <v>11</v>
      </c>
      <c r="H493" s="23">
        <f t="shared" si="36"/>
        <v>10</v>
      </c>
    </row>
    <row r="494" spans="1:8" x14ac:dyDescent="0.25">
      <c r="A494" s="22">
        <v>41893.430555555555</v>
      </c>
      <c r="B494" s="23">
        <v>435.1</v>
      </c>
      <c r="C494">
        <v>94.2</v>
      </c>
      <c r="D494">
        <v>9.8000000000000007</v>
      </c>
      <c r="E494">
        <v>5.8</v>
      </c>
      <c r="G494" s="23">
        <f t="shared" si="35"/>
        <v>11</v>
      </c>
      <c r="H494" s="23">
        <f t="shared" si="36"/>
        <v>10</v>
      </c>
    </row>
    <row r="495" spans="1:8" x14ac:dyDescent="0.25">
      <c r="A495" s="22">
        <v>41893.434027777781</v>
      </c>
      <c r="B495" s="23">
        <v>440.3</v>
      </c>
      <c r="C495">
        <v>94.2</v>
      </c>
      <c r="D495">
        <v>9.8000000000000007</v>
      </c>
      <c r="E495">
        <v>5.8</v>
      </c>
      <c r="G495" s="23">
        <f t="shared" si="35"/>
        <v>11</v>
      </c>
      <c r="H495" s="23">
        <f t="shared" si="36"/>
        <v>10</v>
      </c>
    </row>
    <row r="496" spans="1:8" x14ac:dyDescent="0.25">
      <c r="A496" s="22">
        <v>41893.4375</v>
      </c>
      <c r="B496" s="23">
        <v>421.6</v>
      </c>
      <c r="C496">
        <v>94.2</v>
      </c>
      <c r="D496">
        <v>9.6</v>
      </c>
      <c r="E496">
        <v>5.7</v>
      </c>
      <c r="G496" s="23">
        <f t="shared" si="35"/>
        <v>11</v>
      </c>
      <c r="H496" s="23">
        <f t="shared" si="36"/>
        <v>10</v>
      </c>
    </row>
    <row r="497" spans="1:8" x14ac:dyDescent="0.25">
      <c r="A497" s="22">
        <v>41893.440972222219</v>
      </c>
      <c r="B497" s="23">
        <v>405.1</v>
      </c>
      <c r="C497">
        <v>94.2</v>
      </c>
      <c r="D497">
        <v>9.4</v>
      </c>
      <c r="E497">
        <v>5.8</v>
      </c>
      <c r="G497" s="23">
        <f t="shared" si="35"/>
        <v>11</v>
      </c>
      <c r="H497" s="23">
        <f t="shared" si="36"/>
        <v>10</v>
      </c>
    </row>
    <row r="498" spans="1:8" x14ac:dyDescent="0.25">
      <c r="A498" s="22">
        <v>41893.444444444445</v>
      </c>
      <c r="B498" s="23">
        <v>400</v>
      </c>
      <c r="C498">
        <v>94.1</v>
      </c>
      <c r="D498">
        <v>9.4</v>
      </c>
      <c r="E498">
        <v>5.8</v>
      </c>
      <c r="G498" s="23">
        <f t="shared" si="35"/>
        <v>11</v>
      </c>
      <c r="H498" s="23">
        <f t="shared" si="36"/>
        <v>10</v>
      </c>
    </row>
    <row r="499" spans="1:8" x14ac:dyDescent="0.25">
      <c r="A499" s="22">
        <v>41893.447916666664</v>
      </c>
      <c r="B499" s="23">
        <v>383.3</v>
      </c>
      <c r="C499">
        <v>94.1</v>
      </c>
      <c r="D499">
        <v>9.1999999999999993</v>
      </c>
      <c r="E499">
        <v>5.7</v>
      </c>
      <c r="G499" s="23">
        <f t="shared" si="35"/>
        <v>11</v>
      </c>
      <c r="H499" s="23">
        <f t="shared" si="36"/>
        <v>10</v>
      </c>
    </row>
    <row r="500" spans="1:8" x14ac:dyDescent="0.25">
      <c r="A500" s="22">
        <v>41893.451388888891</v>
      </c>
      <c r="B500" s="23">
        <v>382.2</v>
      </c>
      <c r="C500">
        <v>94.1</v>
      </c>
      <c r="D500">
        <v>9.3000000000000007</v>
      </c>
      <c r="E500">
        <v>5.8</v>
      </c>
      <c r="G500" s="23">
        <f t="shared" si="35"/>
        <v>11</v>
      </c>
      <c r="H500" s="23">
        <f t="shared" si="36"/>
        <v>10</v>
      </c>
    </row>
    <row r="501" spans="1:8" x14ac:dyDescent="0.25">
      <c r="A501" s="22">
        <v>41893.454861111109</v>
      </c>
      <c r="B501" s="23">
        <v>382.8</v>
      </c>
      <c r="C501">
        <v>94.2</v>
      </c>
      <c r="D501">
        <v>9.3000000000000007</v>
      </c>
      <c r="E501">
        <v>5.8</v>
      </c>
      <c r="G501" s="23">
        <f t="shared" si="35"/>
        <v>11</v>
      </c>
      <c r="H501" s="23">
        <f t="shared" si="36"/>
        <v>10</v>
      </c>
    </row>
    <row r="502" spans="1:8" x14ac:dyDescent="0.25">
      <c r="A502" s="22">
        <v>41893.458333333336</v>
      </c>
      <c r="B502" s="23">
        <v>377.1</v>
      </c>
      <c r="C502">
        <v>94.2</v>
      </c>
      <c r="D502">
        <v>9.1999999999999993</v>
      </c>
      <c r="E502">
        <v>5.8</v>
      </c>
      <c r="G502" s="23">
        <f t="shared" si="35"/>
        <v>11</v>
      </c>
      <c r="H502" s="23">
        <f t="shared" si="36"/>
        <v>11</v>
      </c>
    </row>
    <row r="503" spans="1:8" x14ac:dyDescent="0.25">
      <c r="A503" s="22">
        <v>41893.461805555555</v>
      </c>
      <c r="B503" s="23">
        <v>373.9</v>
      </c>
      <c r="C503">
        <v>94.1</v>
      </c>
      <c r="D503">
        <v>9.1999999999999993</v>
      </c>
      <c r="E503">
        <v>5.8</v>
      </c>
      <c r="G503" s="23">
        <f t="shared" si="35"/>
        <v>11</v>
      </c>
      <c r="H503" s="23">
        <f t="shared" si="36"/>
        <v>11</v>
      </c>
    </row>
    <row r="504" spans="1:8" x14ac:dyDescent="0.25">
      <c r="A504" s="22">
        <v>41893.465277777781</v>
      </c>
      <c r="B504" s="23">
        <v>375.1</v>
      </c>
      <c r="C504">
        <v>94.1</v>
      </c>
      <c r="D504">
        <v>9.1999999999999993</v>
      </c>
      <c r="E504">
        <v>5.8</v>
      </c>
      <c r="G504" s="23">
        <f t="shared" si="35"/>
        <v>11</v>
      </c>
      <c r="H504" s="23">
        <f t="shared" si="36"/>
        <v>11</v>
      </c>
    </row>
    <row r="505" spans="1:8" x14ac:dyDescent="0.25">
      <c r="A505" s="22">
        <v>41893.46875</v>
      </c>
      <c r="B505" s="23">
        <v>373.5</v>
      </c>
      <c r="C505">
        <v>94.1</v>
      </c>
      <c r="D505">
        <v>9.1999999999999993</v>
      </c>
      <c r="E505">
        <v>5.8</v>
      </c>
      <c r="G505" s="23">
        <f t="shared" si="35"/>
        <v>11</v>
      </c>
      <c r="H505" s="23">
        <f t="shared" si="36"/>
        <v>11</v>
      </c>
    </row>
    <row r="506" spans="1:8" x14ac:dyDescent="0.25">
      <c r="A506" s="22">
        <v>41893.472222222219</v>
      </c>
      <c r="B506">
        <v>377.4</v>
      </c>
      <c r="C506">
        <v>94.3</v>
      </c>
      <c r="D506">
        <v>9.1999999999999993</v>
      </c>
      <c r="E506">
        <v>5.8</v>
      </c>
      <c r="G506" s="23">
        <f t="shared" si="35"/>
        <v>11</v>
      </c>
      <c r="H506" s="23">
        <f t="shared" si="36"/>
        <v>11</v>
      </c>
    </row>
    <row r="507" spans="1:8" x14ac:dyDescent="0.25">
      <c r="A507" s="22">
        <v>41893.475694444445</v>
      </c>
      <c r="B507">
        <v>377.8</v>
      </c>
      <c r="C507">
        <v>94.2</v>
      </c>
      <c r="D507">
        <v>9.1999999999999993</v>
      </c>
      <c r="E507">
        <v>5.8</v>
      </c>
      <c r="G507" s="23">
        <f t="shared" si="35"/>
        <v>11</v>
      </c>
      <c r="H507" s="23">
        <f t="shared" si="36"/>
        <v>11</v>
      </c>
    </row>
    <row r="508" spans="1:8" x14ac:dyDescent="0.25">
      <c r="A508" s="22">
        <v>41893.479166666664</v>
      </c>
      <c r="B508">
        <v>388</v>
      </c>
      <c r="C508">
        <v>94.2</v>
      </c>
      <c r="D508">
        <v>9.3000000000000007</v>
      </c>
      <c r="E508">
        <v>5.8</v>
      </c>
      <c r="G508" s="23">
        <f t="shared" si="35"/>
        <v>11</v>
      </c>
      <c r="H508" s="23">
        <f t="shared" si="36"/>
        <v>11</v>
      </c>
    </row>
    <row r="509" spans="1:8" x14ac:dyDescent="0.25">
      <c r="A509" s="22">
        <v>41893.482638888891</v>
      </c>
      <c r="B509">
        <v>388.8</v>
      </c>
      <c r="C509">
        <v>94.3</v>
      </c>
      <c r="D509">
        <v>9.3000000000000007</v>
      </c>
      <c r="E509">
        <v>5.8</v>
      </c>
      <c r="G509" s="23">
        <f t="shared" si="35"/>
        <v>11</v>
      </c>
      <c r="H509" s="23">
        <f t="shared" si="36"/>
        <v>11</v>
      </c>
    </row>
    <row r="510" spans="1:8" x14ac:dyDescent="0.25">
      <c r="A510" s="22">
        <v>41893.486111111109</v>
      </c>
      <c r="B510">
        <v>389.8</v>
      </c>
      <c r="C510">
        <v>94.3</v>
      </c>
      <c r="D510">
        <v>9.3000000000000007</v>
      </c>
      <c r="E510">
        <v>5.8</v>
      </c>
      <c r="G510" s="23">
        <f t="shared" si="35"/>
        <v>11</v>
      </c>
      <c r="H510" s="23">
        <f t="shared" si="36"/>
        <v>11</v>
      </c>
    </row>
    <row r="511" spans="1:8" x14ac:dyDescent="0.25">
      <c r="A511" s="22">
        <v>41893.489583333336</v>
      </c>
      <c r="B511">
        <v>388.6</v>
      </c>
      <c r="C511">
        <v>94.3</v>
      </c>
      <c r="D511">
        <v>9.3000000000000007</v>
      </c>
      <c r="E511">
        <v>5.8</v>
      </c>
      <c r="G511" s="23">
        <f t="shared" si="35"/>
        <v>11</v>
      </c>
      <c r="H511" s="23">
        <f t="shared" si="36"/>
        <v>11</v>
      </c>
    </row>
    <row r="512" spans="1:8" x14ac:dyDescent="0.25">
      <c r="A512" s="22">
        <v>41893.493055555555</v>
      </c>
      <c r="B512">
        <v>386.3</v>
      </c>
      <c r="C512">
        <v>94.3</v>
      </c>
      <c r="D512">
        <v>9.3000000000000007</v>
      </c>
      <c r="E512">
        <v>5.8</v>
      </c>
      <c r="G512" s="23">
        <f t="shared" si="35"/>
        <v>11</v>
      </c>
      <c r="H512" s="23">
        <f t="shared" si="36"/>
        <v>11</v>
      </c>
    </row>
    <row r="513" spans="1:8" x14ac:dyDescent="0.25">
      <c r="A513" s="22">
        <v>41893.496527777781</v>
      </c>
      <c r="B513">
        <v>385.5</v>
      </c>
      <c r="C513">
        <v>94.2</v>
      </c>
      <c r="D513">
        <v>9.3000000000000007</v>
      </c>
      <c r="E513">
        <v>5.8</v>
      </c>
      <c r="G513" s="23">
        <f t="shared" si="35"/>
        <v>11</v>
      </c>
      <c r="H513" s="23">
        <f t="shared" si="36"/>
        <v>11</v>
      </c>
    </row>
    <row r="514" spans="1:8" x14ac:dyDescent="0.25">
      <c r="A514" s="22">
        <v>41893.5</v>
      </c>
      <c r="B514">
        <v>387.6</v>
      </c>
      <c r="C514">
        <v>94.3</v>
      </c>
      <c r="D514">
        <v>9.3000000000000007</v>
      </c>
      <c r="E514">
        <v>5.8</v>
      </c>
      <c r="G514" s="23">
        <f t="shared" si="35"/>
        <v>11</v>
      </c>
      <c r="H514" s="23">
        <f t="shared" si="36"/>
        <v>12</v>
      </c>
    </row>
    <row r="515" spans="1:8" x14ac:dyDescent="0.25">
      <c r="A515" s="22">
        <v>41893.503472222219</v>
      </c>
      <c r="B515">
        <v>386</v>
      </c>
      <c r="C515">
        <v>94.3</v>
      </c>
      <c r="D515">
        <v>9.3000000000000007</v>
      </c>
      <c r="E515">
        <v>5.8</v>
      </c>
      <c r="G515" s="23">
        <f t="shared" si="35"/>
        <v>11</v>
      </c>
      <c r="H515" s="23">
        <f t="shared" si="36"/>
        <v>12</v>
      </c>
    </row>
    <row r="516" spans="1:8" x14ac:dyDescent="0.25">
      <c r="A516" s="22">
        <v>41893.506944444445</v>
      </c>
      <c r="B516">
        <v>381.5</v>
      </c>
      <c r="C516">
        <v>94.2</v>
      </c>
      <c r="D516">
        <v>9.1999999999999993</v>
      </c>
      <c r="E516">
        <v>5.8</v>
      </c>
      <c r="G516" s="23">
        <f t="shared" si="35"/>
        <v>11</v>
      </c>
      <c r="H516" s="23">
        <f t="shared" si="36"/>
        <v>12</v>
      </c>
    </row>
    <row r="517" spans="1:8" x14ac:dyDescent="0.25">
      <c r="A517" s="22">
        <v>41893.510416666664</v>
      </c>
      <c r="B517">
        <v>400.8</v>
      </c>
      <c r="C517">
        <v>94.1</v>
      </c>
      <c r="D517">
        <v>9.5</v>
      </c>
      <c r="E517">
        <v>5.8</v>
      </c>
      <c r="G517" s="23">
        <f t="shared" si="35"/>
        <v>11</v>
      </c>
      <c r="H517" s="23">
        <f t="shared" si="36"/>
        <v>12</v>
      </c>
    </row>
    <row r="518" spans="1:8" x14ac:dyDescent="0.25">
      <c r="A518" s="22">
        <v>41893.513888888891</v>
      </c>
      <c r="B518">
        <v>425.5</v>
      </c>
      <c r="C518">
        <v>94.3</v>
      </c>
      <c r="D518">
        <v>9.6999999999999993</v>
      </c>
      <c r="E518">
        <v>5.8</v>
      </c>
      <c r="G518" s="23">
        <f t="shared" ref="G518:G581" si="37">+DAY(A518)</f>
        <v>11</v>
      </c>
      <c r="H518" s="23">
        <f t="shared" ref="H518:H581" si="38">+HOUR(A518)</f>
        <v>12</v>
      </c>
    </row>
    <row r="519" spans="1:8" x14ac:dyDescent="0.25">
      <c r="A519" s="22">
        <v>41893.517361111109</v>
      </c>
      <c r="B519">
        <v>431.9</v>
      </c>
      <c r="C519">
        <v>94.3</v>
      </c>
      <c r="D519">
        <v>9.6999999999999993</v>
      </c>
      <c r="E519">
        <v>5.8</v>
      </c>
      <c r="G519" s="23">
        <f t="shared" si="37"/>
        <v>11</v>
      </c>
      <c r="H519" s="23">
        <f t="shared" si="38"/>
        <v>12</v>
      </c>
    </row>
    <row r="520" spans="1:8" x14ac:dyDescent="0.25">
      <c r="A520" s="22">
        <v>41893.520833333336</v>
      </c>
      <c r="B520">
        <v>436</v>
      </c>
      <c r="C520">
        <v>94.2</v>
      </c>
      <c r="D520">
        <v>9.8000000000000007</v>
      </c>
      <c r="E520">
        <v>5.8</v>
      </c>
      <c r="G520" s="23">
        <f t="shared" si="37"/>
        <v>11</v>
      </c>
      <c r="H520" s="23">
        <f t="shared" si="38"/>
        <v>12</v>
      </c>
    </row>
    <row r="521" spans="1:8" x14ac:dyDescent="0.25">
      <c r="A521" s="22">
        <v>41893.524305555555</v>
      </c>
      <c r="B521">
        <v>442.2</v>
      </c>
      <c r="C521">
        <v>94.2</v>
      </c>
      <c r="D521">
        <v>9.8000000000000007</v>
      </c>
      <c r="E521">
        <v>5.8</v>
      </c>
      <c r="G521" s="23">
        <f t="shared" si="37"/>
        <v>11</v>
      </c>
      <c r="H521" s="23">
        <f t="shared" si="38"/>
        <v>12</v>
      </c>
    </row>
    <row r="522" spans="1:8" x14ac:dyDescent="0.25">
      <c r="A522" s="22">
        <v>41893.527777777781</v>
      </c>
      <c r="B522">
        <v>454.1</v>
      </c>
      <c r="C522">
        <v>94.2</v>
      </c>
      <c r="D522">
        <v>10</v>
      </c>
      <c r="E522">
        <v>5.8</v>
      </c>
      <c r="G522" s="23">
        <f t="shared" si="37"/>
        <v>11</v>
      </c>
      <c r="H522" s="23">
        <f t="shared" si="38"/>
        <v>12</v>
      </c>
    </row>
    <row r="523" spans="1:8" x14ac:dyDescent="0.25">
      <c r="A523" s="22">
        <v>41893.53125</v>
      </c>
      <c r="B523">
        <v>465</v>
      </c>
      <c r="C523">
        <v>94.3</v>
      </c>
      <c r="D523">
        <v>10.1</v>
      </c>
      <c r="E523">
        <v>5.8</v>
      </c>
      <c r="G523" s="23">
        <f t="shared" si="37"/>
        <v>11</v>
      </c>
      <c r="H523" s="23">
        <f t="shared" si="38"/>
        <v>12</v>
      </c>
    </row>
    <row r="524" spans="1:8" x14ac:dyDescent="0.25">
      <c r="A524" s="22">
        <v>41893.534722222219</v>
      </c>
      <c r="B524">
        <v>467.1</v>
      </c>
      <c r="C524">
        <v>94.3</v>
      </c>
      <c r="D524">
        <v>10.1</v>
      </c>
      <c r="E524">
        <v>5.8</v>
      </c>
      <c r="G524" s="23">
        <f t="shared" si="37"/>
        <v>11</v>
      </c>
      <c r="H524" s="23">
        <f t="shared" si="38"/>
        <v>12</v>
      </c>
    </row>
    <row r="525" spans="1:8" x14ac:dyDescent="0.25">
      <c r="A525" s="22">
        <v>41893.538194444445</v>
      </c>
      <c r="B525">
        <v>467.5</v>
      </c>
      <c r="C525">
        <v>94.3</v>
      </c>
      <c r="D525">
        <v>10.1</v>
      </c>
      <c r="E525">
        <v>5.8</v>
      </c>
      <c r="G525" s="23">
        <f t="shared" si="37"/>
        <v>11</v>
      </c>
      <c r="H525" s="23">
        <f t="shared" si="38"/>
        <v>12</v>
      </c>
    </row>
    <row r="526" spans="1:8" x14ac:dyDescent="0.25">
      <c r="A526" s="22">
        <v>41893.541666666664</v>
      </c>
      <c r="B526">
        <v>468.5</v>
      </c>
      <c r="C526">
        <v>94.4</v>
      </c>
      <c r="D526">
        <v>10.199999999999999</v>
      </c>
      <c r="E526">
        <v>5.9</v>
      </c>
      <c r="G526" s="23">
        <f t="shared" si="37"/>
        <v>11</v>
      </c>
      <c r="H526" s="23">
        <f t="shared" si="38"/>
        <v>13</v>
      </c>
    </row>
    <row r="527" spans="1:8" x14ac:dyDescent="0.25">
      <c r="A527" s="22">
        <v>41893.545138888891</v>
      </c>
      <c r="B527">
        <v>467.8</v>
      </c>
      <c r="C527">
        <v>94.4</v>
      </c>
      <c r="D527">
        <v>10.199999999999999</v>
      </c>
      <c r="E527">
        <v>6</v>
      </c>
      <c r="G527" s="23">
        <f t="shared" si="37"/>
        <v>11</v>
      </c>
      <c r="H527" s="23">
        <f t="shared" si="38"/>
        <v>13</v>
      </c>
    </row>
    <row r="528" spans="1:8" x14ac:dyDescent="0.25">
      <c r="A528" s="22">
        <v>41893.548611111109</v>
      </c>
      <c r="B528">
        <v>467.7</v>
      </c>
      <c r="C528">
        <v>94.3</v>
      </c>
      <c r="D528">
        <v>10.199999999999999</v>
      </c>
      <c r="E528">
        <v>6</v>
      </c>
      <c r="G528" s="23">
        <f t="shared" si="37"/>
        <v>11</v>
      </c>
      <c r="H528" s="23">
        <f t="shared" si="38"/>
        <v>13</v>
      </c>
    </row>
    <row r="529" spans="1:8" x14ac:dyDescent="0.25">
      <c r="A529" s="22">
        <v>41893.552083333336</v>
      </c>
      <c r="B529">
        <v>467.3</v>
      </c>
      <c r="C529">
        <v>94.3</v>
      </c>
      <c r="D529">
        <v>10.199999999999999</v>
      </c>
      <c r="E529">
        <v>6</v>
      </c>
      <c r="G529" s="23">
        <f t="shared" si="37"/>
        <v>11</v>
      </c>
      <c r="H529" s="23">
        <f t="shared" si="38"/>
        <v>13</v>
      </c>
    </row>
    <row r="530" spans="1:8" x14ac:dyDescent="0.25">
      <c r="A530" s="22">
        <v>41893.555555555555</v>
      </c>
      <c r="B530">
        <v>468.9</v>
      </c>
      <c r="C530">
        <v>94.2</v>
      </c>
      <c r="D530">
        <v>10.3</v>
      </c>
      <c r="E530">
        <v>6</v>
      </c>
      <c r="G530" s="23">
        <f t="shared" si="37"/>
        <v>11</v>
      </c>
      <c r="H530" s="23">
        <f t="shared" si="38"/>
        <v>13</v>
      </c>
    </row>
    <row r="531" spans="1:8" x14ac:dyDescent="0.25">
      <c r="A531" s="22">
        <v>41893.559027777781</v>
      </c>
      <c r="B531">
        <v>469.7</v>
      </c>
      <c r="C531">
        <v>94.4</v>
      </c>
      <c r="D531">
        <v>10.3</v>
      </c>
      <c r="E531">
        <v>6</v>
      </c>
      <c r="G531" s="23">
        <f t="shared" si="37"/>
        <v>11</v>
      </c>
      <c r="H531" s="23">
        <f t="shared" si="38"/>
        <v>13</v>
      </c>
    </row>
    <row r="532" spans="1:8" x14ac:dyDescent="0.25">
      <c r="A532" s="22">
        <v>41893.5625</v>
      </c>
      <c r="B532">
        <v>470</v>
      </c>
      <c r="C532">
        <v>94.3</v>
      </c>
      <c r="D532">
        <v>10.3</v>
      </c>
      <c r="E532">
        <v>6.1</v>
      </c>
      <c r="G532" s="23">
        <f t="shared" si="37"/>
        <v>11</v>
      </c>
      <c r="H532" s="23">
        <f t="shared" si="38"/>
        <v>13</v>
      </c>
    </row>
    <row r="533" spans="1:8" x14ac:dyDescent="0.25">
      <c r="A533" s="22">
        <v>41893.565972222219</v>
      </c>
      <c r="B533">
        <v>467.3</v>
      </c>
      <c r="C533">
        <v>94.3</v>
      </c>
      <c r="D533">
        <v>10.4</v>
      </c>
      <c r="E533">
        <v>6.1</v>
      </c>
      <c r="G533" s="23">
        <f t="shared" si="37"/>
        <v>11</v>
      </c>
      <c r="H533" s="23">
        <f t="shared" si="38"/>
        <v>13</v>
      </c>
    </row>
    <row r="534" spans="1:8" x14ac:dyDescent="0.25">
      <c r="A534" s="22">
        <v>41893.569444444445</v>
      </c>
      <c r="B534">
        <v>467.3</v>
      </c>
      <c r="C534">
        <v>94.3</v>
      </c>
      <c r="D534">
        <v>10.4</v>
      </c>
      <c r="E534">
        <v>6.1</v>
      </c>
      <c r="G534" s="23">
        <f t="shared" si="37"/>
        <v>11</v>
      </c>
      <c r="H534" s="23">
        <f t="shared" si="38"/>
        <v>13</v>
      </c>
    </row>
    <row r="535" spans="1:8" x14ac:dyDescent="0.25">
      <c r="A535" s="22">
        <v>41893.572916666664</v>
      </c>
      <c r="B535">
        <v>466</v>
      </c>
      <c r="C535">
        <v>94.3</v>
      </c>
      <c r="D535">
        <v>10.4</v>
      </c>
      <c r="E535">
        <v>6.2</v>
      </c>
      <c r="G535" s="23">
        <f t="shared" si="37"/>
        <v>11</v>
      </c>
      <c r="H535" s="23">
        <f t="shared" si="38"/>
        <v>13</v>
      </c>
    </row>
    <row r="536" spans="1:8" x14ac:dyDescent="0.25">
      <c r="A536" s="22">
        <v>41893.576388888891</v>
      </c>
      <c r="B536">
        <v>466.1</v>
      </c>
      <c r="C536">
        <v>94.3</v>
      </c>
      <c r="D536">
        <v>10.4</v>
      </c>
      <c r="E536">
        <v>6.2</v>
      </c>
      <c r="G536" s="23">
        <f t="shared" si="37"/>
        <v>11</v>
      </c>
      <c r="H536" s="23">
        <f t="shared" si="38"/>
        <v>13</v>
      </c>
    </row>
    <row r="537" spans="1:8" x14ac:dyDescent="0.25">
      <c r="A537" s="22">
        <v>41893.579861111109</v>
      </c>
      <c r="B537">
        <v>468.8</v>
      </c>
      <c r="C537">
        <v>94.3</v>
      </c>
      <c r="D537">
        <v>10.5</v>
      </c>
      <c r="E537">
        <v>6.2</v>
      </c>
      <c r="G537" s="23">
        <f t="shared" si="37"/>
        <v>11</v>
      </c>
      <c r="H537" s="23">
        <f t="shared" si="38"/>
        <v>13</v>
      </c>
    </row>
    <row r="538" spans="1:8" x14ac:dyDescent="0.25">
      <c r="A538" s="22">
        <v>41893.583333333336</v>
      </c>
      <c r="B538">
        <v>470.4</v>
      </c>
      <c r="C538">
        <v>94.3</v>
      </c>
      <c r="D538">
        <v>10.5</v>
      </c>
      <c r="E538">
        <v>6.2</v>
      </c>
      <c r="G538" s="23">
        <f t="shared" si="37"/>
        <v>11</v>
      </c>
      <c r="H538" s="23">
        <f t="shared" si="38"/>
        <v>14</v>
      </c>
    </row>
    <row r="539" spans="1:8" x14ac:dyDescent="0.25">
      <c r="A539" s="22">
        <v>41893.586805555555</v>
      </c>
      <c r="B539">
        <v>471</v>
      </c>
      <c r="C539">
        <v>94.3</v>
      </c>
      <c r="D539">
        <v>10.6</v>
      </c>
      <c r="E539">
        <v>6.3</v>
      </c>
      <c r="G539" s="23">
        <f t="shared" si="37"/>
        <v>11</v>
      </c>
      <c r="H539" s="23">
        <f t="shared" si="38"/>
        <v>14</v>
      </c>
    </row>
    <row r="540" spans="1:8" x14ac:dyDescent="0.25">
      <c r="A540" s="22">
        <v>41893.590277777781</v>
      </c>
      <c r="B540">
        <v>469.5</v>
      </c>
      <c r="C540">
        <v>94.4</v>
      </c>
      <c r="D540">
        <v>10.6</v>
      </c>
      <c r="E540">
        <v>6.3</v>
      </c>
      <c r="G540" s="23">
        <f t="shared" si="37"/>
        <v>11</v>
      </c>
      <c r="H540" s="23">
        <f t="shared" si="38"/>
        <v>14</v>
      </c>
    </row>
    <row r="541" spans="1:8" x14ac:dyDescent="0.25">
      <c r="A541" s="22">
        <v>41893.59375</v>
      </c>
      <c r="B541">
        <v>467.2</v>
      </c>
      <c r="C541">
        <v>94.3</v>
      </c>
      <c r="D541">
        <v>10.6</v>
      </c>
      <c r="E541">
        <v>6.3</v>
      </c>
      <c r="G541" s="23">
        <f t="shared" si="37"/>
        <v>11</v>
      </c>
      <c r="H541" s="23">
        <f t="shared" si="38"/>
        <v>14</v>
      </c>
    </row>
    <row r="542" spans="1:8" x14ac:dyDescent="0.25">
      <c r="A542" s="22">
        <v>41893.597222222219</v>
      </c>
      <c r="B542">
        <v>466.3</v>
      </c>
      <c r="C542">
        <v>94.3</v>
      </c>
      <c r="D542">
        <v>10.6</v>
      </c>
      <c r="E542">
        <v>6.4</v>
      </c>
      <c r="G542" s="23">
        <f t="shared" si="37"/>
        <v>11</v>
      </c>
      <c r="H542" s="23">
        <f t="shared" si="38"/>
        <v>14</v>
      </c>
    </row>
    <row r="543" spans="1:8" x14ac:dyDescent="0.25">
      <c r="A543" s="22">
        <v>41893.600694444445</v>
      </c>
      <c r="B543">
        <v>470.1</v>
      </c>
      <c r="C543">
        <v>94.4</v>
      </c>
      <c r="D543">
        <v>10.7</v>
      </c>
      <c r="E543">
        <v>6.4</v>
      </c>
      <c r="G543" s="23">
        <f t="shared" si="37"/>
        <v>11</v>
      </c>
      <c r="H543" s="23">
        <f t="shared" si="38"/>
        <v>14</v>
      </c>
    </row>
    <row r="544" spans="1:8" x14ac:dyDescent="0.25">
      <c r="A544" s="22">
        <v>41893.604166666664</v>
      </c>
      <c r="B544">
        <v>471.7</v>
      </c>
      <c r="C544">
        <v>94.4</v>
      </c>
      <c r="D544">
        <v>10.7</v>
      </c>
      <c r="E544">
        <v>6.5</v>
      </c>
      <c r="G544" s="23">
        <f t="shared" si="37"/>
        <v>11</v>
      </c>
      <c r="H544" s="23">
        <f t="shared" si="38"/>
        <v>14</v>
      </c>
    </row>
    <row r="545" spans="1:8" x14ac:dyDescent="0.25">
      <c r="A545" s="22">
        <v>41893.607638888891</v>
      </c>
      <c r="B545">
        <v>472.8</v>
      </c>
      <c r="C545">
        <v>94.4</v>
      </c>
      <c r="D545">
        <v>10.8</v>
      </c>
      <c r="E545">
        <v>6.5</v>
      </c>
      <c r="G545" s="23">
        <f t="shared" si="37"/>
        <v>11</v>
      </c>
      <c r="H545" s="23">
        <f t="shared" si="38"/>
        <v>14</v>
      </c>
    </row>
    <row r="546" spans="1:8" x14ac:dyDescent="0.25">
      <c r="A546" s="22">
        <v>41893.611111111109</v>
      </c>
      <c r="B546">
        <v>472.8</v>
      </c>
      <c r="C546">
        <v>94.3</v>
      </c>
      <c r="D546">
        <v>10.8</v>
      </c>
      <c r="E546">
        <v>6.5</v>
      </c>
      <c r="G546" s="23">
        <f t="shared" si="37"/>
        <v>11</v>
      </c>
      <c r="H546" s="23">
        <f t="shared" si="38"/>
        <v>14</v>
      </c>
    </row>
    <row r="547" spans="1:8" x14ac:dyDescent="0.25">
      <c r="A547" s="22">
        <v>41893.614583333336</v>
      </c>
      <c r="B547">
        <v>471.3</v>
      </c>
      <c r="C547">
        <v>94.3</v>
      </c>
      <c r="D547">
        <v>10.9</v>
      </c>
      <c r="E547">
        <v>6.6</v>
      </c>
      <c r="G547" s="23">
        <f t="shared" si="37"/>
        <v>11</v>
      </c>
      <c r="H547" s="23">
        <f t="shared" si="38"/>
        <v>14</v>
      </c>
    </row>
    <row r="548" spans="1:8" x14ac:dyDescent="0.25">
      <c r="A548" s="22">
        <v>41893.618055555555</v>
      </c>
      <c r="B548">
        <v>471.3</v>
      </c>
      <c r="C548">
        <v>94.4</v>
      </c>
      <c r="D548">
        <v>10.9</v>
      </c>
      <c r="E548">
        <v>6.6</v>
      </c>
      <c r="G548" s="23">
        <f t="shared" si="37"/>
        <v>11</v>
      </c>
      <c r="H548" s="23">
        <f t="shared" si="38"/>
        <v>14</v>
      </c>
    </row>
    <row r="549" spans="1:8" x14ac:dyDescent="0.25">
      <c r="A549" s="22">
        <v>41893.621527777781</v>
      </c>
      <c r="B549">
        <v>470.1</v>
      </c>
      <c r="C549">
        <v>94.4</v>
      </c>
      <c r="D549">
        <v>10.9</v>
      </c>
      <c r="E549">
        <v>6.6</v>
      </c>
      <c r="G549" s="23">
        <f t="shared" si="37"/>
        <v>11</v>
      </c>
      <c r="H549" s="23">
        <f t="shared" si="38"/>
        <v>14</v>
      </c>
    </row>
    <row r="550" spans="1:8" x14ac:dyDescent="0.25">
      <c r="A550" s="22">
        <v>41893.625</v>
      </c>
      <c r="B550">
        <v>465.2</v>
      </c>
      <c r="C550">
        <v>94.3</v>
      </c>
      <c r="D550">
        <v>11</v>
      </c>
      <c r="E550">
        <v>6.7</v>
      </c>
      <c r="G550" s="23">
        <f t="shared" si="37"/>
        <v>11</v>
      </c>
      <c r="H550" s="23">
        <f t="shared" si="38"/>
        <v>15</v>
      </c>
    </row>
    <row r="551" spans="1:8" x14ac:dyDescent="0.25">
      <c r="A551" s="22">
        <v>41893.628472222219</v>
      </c>
      <c r="B551">
        <v>465.8</v>
      </c>
      <c r="C551">
        <v>94.4</v>
      </c>
      <c r="D551">
        <v>11</v>
      </c>
      <c r="E551">
        <v>6.8</v>
      </c>
      <c r="G551" s="23">
        <f t="shared" si="37"/>
        <v>11</v>
      </c>
      <c r="H551" s="23">
        <f t="shared" si="38"/>
        <v>15</v>
      </c>
    </row>
    <row r="552" spans="1:8" x14ac:dyDescent="0.25">
      <c r="A552" s="22">
        <v>41893.631944444445</v>
      </c>
      <c r="B552">
        <v>470</v>
      </c>
      <c r="C552">
        <v>94.4</v>
      </c>
      <c r="D552">
        <v>11.1</v>
      </c>
      <c r="E552">
        <v>6.8</v>
      </c>
      <c r="G552" s="23">
        <f t="shared" si="37"/>
        <v>11</v>
      </c>
      <c r="H552" s="23">
        <f t="shared" si="38"/>
        <v>15</v>
      </c>
    </row>
    <row r="553" spans="1:8" x14ac:dyDescent="0.25">
      <c r="A553" s="22">
        <v>41893.635416666664</v>
      </c>
      <c r="B553">
        <v>470.5</v>
      </c>
      <c r="C553">
        <v>94.4</v>
      </c>
      <c r="D553">
        <v>11.1</v>
      </c>
      <c r="E553">
        <v>6.8</v>
      </c>
      <c r="G553" s="23">
        <f t="shared" si="37"/>
        <v>11</v>
      </c>
      <c r="H553" s="23">
        <f t="shared" si="38"/>
        <v>15</v>
      </c>
    </row>
    <row r="554" spans="1:8" x14ac:dyDescent="0.25">
      <c r="A554" s="22">
        <v>41893.638888888891</v>
      </c>
      <c r="B554">
        <v>474.5</v>
      </c>
      <c r="C554">
        <v>94.4</v>
      </c>
      <c r="D554">
        <v>11.1</v>
      </c>
      <c r="E554">
        <v>6.8</v>
      </c>
      <c r="G554" s="23">
        <f t="shared" si="37"/>
        <v>11</v>
      </c>
      <c r="H554" s="23">
        <f t="shared" si="38"/>
        <v>15</v>
      </c>
    </row>
    <row r="555" spans="1:8" x14ac:dyDescent="0.25">
      <c r="A555" s="22">
        <v>41893.642361111109</v>
      </c>
      <c r="B555">
        <v>476.4</v>
      </c>
      <c r="C555">
        <v>94.4</v>
      </c>
      <c r="D555">
        <v>11.2</v>
      </c>
      <c r="E555">
        <v>6.8</v>
      </c>
      <c r="G555" s="23">
        <f t="shared" si="37"/>
        <v>11</v>
      </c>
      <c r="H555" s="23">
        <f t="shared" si="38"/>
        <v>15</v>
      </c>
    </row>
    <row r="556" spans="1:8" x14ac:dyDescent="0.25">
      <c r="A556" s="22">
        <v>41893.645833333336</v>
      </c>
      <c r="B556">
        <v>478.3</v>
      </c>
      <c r="C556">
        <v>94.4</v>
      </c>
      <c r="D556">
        <v>11.2</v>
      </c>
      <c r="E556">
        <v>6.8</v>
      </c>
      <c r="G556" s="23">
        <f t="shared" si="37"/>
        <v>11</v>
      </c>
      <c r="H556" s="23">
        <f t="shared" si="38"/>
        <v>15</v>
      </c>
    </row>
    <row r="557" spans="1:8" x14ac:dyDescent="0.25">
      <c r="A557" s="22">
        <v>41893.649305555555</v>
      </c>
      <c r="B557">
        <v>469.9</v>
      </c>
      <c r="C557">
        <v>94.4</v>
      </c>
      <c r="D557">
        <v>11</v>
      </c>
      <c r="E557">
        <v>6.7</v>
      </c>
      <c r="G557" s="23">
        <f t="shared" si="37"/>
        <v>11</v>
      </c>
      <c r="H557" s="23">
        <f t="shared" si="38"/>
        <v>15</v>
      </c>
    </row>
    <row r="558" spans="1:8" x14ac:dyDescent="0.25">
      <c r="A558" s="22">
        <v>41893.652777777781</v>
      </c>
      <c r="B558">
        <v>469.4</v>
      </c>
      <c r="C558">
        <v>94.4</v>
      </c>
      <c r="D558">
        <v>10.7</v>
      </c>
      <c r="E558">
        <v>6.4</v>
      </c>
      <c r="G558" s="23">
        <f t="shared" si="37"/>
        <v>11</v>
      </c>
      <c r="H558" s="23">
        <f t="shared" si="38"/>
        <v>15</v>
      </c>
    </row>
    <row r="559" spans="1:8" x14ac:dyDescent="0.25">
      <c r="A559" s="22">
        <v>41893.65625</v>
      </c>
      <c r="B559">
        <v>469.6</v>
      </c>
      <c r="C559">
        <v>94.3</v>
      </c>
      <c r="D559">
        <v>10.6</v>
      </c>
      <c r="E559">
        <v>6.3</v>
      </c>
      <c r="G559" s="23">
        <f t="shared" si="37"/>
        <v>11</v>
      </c>
      <c r="H559" s="23">
        <f t="shared" si="38"/>
        <v>15</v>
      </c>
    </row>
    <row r="560" spans="1:8" x14ac:dyDescent="0.25">
      <c r="A560" s="22">
        <v>41893.659722222219</v>
      </c>
      <c r="B560">
        <v>468.8</v>
      </c>
      <c r="C560">
        <v>94.2</v>
      </c>
      <c r="D560">
        <v>10.6</v>
      </c>
      <c r="E560">
        <v>6.3</v>
      </c>
      <c r="G560" s="23">
        <f t="shared" si="37"/>
        <v>11</v>
      </c>
      <c r="H560" s="23">
        <f t="shared" si="38"/>
        <v>15</v>
      </c>
    </row>
    <row r="561" spans="1:8" x14ac:dyDescent="0.25">
      <c r="A561" s="22">
        <v>41893.663194444445</v>
      </c>
      <c r="B561">
        <v>468.3</v>
      </c>
      <c r="C561">
        <v>94.2</v>
      </c>
      <c r="D561">
        <v>10.5</v>
      </c>
      <c r="E561">
        <v>6.2</v>
      </c>
      <c r="G561" s="23">
        <f t="shared" si="37"/>
        <v>11</v>
      </c>
      <c r="H561" s="23">
        <f t="shared" si="38"/>
        <v>15</v>
      </c>
    </row>
    <row r="562" spans="1:8" x14ac:dyDescent="0.25">
      <c r="A562" s="22">
        <v>41893.666666666664</v>
      </c>
      <c r="B562">
        <v>470.2</v>
      </c>
      <c r="C562">
        <v>94.3</v>
      </c>
      <c r="D562">
        <v>10.4</v>
      </c>
      <c r="E562">
        <v>6.1</v>
      </c>
      <c r="G562" s="23">
        <f t="shared" si="37"/>
        <v>11</v>
      </c>
      <c r="H562" s="23">
        <f t="shared" si="38"/>
        <v>16</v>
      </c>
    </row>
    <row r="563" spans="1:8" x14ac:dyDescent="0.25">
      <c r="A563" s="22">
        <v>41893.670138888891</v>
      </c>
      <c r="B563">
        <v>468.2</v>
      </c>
      <c r="C563">
        <v>94.4</v>
      </c>
      <c r="D563">
        <v>10.3</v>
      </c>
      <c r="E563">
        <v>6</v>
      </c>
      <c r="G563" s="23">
        <f t="shared" si="37"/>
        <v>11</v>
      </c>
      <c r="H563" s="23">
        <f t="shared" si="38"/>
        <v>16</v>
      </c>
    </row>
    <row r="564" spans="1:8" x14ac:dyDescent="0.25">
      <c r="A564" s="22">
        <v>41893.673611111109</v>
      </c>
      <c r="B564">
        <v>469.1</v>
      </c>
      <c r="C564">
        <v>94.2</v>
      </c>
      <c r="D564">
        <v>10.199999999999999</v>
      </c>
      <c r="E564">
        <v>5.9</v>
      </c>
      <c r="G564" s="23">
        <f t="shared" si="37"/>
        <v>11</v>
      </c>
      <c r="H564" s="23">
        <f t="shared" si="38"/>
        <v>16</v>
      </c>
    </row>
    <row r="565" spans="1:8" x14ac:dyDescent="0.25">
      <c r="A565" s="22">
        <v>41893.677083333336</v>
      </c>
      <c r="B565">
        <v>469.1</v>
      </c>
      <c r="C565">
        <v>94.2</v>
      </c>
      <c r="D565">
        <v>10.1</v>
      </c>
      <c r="E565">
        <v>5.8</v>
      </c>
      <c r="G565" s="23">
        <f t="shared" si="37"/>
        <v>11</v>
      </c>
      <c r="H565" s="23">
        <f t="shared" si="38"/>
        <v>16</v>
      </c>
    </row>
    <row r="566" spans="1:8" x14ac:dyDescent="0.25">
      <c r="A566" s="22">
        <v>41893.680555555555</v>
      </c>
      <c r="B566">
        <v>467</v>
      </c>
      <c r="C566">
        <v>94.3</v>
      </c>
      <c r="D566">
        <v>10.1</v>
      </c>
      <c r="E566">
        <v>5.8</v>
      </c>
      <c r="G566" s="23">
        <f t="shared" si="37"/>
        <v>11</v>
      </c>
      <c r="H566" s="23">
        <f t="shared" si="38"/>
        <v>16</v>
      </c>
    </row>
    <row r="567" spans="1:8" x14ac:dyDescent="0.25">
      <c r="A567" s="22">
        <v>41893.684027777781</v>
      </c>
      <c r="B567">
        <v>462.4</v>
      </c>
      <c r="C567">
        <v>94.3</v>
      </c>
      <c r="D567">
        <v>10</v>
      </c>
      <c r="E567">
        <v>5.8</v>
      </c>
      <c r="G567" s="23">
        <f t="shared" si="37"/>
        <v>11</v>
      </c>
      <c r="H567" s="23">
        <f t="shared" si="38"/>
        <v>16</v>
      </c>
    </row>
    <row r="568" spans="1:8" x14ac:dyDescent="0.25">
      <c r="A568" s="22">
        <v>41893.6875</v>
      </c>
      <c r="B568">
        <v>452.5</v>
      </c>
      <c r="C568">
        <v>94.2</v>
      </c>
      <c r="D568">
        <v>9.9</v>
      </c>
      <c r="E568">
        <v>5.8</v>
      </c>
      <c r="G568" s="23">
        <f t="shared" si="37"/>
        <v>11</v>
      </c>
      <c r="H568" s="23">
        <f t="shared" si="38"/>
        <v>16</v>
      </c>
    </row>
    <row r="569" spans="1:8" x14ac:dyDescent="0.25">
      <c r="A569" s="22">
        <v>41893.690972222219</v>
      </c>
      <c r="B569">
        <v>442.9</v>
      </c>
      <c r="C569">
        <v>94.2</v>
      </c>
      <c r="D569">
        <v>9.8000000000000007</v>
      </c>
      <c r="E569">
        <v>5.8</v>
      </c>
      <c r="G569" s="23">
        <f t="shared" si="37"/>
        <v>11</v>
      </c>
      <c r="H569" s="23">
        <f t="shared" si="38"/>
        <v>16</v>
      </c>
    </row>
    <row r="570" spans="1:8" x14ac:dyDescent="0.25">
      <c r="A570" s="22">
        <v>41893.694444444445</v>
      </c>
      <c r="B570">
        <v>438.2</v>
      </c>
      <c r="C570">
        <v>94.2</v>
      </c>
      <c r="D570">
        <v>9.8000000000000007</v>
      </c>
      <c r="E570">
        <v>5.8</v>
      </c>
      <c r="G570" s="23">
        <f t="shared" si="37"/>
        <v>11</v>
      </c>
      <c r="H570" s="23">
        <f t="shared" si="38"/>
        <v>16</v>
      </c>
    </row>
    <row r="571" spans="1:8" x14ac:dyDescent="0.25">
      <c r="A571" s="22">
        <v>41893.697916666664</v>
      </c>
      <c r="B571">
        <v>434.3</v>
      </c>
      <c r="C571">
        <v>94.3</v>
      </c>
      <c r="D571">
        <v>9.6999999999999993</v>
      </c>
      <c r="E571">
        <v>5.8</v>
      </c>
      <c r="G571" s="23">
        <f t="shared" si="37"/>
        <v>11</v>
      </c>
      <c r="H571" s="23">
        <f t="shared" si="38"/>
        <v>16</v>
      </c>
    </row>
    <row r="572" spans="1:8" x14ac:dyDescent="0.25">
      <c r="A572" s="22">
        <v>41893.701388888891</v>
      </c>
      <c r="B572">
        <v>430.2</v>
      </c>
      <c r="C572">
        <v>94.2</v>
      </c>
      <c r="D572">
        <v>9.6999999999999993</v>
      </c>
      <c r="E572">
        <v>5.8</v>
      </c>
      <c r="G572" s="23">
        <f t="shared" si="37"/>
        <v>11</v>
      </c>
      <c r="H572" s="23">
        <f t="shared" si="38"/>
        <v>16</v>
      </c>
    </row>
    <row r="573" spans="1:8" x14ac:dyDescent="0.25">
      <c r="A573" s="22">
        <v>41893.704861111109</v>
      </c>
      <c r="B573">
        <v>429.2</v>
      </c>
      <c r="C573">
        <v>94.3</v>
      </c>
      <c r="D573">
        <v>9.6999999999999993</v>
      </c>
      <c r="E573">
        <v>5.8</v>
      </c>
      <c r="G573" s="23">
        <f t="shared" si="37"/>
        <v>11</v>
      </c>
      <c r="H573" s="23">
        <f t="shared" si="38"/>
        <v>16</v>
      </c>
    </row>
    <row r="574" spans="1:8" x14ac:dyDescent="0.25">
      <c r="A574" s="22">
        <v>41893.708333333336</v>
      </c>
      <c r="B574">
        <v>428.9</v>
      </c>
      <c r="C574">
        <v>94.3</v>
      </c>
      <c r="D574">
        <v>9.6999999999999993</v>
      </c>
      <c r="E574">
        <v>5.8</v>
      </c>
      <c r="G574" s="23">
        <f t="shared" si="37"/>
        <v>11</v>
      </c>
      <c r="H574" s="23">
        <f t="shared" si="38"/>
        <v>17</v>
      </c>
    </row>
    <row r="575" spans="1:8" x14ac:dyDescent="0.25">
      <c r="A575" s="22">
        <v>41893.711805555555</v>
      </c>
      <c r="B575">
        <v>425.7</v>
      </c>
      <c r="C575">
        <v>94.3</v>
      </c>
      <c r="D575">
        <v>9.6999999999999993</v>
      </c>
      <c r="E575">
        <v>5.8</v>
      </c>
      <c r="G575" s="23">
        <f t="shared" si="37"/>
        <v>11</v>
      </c>
      <c r="H575" s="23">
        <f t="shared" si="38"/>
        <v>17</v>
      </c>
    </row>
    <row r="576" spans="1:8" x14ac:dyDescent="0.25">
      <c r="A576" s="22">
        <v>41893.715277777781</v>
      </c>
      <c r="B576">
        <v>422.2</v>
      </c>
      <c r="C576">
        <v>94.3</v>
      </c>
      <c r="D576">
        <v>9.6</v>
      </c>
      <c r="E576">
        <v>5.8</v>
      </c>
      <c r="G576" s="23">
        <f t="shared" si="37"/>
        <v>11</v>
      </c>
      <c r="H576" s="23">
        <f t="shared" si="38"/>
        <v>17</v>
      </c>
    </row>
    <row r="577" spans="1:8" x14ac:dyDescent="0.25">
      <c r="A577" s="22">
        <v>41893.71875</v>
      </c>
      <c r="B577">
        <v>419.2</v>
      </c>
      <c r="C577">
        <v>94.2</v>
      </c>
      <c r="D577">
        <v>9.6</v>
      </c>
      <c r="E577">
        <v>5.8</v>
      </c>
      <c r="G577" s="23">
        <f t="shared" si="37"/>
        <v>11</v>
      </c>
      <c r="H577" s="23">
        <f t="shared" si="38"/>
        <v>17</v>
      </c>
    </row>
    <row r="578" spans="1:8" x14ac:dyDescent="0.25">
      <c r="A578" s="22">
        <v>41893.722222222219</v>
      </c>
      <c r="B578">
        <v>416.7</v>
      </c>
      <c r="C578">
        <v>94.2</v>
      </c>
      <c r="D578">
        <v>9.6</v>
      </c>
      <c r="E578">
        <v>5.8</v>
      </c>
      <c r="G578" s="23">
        <f t="shared" si="37"/>
        <v>11</v>
      </c>
      <c r="H578" s="23">
        <f t="shared" si="38"/>
        <v>17</v>
      </c>
    </row>
    <row r="579" spans="1:8" x14ac:dyDescent="0.25">
      <c r="A579" s="22">
        <v>41893.725694444445</v>
      </c>
      <c r="B579">
        <v>416.4</v>
      </c>
      <c r="C579">
        <v>94.2</v>
      </c>
      <c r="D579">
        <v>9.6</v>
      </c>
      <c r="E579">
        <v>5.8</v>
      </c>
      <c r="G579" s="23">
        <f t="shared" si="37"/>
        <v>11</v>
      </c>
      <c r="H579" s="23">
        <f t="shared" si="38"/>
        <v>17</v>
      </c>
    </row>
    <row r="580" spans="1:8" x14ac:dyDescent="0.25">
      <c r="A580" s="22">
        <v>41893.729166666664</v>
      </c>
      <c r="B580">
        <v>416.4</v>
      </c>
      <c r="C580">
        <v>94.2</v>
      </c>
      <c r="D580">
        <v>9.6</v>
      </c>
      <c r="E580">
        <v>5.8</v>
      </c>
      <c r="G580" s="23">
        <f t="shared" si="37"/>
        <v>11</v>
      </c>
      <c r="H580" s="23">
        <f t="shared" si="38"/>
        <v>17</v>
      </c>
    </row>
    <row r="581" spans="1:8" x14ac:dyDescent="0.25">
      <c r="A581" s="22">
        <v>41893.732638888891</v>
      </c>
      <c r="B581">
        <v>412.8</v>
      </c>
      <c r="C581">
        <v>94.1</v>
      </c>
      <c r="D581">
        <v>9.5</v>
      </c>
      <c r="E581">
        <v>5.8</v>
      </c>
      <c r="G581" s="23">
        <f t="shared" si="37"/>
        <v>11</v>
      </c>
      <c r="H581" s="23">
        <f t="shared" si="38"/>
        <v>17</v>
      </c>
    </row>
    <row r="582" spans="1:8" x14ac:dyDescent="0.25">
      <c r="A582" s="22">
        <v>41893.736111111109</v>
      </c>
      <c r="B582">
        <v>411.1</v>
      </c>
      <c r="C582">
        <v>94.1</v>
      </c>
      <c r="D582">
        <v>9.5</v>
      </c>
      <c r="E582">
        <v>5.8</v>
      </c>
      <c r="G582" s="23">
        <f t="shared" ref="G582:G645" si="39">+DAY(A582)</f>
        <v>11</v>
      </c>
      <c r="H582" s="23">
        <f t="shared" ref="H582:H645" si="40">+HOUR(A582)</f>
        <v>17</v>
      </c>
    </row>
    <row r="583" spans="1:8" x14ac:dyDescent="0.25">
      <c r="A583" s="22">
        <v>41893.739583333336</v>
      </c>
      <c r="B583">
        <v>411.1</v>
      </c>
      <c r="C583">
        <v>94.1</v>
      </c>
      <c r="D583">
        <v>9.5</v>
      </c>
      <c r="E583">
        <v>5.8</v>
      </c>
      <c r="G583" s="23">
        <f t="shared" si="39"/>
        <v>11</v>
      </c>
      <c r="H583" s="23">
        <f t="shared" si="40"/>
        <v>17</v>
      </c>
    </row>
    <row r="584" spans="1:8" x14ac:dyDescent="0.25">
      <c r="A584" s="22">
        <v>41893.743055555555</v>
      </c>
      <c r="B584">
        <v>447.1</v>
      </c>
      <c r="C584">
        <v>94.3</v>
      </c>
      <c r="D584">
        <v>9.9</v>
      </c>
      <c r="E584">
        <v>5.8</v>
      </c>
      <c r="G584" s="23">
        <f t="shared" si="39"/>
        <v>11</v>
      </c>
      <c r="H584" s="23">
        <f t="shared" si="40"/>
        <v>17</v>
      </c>
    </row>
    <row r="585" spans="1:8" x14ac:dyDescent="0.25">
      <c r="A585" s="22">
        <v>41893.746527777781</v>
      </c>
      <c r="B585">
        <v>488.7</v>
      </c>
      <c r="C585">
        <v>94.3</v>
      </c>
      <c r="D585">
        <v>10.5</v>
      </c>
      <c r="E585">
        <v>6</v>
      </c>
      <c r="G585" s="23">
        <f t="shared" si="39"/>
        <v>11</v>
      </c>
      <c r="H585" s="23">
        <f t="shared" si="40"/>
        <v>17</v>
      </c>
    </row>
    <row r="586" spans="1:8" x14ac:dyDescent="0.25">
      <c r="A586" s="22">
        <v>41893.75</v>
      </c>
      <c r="B586">
        <v>482</v>
      </c>
      <c r="C586">
        <v>94.3</v>
      </c>
      <c r="D586">
        <v>10.4</v>
      </c>
      <c r="E586">
        <v>6.1</v>
      </c>
      <c r="G586" s="23">
        <f t="shared" si="39"/>
        <v>11</v>
      </c>
      <c r="H586" s="23">
        <f t="shared" si="40"/>
        <v>18</v>
      </c>
    </row>
    <row r="587" spans="1:8" x14ac:dyDescent="0.25">
      <c r="A587" s="22">
        <v>41893.753472222219</v>
      </c>
      <c r="B587">
        <v>481.6</v>
      </c>
      <c r="C587">
        <v>94.2</v>
      </c>
      <c r="D587">
        <v>10.4</v>
      </c>
      <c r="E587">
        <v>6</v>
      </c>
      <c r="G587" s="23">
        <f t="shared" si="39"/>
        <v>11</v>
      </c>
      <c r="H587" s="23">
        <f t="shared" si="40"/>
        <v>18</v>
      </c>
    </row>
    <row r="588" spans="1:8" x14ac:dyDescent="0.25">
      <c r="A588" s="22">
        <v>41893.756944444445</v>
      </c>
      <c r="B588">
        <v>482.9</v>
      </c>
      <c r="C588">
        <v>94.3</v>
      </c>
      <c r="D588">
        <v>10.4</v>
      </c>
      <c r="E588">
        <v>6</v>
      </c>
      <c r="G588" s="23">
        <f t="shared" si="39"/>
        <v>11</v>
      </c>
      <c r="H588" s="23">
        <f t="shared" si="40"/>
        <v>18</v>
      </c>
    </row>
    <row r="589" spans="1:8" x14ac:dyDescent="0.25">
      <c r="A589" s="22">
        <v>41893.760416666664</v>
      </c>
      <c r="B589">
        <v>482.3</v>
      </c>
      <c r="C589">
        <v>94.3</v>
      </c>
      <c r="D589">
        <v>10.4</v>
      </c>
      <c r="E589">
        <v>6</v>
      </c>
      <c r="G589" s="23">
        <f t="shared" si="39"/>
        <v>11</v>
      </c>
      <c r="H589" s="23">
        <f t="shared" si="40"/>
        <v>18</v>
      </c>
    </row>
    <row r="590" spans="1:8" x14ac:dyDescent="0.25">
      <c r="A590" s="22">
        <v>41893.763888888891</v>
      </c>
      <c r="B590">
        <v>481.6</v>
      </c>
      <c r="C590">
        <v>94.3</v>
      </c>
      <c r="D590">
        <v>10.4</v>
      </c>
      <c r="E590">
        <v>6.1</v>
      </c>
      <c r="G590" s="23">
        <f t="shared" si="39"/>
        <v>11</v>
      </c>
      <c r="H590" s="23">
        <f t="shared" si="40"/>
        <v>18</v>
      </c>
    </row>
    <row r="591" spans="1:8" x14ac:dyDescent="0.25">
      <c r="A591" s="22">
        <v>41893.767361111109</v>
      </c>
      <c r="B591">
        <v>485.6</v>
      </c>
      <c r="C591">
        <v>94.3</v>
      </c>
      <c r="D591">
        <v>10.6</v>
      </c>
      <c r="E591">
        <v>6.1</v>
      </c>
      <c r="G591" s="23">
        <f t="shared" si="39"/>
        <v>11</v>
      </c>
      <c r="H591" s="23">
        <f t="shared" si="40"/>
        <v>18</v>
      </c>
    </row>
    <row r="592" spans="1:8" x14ac:dyDescent="0.25">
      <c r="A592" s="22">
        <v>41893.770833333336</v>
      </c>
      <c r="B592">
        <v>484.9</v>
      </c>
      <c r="C592">
        <v>94.4</v>
      </c>
      <c r="D592">
        <v>10.8</v>
      </c>
      <c r="E592">
        <v>6.4</v>
      </c>
      <c r="G592" s="23">
        <f t="shared" si="39"/>
        <v>11</v>
      </c>
      <c r="H592" s="23">
        <f t="shared" si="40"/>
        <v>18</v>
      </c>
    </row>
    <row r="593" spans="1:8" x14ac:dyDescent="0.25">
      <c r="A593" s="22">
        <v>41893.774305555555</v>
      </c>
      <c r="B593">
        <v>481.7</v>
      </c>
      <c r="C593">
        <v>94.4</v>
      </c>
      <c r="D593">
        <v>10.7</v>
      </c>
      <c r="E593">
        <v>6.3</v>
      </c>
      <c r="G593" s="23">
        <f t="shared" si="39"/>
        <v>11</v>
      </c>
      <c r="H593" s="23">
        <f t="shared" si="40"/>
        <v>18</v>
      </c>
    </row>
    <row r="594" spans="1:8" x14ac:dyDescent="0.25">
      <c r="A594" s="22">
        <v>41893.777777777781</v>
      </c>
      <c r="B594">
        <v>481.3</v>
      </c>
      <c r="C594">
        <v>94.4</v>
      </c>
      <c r="D594">
        <v>10.7</v>
      </c>
      <c r="E594">
        <v>6.3</v>
      </c>
      <c r="G594" s="23">
        <f t="shared" si="39"/>
        <v>11</v>
      </c>
      <c r="H594" s="23">
        <f t="shared" si="40"/>
        <v>18</v>
      </c>
    </row>
    <row r="595" spans="1:8" x14ac:dyDescent="0.25">
      <c r="A595" s="22">
        <v>41893.78125</v>
      </c>
      <c r="B595">
        <v>480.8</v>
      </c>
      <c r="C595">
        <v>94.3</v>
      </c>
      <c r="D595">
        <v>10.7</v>
      </c>
      <c r="E595">
        <v>6.3</v>
      </c>
      <c r="G595" s="23">
        <f t="shared" si="39"/>
        <v>11</v>
      </c>
      <c r="H595" s="23">
        <f t="shared" si="40"/>
        <v>18</v>
      </c>
    </row>
    <row r="596" spans="1:8" x14ac:dyDescent="0.25">
      <c r="A596" s="22">
        <v>41893.784722222219</v>
      </c>
      <c r="B596">
        <v>482</v>
      </c>
      <c r="C596">
        <v>94.4</v>
      </c>
      <c r="D596">
        <v>10.7</v>
      </c>
      <c r="E596">
        <v>6.3</v>
      </c>
      <c r="G596" s="23">
        <f t="shared" si="39"/>
        <v>11</v>
      </c>
      <c r="H596" s="23">
        <f t="shared" si="40"/>
        <v>18</v>
      </c>
    </row>
    <row r="597" spans="1:8" x14ac:dyDescent="0.25">
      <c r="A597" s="22">
        <v>41893.788194444445</v>
      </c>
      <c r="B597">
        <v>483.3</v>
      </c>
      <c r="C597">
        <v>94.4</v>
      </c>
      <c r="D597">
        <v>10.7</v>
      </c>
      <c r="E597">
        <v>6.3</v>
      </c>
      <c r="G597" s="23">
        <f t="shared" si="39"/>
        <v>11</v>
      </c>
      <c r="H597" s="23">
        <f t="shared" si="40"/>
        <v>18</v>
      </c>
    </row>
    <row r="598" spans="1:8" x14ac:dyDescent="0.25">
      <c r="A598" s="22">
        <v>41893.791666666664</v>
      </c>
      <c r="B598">
        <v>484.4</v>
      </c>
      <c r="C598">
        <v>94.4</v>
      </c>
      <c r="D598">
        <v>10.7</v>
      </c>
      <c r="E598">
        <v>6.3</v>
      </c>
      <c r="G598" s="23">
        <f t="shared" si="39"/>
        <v>11</v>
      </c>
      <c r="H598" s="23">
        <f t="shared" si="40"/>
        <v>19</v>
      </c>
    </row>
    <row r="599" spans="1:8" x14ac:dyDescent="0.25">
      <c r="A599" s="22">
        <v>41893.795138888891</v>
      </c>
      <c r="B599">
        <v>484.5</v>
      </c>
      <c r="C599">
        <v>94.4</v>
      </c>
      <c r="D599">
        <v>10.7</v>
      </c>
      <c r="E599">
        <v>6.3</v>
      </c>
      <c r="G599" s="23">
        <f t="shared" si="39"/>
        <v>11</v>
      </c>
      <c r="H599" s="23">
        <f t="shared" si="40"/>
        <v>19</v>
      </c>
    </row>
    <row r="600" spans="1:8" x14ac:dyDescent="0.25">
      <c r="A600" s="22">
        <v>41893.798611111109</v>
      </c>
      <c r="B600">
        <v>482.3</v>
      </c>
      <c r="C600">
        <v>94.4</v>
      </c>
      <c r="D600">
        <v>10.7</v>
      </c>
      <c r="E600">
        <v>6.3</v>
      </c>
      <c r="G600" s="23">
        <f t="shared" si="39"/>
        <v>11</v>
      </c>
      <c r="H600" s="23">
        <f t="shared" si="40"/>
        <v>19</v>
      </c>
    </row>
    <row r="601" spans="1:8" x14ac:dyDescent="0.25">
      <c r="A601" s="22">
        <v>41893.802083333336</v>
      </c>
      <c r="B601">
        <v>481.3</v>
      </c>
      <c r="C601">
        <v>94.4</v>
      </c>
      <c r="D601">
        <v>10.7</v>
      </c>
      <c r="E601">
        <v>6.3</v>
      </c>
      <c r="G601" s="23">
        <f t="shared" si="39"/>
        <v>11</v>
      </c>
      <c r="H601" s="23">
        <f t="shared" si="40"/>
        <v>19</v>
      </c>
    </row>
    <row r="602" spans="1:8" x14ac:dyDescent="0.25">
      <c r="A602" s="22">
        <v>41893.805555555555</v>
      </c>
      <c r="B602">
        <v>484.4</v>
      </c>
      <c r="C602">
        <v>94.4</v>
      </c>
      <c r="D602">
        <v>10.7</v>
      </c>
      <c r="E602">
        <v>6.3</v>
      </c>
      <c r="G602" s="23">
        <f t="shared" si="39"/>
        <v>11</v>
      </c>
      <c r="H602" s="23">
        <f t="shared" si="40"/>
        <v>19</v>
      </c>
    </row>
    <row r="603" spans="1:8" x14ac:dyDescent="0.25">
      <c r="A603" s="22">
        <v>41893.809027777781</v>
      </c>
      <c r="B603">
        <v>484.3</v>
      </c>
      <c r="C603">
        <v>94.3</v>
      </c>
      <c r="D603">
        <v>10.8</v>
      </c>
      <c r="E603">
        <v>6.4</v>
      </c>
      <c r="G603" s="23">
        <f t="shared" si="39"/>
        <v>11</v>
      </c>
      <c r="H603" s="23">
        <f t="shared" si="40"/>
        <v>19</v>
      </c>
    </row>
    <row r="604" spans="1:8" x14ac:dyDescent="0.25">
      <c r="A604" s="22">
        <v>41893.8125</v>
      </c>
      <c r="B604">
        <v>487.2</v>
      </c>
      <c r="C604">
        <v>94.3</v>
      </c>
      <c r="D604">
        <v>10.8</v>
      </c>
      <c r="E604">
        <v>6.3</v>
      </c>
      <c r="G604" s="23">
        <f t="shared" si="39"/>
        <v>11</v>
      </c>
      <c r="H604" s="23">
        <f t="shared" si="40"/>
        <v>19</v>
      </c>
    </row>
    <row r="605" spans="1:8" x14ac:dyDescent="0.25">
      <c r="A605" s="22">
        <v>41893.815972222219</v>
      </c>
      <c r="B605">
        <v>487</v>
      </c>
      <c r="C605">
        <v>94.4</v>
      </c>
      <c r="D605">
        <v>10.7</v>
      </c>
      <c r="E605">
        <v>6.3</v>
      </c>
      <c r="G605" s="23">
        <f t="shared" si="39"/>
        <v>11</v>
      </c>
      <c r="H605" s="23">
        <f t="shared" si="40"/>
        <v>19</v>
      </c>
    </row>
    <row r="606" spans="1:8" x14ac:dyDescent="0.25">
      <c r="A606" s="22">
        <v>41893.819444444445</v>
      </c>
      <c r="B606">
        <v>485.8</v>
      </c>
      <c r="C606">
        <v>94.3</v>
      </c>
      <c r="D606">
        <v>10.7</v>
      </c>
      <c r="E606">
        <v>6.3</v>
      </c>
      <c r="G606" s="23">
        <f t="shared" si="39"/>
        <v>11</v>
      </c>
      <c r="H606" s="23">
        <f t="shared" si="40"/>
        <v>19</v>
      </c>
    </row>
    <row r="607" spans="1:8" x14ac:dyDescent="0.25">
      <c r="A607" s="22">
        <v>41893.822916666664</v>
      </c>
      <c r="B607">
        <v>487</v>
      </c>
      <c r="C607">
        <v>94.4</v>
      </c>
      <c r="D607">
        <v>10.7</v>
      </c>
      <c r="E607">
        <v>6.3</v>
      </c>
      <c r="G607" s="23">
        <f t="shared" si="39"/>
        <v>11</v>
      </c>
      <c r="H607" s="23">
        <f t="shared" si="40"/>
        <v>19</v>
      </c>
    </row>
    <row r="608" spans="1:8" x14ac:dyDescent="0.25">
      <c r="A608" s="22">
        <v>41893.826388888891</v>
      </c>
      <c r="B608">
        <v>484.1</v>
      </c>
      <c r="C608">
        <v>94.3</v>
      </c>
      <c r="D608">
        <v>10.7</v>
      </c>
      <c r="E608">
        <v>6.3</v>
      </c>
      <c r="G608" s="23">
        <f t="shared" si="39"/>
        <v>11</v>
      </c>
      <c r="H608" s="23">
        <f t="shared" si="40"/>
        <v>19</v>
      </c>
    </row>
    <row r="609" spans="1:8" x14ac:dyDescent="0.25">
      <c r="A609" s="22">
        <v>41893.829861111109</v>
      </c>
      <c r="B609">
        <v>482.4</v>
      </c>
      <c r="C609">
        <v>94.3</v>
      </c>
      <c r="D609">
        <v>10.7</v>
      </c>
      <c r="E609">
        <v>6.3</v>
      </c>
      <c r="G609" s="23">
        <f t="shared" si="39"/>
        <v>11</v>
      </c>
      <c r="H609" s="23">
        <f t="shared" si="40"/>
        <v>19</v>
      </c>
    </row>
    <row r="610" spans="1:8" x14ac:dyDescent="0.25">
      <c r="A610" s="22">
        <v>41893.833333333336</v>
      </c>
      <c r="B610">
        <v>484.6</v>
      </c>
      <c r="C610">
        <v>94.4</v>
      </c>
      <c r="D610">
        <v>10.6</v>
      </c>
      <c r="E610">
        <v>6.2</v>
      </c>
      <c r="G610" s="23">
        <f t="shared" si="39"/>
        <v>11</v>
      </c>
      <c r="H610" s="23">
        <f t="shared" si="40"/>
        <v>20</v>
      </c>
    </row>
    <row r="611" spans="1:8" x14ac:dyDescent="0.25">
      <c r="A611" s="22">
        <v>41893.836805555555</v>
      </c>
      <c r="B611">
        <v>485.3</v>
      </c>
      <c r="C611">
        <v>94.4</v>
      </c>
      <c r="D611">
        <v>10.6</v>
      </c>
      <c r="E611">
        <v>6.2</v>
      </c>
      <c r="G611" s="23">
        <f t="shared" si="39"/>
        <v>11</v>
      </c>
      <c r="H611" s="23">
        <f t="shared" si="40"/>
        <v>20</v>
      </c>
    </row>
    <row r="612" spans="1:8" x14ac:dyDescent="0.25">
      <c r="A612" s="22">
        <v>41893.840277777781</v>
      </c>
      <c r="B612">
        <v>487.6</v>
      </c>
      <c r="C612">
        <v>94.3</v>
      </c>
      <c r="D612">
        <v>10.6</v>
      </c>
      <c r="E612">
        <v>6.2</v>
      </c>
      <c r="G612" s="23">
        <f t="shared" si="39"/>
        <v>11</v>
      </c>
      <c r="H612" s="23">
        <f t="shared" si="40"/>
        <v>20</v>
      </c>
    </row>
    <row r="613" spans="1:8" x14ac:dyDescent="0.25">
      <c r="A613" s="22">
        <v>41893.84375</v>
      </c>
      <c r="B613">
        <v>484.9</v>
      </c>
      <c r="C613">
        <v>94.3</v>
      </c>
      <c r="D613">
        <v>10.6</v>
      </c>
      <c r="E613">
        <v>6.2</v>
      </c>
      <c r="G613" s="23">
        <f t="shared" si="39"/>
        <v>11</v>
      </c>
      <c r="H613" s="23">
        <f t="shared" si="40"/>
        <v>20</v>
      </c>
    </row>
    <row r="614" spans="1:8" x14ac:dyDescent="0.25">
      <c r="A614" s="22">
        <v>41893.847222222219</v>
      </c>
      <c r="B614">
        <v>483.4</v>
      </c>
      <c r="C614">
        <v>94.3</v>
      </c>
      <c r="D614">
        <v>10.5</v>
      </c>
      <c r="E614">
        <v>6.1</v>
      </c>
      <c r="G614" s="23">
        <f t="shared" si="39"/>
        <v>11</v>
      </c>
      <c r="H614" s="23">
        <f t="shared" si="40"/>
        <v>20</v>
      </c>
    </row>
    <row r="615" spans="1:8" x14ac:dyDescent="0.25">
      <c r="A615" s="22">
        <v>41893.850694444445</v>
      </c>
      <c r="B615">
        <v>480.3</v>
      </c>
      <c r="C615">
        <v>94.4</v>
      </c>
      <c r="D615">
        <v>10.5</v>
      </c>
      <c r="E615">
        <v>6.2</v>
      </c>
      <c r="G615" s="23">
        <f t="shared" si="39"/>
        <v>11</v>
      </c>
      <c r="H615" s="23">
        <f t="shared" si="40"/>
        <v>20</v>
      </c>
    </row>
    <row r="616" spans="1:8" x14ac:dyDescent="0.25">
      <c r="A616" s="22">
        <v>41893.854166666664</v>
      </c>
      <c r="B616">
        <v>482</v>
      </c>
      <c r="C616">
        <v>94.3</v>
      </c>
      <c r="D616">
        <v>10.5</v>
      </c>
      <c r="E616">
        <v>6.2</v>
      </c>
      <c r="G616" s="23">
        <f t="shared" si="39"/>
        <v>11</v>
      </c>
      <c r="H616" s="23">
        <f t="shared" si="40"/>
        <v>20</v>
      </c>
    </row>
    <row r="617" spans="1:8" x14ac:dyDescent="0.25">
      <c r="A617" s="22">
        <v>41893.857638888891</v>
      </c>
      <c r="B617">
        <v>481.7</v>
      </c>
      <c r="C617">
        <v>94.3</v>
      </c>
      <c r="D617">
        <v>10.5</v>
      </c>
      <c r="E617">
        <v>6.1</v>
      </c>
      <c r="G617" s="23">
        <f t="shared" si="39"/>
        <v>11</v>
      </c>
      <c r="H617" s="23">
        <f t="shared" si="40"/>
        <v>20</v>
      </c>
    </row>
    <row r="618" spans="1:8" x14ac:dyDescent="0.25">
      <c r="A618" s="22">
        <v>41893.861111111109</v>
      </c>
      <c r="B618">
        <v>480.6</v>
      </c>
      <c r="C618">
        <v>94.3</v>
      </c>
      <c r="D618">
        <v>10.5</v>
      </c>
      <c r="E618">
        <v>6.1</v>
      </c>
      <c r="G618" s="23">
        <f t="shared" si="39"/>
        <v>11</v>
      </c>
      <c r="H618" s="23">
        <f t="shared" si="40"/>
        <v>20</v>
      </c>
    </row>
    <row r="619" spans="1:8" x14ac:dyDescent="0.25">
      <c r="A619" s="22">
        <v>41893.864583333336</v>
      </c>
      <c r="B619">
        <v>480.5</v>
      </c>
      <c r="C619">
        <v>94.4</v>
      </c>
      <c r="D619">
        <v>10.5</v>
      </c>
      <c r="E619">
        <v>6.1</v>
      </c>
      <c r="G619" s="23">
        <f t="shared" si="39"/>
        <v>11</v>
      </c>
      <c r="H619" s="23">
        <f t="shared" si="40"/>
        <v>20</v>
      </c>
    </row>
    <row r="620" spans="1:8" x14ac:dyDescent="0.25">
      <c r="A620" s="22">
        <v>41893.868055555555</v>
      </c>
      <c r="B620">
        <v>480</v>
      </c>
      <c r="C620">
        <v>94.4</v>
      </c>
      <c r="D620">
        <v>10.4</v>
      </c>
      <c r="E620">
        <v>6.1</v>
      </c>
      <c r="G620" s="23">
        <f t="shared" si="39"/>
        <v>11</v>
      </c>
      <c r="H620" s="23">
        <f t="shared" si="40"/>
        <v>20</v>
      </c>
    </row>
    <row r="621" spans="1:8" x14ac:dyDescent="0.25">
      <c r="A621" s="22">
        <v>41893.871527777781</v>
      </c>
      <c r="B621">
        <v>481.4</v>
      </c>
      <c r="C621">
        <v>94.3</v>
      </c>
      <c r="D621">
        <v>10.4</v>
      </c>
      <c r="E621">
        <v>6</v>
      </c>
      <c r="G621" s="23">
        <f t="shared" si="39"/>
        <v>11</v>
      </c>
      <c r="H621" s="23">
        <f t="shared" si="40"/>
        <v>20</v>
      </c>
    </row>
    <row r="622" spans="1:8" x14ac:dyDescent="0.25">
      <c r="A622" s="22">
        <v>41893.875</v>
      </c>
      <c r="B622">
        <v>480.3</v>
      </c>
      <c r="C622">
        <v>94.3</v>
      </c>
      <c r="D622">
        <v>10.4</v>
      </c>
      <c r="E622">
        <v>6</v>
      </c>
      <c r="G622" s="23">
        <f t="shared" si="39"/>
        <v>11</v>
      </c>
      <c r="H622" s="23">
        <f t="shared" si="40"/>
        <v>21</v>
      </c>
    </row>
    <row r="623" spans="1:8" x14ac:dyDescent="0.25">
      <c r="A623" s="22">
        <v>41893.878472222219</v>
      </c>
      <c r="B623">
        <v>480.7</v>
      </c>
      <c r="C623">
        <v>94.3</v>
      </c>
      <c r="D623">
        <v>10.4</v>
      </c>
      <c r="E623">
        <v>6</v>
      </c>
      <c r="G623" s="23">
        <f t="shared" si="39"/>
        <v>11</v>
      </c>
      <c r="H623" s="23">
        <f t="shared" si="40"/>
        <v>21</v>
      </c>
    </row>
    <row r="624" spans="1:8" x14ac:dyDescent="0.25">
      <c r="A624" s="22">
        <v>41893.881944444445</v>
      </c>
      <c r="B624">
        <v>483.2</v>
      </c>
      <c r="C624">
        <v>94.4</v>
      </c>
      <c r="D624">
        <v>10.4</v>
      </c>
      <c r="E624">
        <v>6</v>
      </c>
      <c r="G624" s="23">
        <f t="shared" si="39"/>
        <v>11</v>
      </c>
      <c r="H624" s="23">
        <f t="shared" si="40"/>
        <v>21</v>
      </c>
    </row>
    <row r="625" spans="1:8" x14ac:dyDescent="0.25">
      <c r="A625" s="22">
        <v>41893.885416666664</v>
      </c>
      <c r="B625">
        <v>482.1</v>
      </c>
      <c r="C625">
        <v>94.3</v>
      </c>
      <c r="D625">
        <v>10.4</v>
      </c>
      <c r="E625">
        <v>6</v>
      </c>
      <c r="G625" s="23">
        <f t="shared" si="39"/>
        <v>11</v>
      </c>
      <c r="H625" s="23">
        <f t="shared" si="40"/>
        <v>21</v>
      </c>
    </row>
    <row r="626" spans="1:8" x14ac:dyDescent="0.25">
      <c r="A626" s="22">
        <v>41893.888888888891</v>
      </c>
      <c r="B626">
        <v>480.4</v>
      </c>
      <c r="C626">
        <v>94.3</v>
      </c>
      <c r="D626">
        <v>10.4</v>
      </c>
      <c r="E626">
        <v>6.1</v>
      </c>
      <c r="G626" s="23">
        <f t="shared" si="39"/>
        <v>11</v>
      </c>
      <c r="H626" s="23">
        <f t="shared" si="40"/>
        <v>21</v>
      </c>
    </row>
    <row r="627" spans="1:8" x14ac:dyDescent="0.25">
      <c r="A627" s="22">
        <v>41893.892361111109</v>
      </c>
      <c r="B627">
        <v>478.9</v>
      </c>
      <c r="C627">
        <v>94.3</v>
      </c>
      <c r="D627">
        <v>10.4</v>
      </c>
      <c r="E627">
        <v>6.1</v>
      </c>
      <c r="G627" s="23">
        <f t="shared" si="39"/>
        <v>11</v>
      </c>
      <c r="H627" s="23">
        <f t="shared" si="40"/>
        <v>21</v>
      </c>
    </row>
    <row r="628" spans="1:8" x14ac:dyDescent="0.25">
      <c r="A628" s="22">
        <v>41893.895833333336</v>
      </c>
      <c r="B628">
        <v>479.4</v>
      </c>
      <c r="C628">
        <v>94.3</v>
      </c>
      <c r="D628">
        <v>10.4</v>
      </c>
      <c r="E628">
        <v>6.1</v>
      </c>
      <c r="G628" s="23">
        <f t="shared" si="39"/>
        <v>11</v>
      </c>
      <c r="H628" s="23">
        <f t="shared" si="40"/>
        <v>21</v>
      </c>
    </row>
    <row r="629" spans="1:8" x14ac:dyDescent="0.25">
      <c r="A629" s="22">
        <v>41893.899305555555</v>
      </c>
      <c r="B629">
        <v>479.5</v>
      </c>
      <c r="C629">
        <v>94.3</v>
      </c>
      <c r="D629">
        <v>10.4</v>
      </c>
      <c r="E629">
        <v>6.1</v>
      </c>
      <c r="G629" s="23">
        <f t="shared" si="39"/>
        <v>11</v>
      </c>
      <c r="H629" s="23">
        <f t="shared" si="40"/>
        <v>21</v>
      </c>
    </row>
    <row r="630" spans="1:8" x14ac:dyDescent="0.25">
      <c r="A630" s="22">
        <v>41893.902777777781</v>
      </c>
      <c r="B630">
        <v>480.5</v>
      </c>
      <c r="C630">
        <v>94.2</v>
      </c>
      <c r="D630">
        <v>10.4</v>
      </c>
      <c r="E630">
        <v>6.1</v>
      </c>
      <c r="G630" s="23">
        <f t="shared" si="39"/>
        <v>11</v>
      </c>
      <c r="H630" s="23">
        <f t="shared" si="40"/>
        <v>21</v>
      </c>
    </row>
    <row r="631" spans="1:8" x14ac:dyDescent="0.25">
      <c r="A631" s="22">
        <v>41893.90625</v>
      </c>
      <c r="B631">
        <v>479.9</v>
      </c>
      <c r="C631">
        <v>94.3</v>
      </c>
      <c r="D631">
        <v>10.4</v>
      </c>
      <c r="E631">
        <v>6.1</v>
      </c>
      <c r="G631" s="23">
        <f t="shared" si="39"/>
        <v>11</v>
      </c>
      <c r="H631" s="23">
        <f t="shared" si="40"/>
        <v>21</v>
      </c>
    </row>
    <row r="632" spans="1:8" x14ac:dyDescent="0.25">
      <c r="A632" s="22">
        <v>41893.909722222219</v>
      </c>
      <c r="B632">
        <v>482.9</v>
      </c>
      <c r="C632">
        <v>94.4</v>
      </c>
      <c r="D632">
        <v>10.4</v>
      </c>
      <c r="E632">
        <v>6</v>
      </c>
      <c r="G632" s="23">
        <f t="shared" si="39"/>
        <v>11</v>
      </c>
      <c r="H632" s="23">
        <f t="shared" si="40"/>
        <v>21</v>
      </c>
    </row>
    <row r="633" spans="1:8" x14ac:dyDescent="0.25">
      <c r="A633" s="22">
        <v>41893.913194444445</v>
      </c>
      <c r="B633">
        <v>482.4</v>
      </c>
      <c r="C633">
        <v>94.4</v>
      </c>
      <c r="D633">
        <v>10.4</v>
      </c>
      <c r="E633">
        <v>6</v>
      </c>
      <c r="G633" s="23">
        <f t="shared" si="39"/>
        <v>11</v>
      </c>
      <c r="H633" s="23">
        <f t="shared" si="40"/>
        <v>21</v>
      </c>
    </row>
    <row r="634" spans="1:8" x14ac:dyDescent="0.25">
      <c r="A634" s="22">
        <v>41893.916666666664</v>
      </c>
      <c r="B634">
        <v>480.7</v>
      </c>
      <c r="C634">
        <v>94.3</v>
      </c>
      <c r="D634">
        <v>10.4</v>
      </c>
      <c r="E634">
        <v>6.1</v>
      </c>
      <c r="G634" s="23">
        <f t="shared" si="39"/>
        <v>11</v>
      </c>
      <c r="H634" s="23">
        <f t="shared" si="40"/>
        <v>22</v>
      </c>
    </row>
    <row r="635" spans="1:8" x14ac:dyDescent="0.25">
      <c r="A635" s="22">
        <v>41893.920138888891</v>
      </c>
      <c r="B635">
        <v>481.5</v>
      </c>
      <c r="C635">
        <v>94.2</v>
      </c>
      <c r="D635">
        <v>10.5</v>
      </c>
      <c r="E635">
        <v>6.1</v>
      </c>
      <c r="G635" s="23">
        <f t="shared" si="39"/>
        <v>11</v>
      </c>
      <c r="H635" s="23">
        <f t="shared" si="40"/>
        <v>22</v>
      </c>
    </row>
    <row r="636" spans="1:8" x14ac:dyDescent="0.25">
      <c r="A636" s="22">
        <v>41893.923611111109</v>
      </c>
      <c r="B636">
        <v>480.7</v>
      </c>
      <c r="C636">
        <v>94.3</v>
      </c>
      <c r="D636">
        <v>10.5</v>
      </c>
      <c r="E636">
        <v>6.1</v>
      </c>
      <c r="G636" s="23">
        <f t="shared" si="39"/>
        <v>11</v>
      </c>
      <c r="H636" s="23">
        <f t="shared" si="40"/>
        <v>22</v>
      </c>
    </row>
    <row r="637" spans="1:8" x14ac:dyDescent="0.25">
      <c r="A637" s="22">
        <v>41893.927083333336</v>
      </c>
      <c r="B637">
        <v>481.9</v>
      </c>
      <c r="C637">
        <v>94.4</v>
      </c>
      <c r="D637">
        <v>10.4</v>
      </c>
      <c r="E637">
        <v>6.1</v>
      </c>
      <c r="G637" s="23">
        <f t="shared" si="39"/>
        <v>11</v>
      </c>
      <c r="H637" s="23">
        <f t="shared" si="40"/>
        <v>22</v>
      </c>
    </row>
    <row r="638" spans="1:8" x14ac:dyDescent="0.25">
      <c r="A638" s="22">
        <v>41893.930555555555</v>
      </c>
      <c r="B638">
        <v>481.4</v>
      </c>
      <c r="C638">
        <v>94.3</v>
      </c>
      <c r="D638">
        <v>10.4</v>
      </c>
      <c r="E638">
        <v>6</v>
      </c>
      <c r="G638" s="23">
        <f t="shared" si="39"/>
        <v>11</v>
      </c>
      <c r="H638" s="23">
        <f t="shared" si="40"/>
        <v>22</v>
      </c>
    </row>
    <row r="639" spans="1:8" x14ac:dyDescent="0.25">
      <c r="A639" s="22">
        <v>41893.934027777781</v>
      </c>
      <c r="B639">
        <v>481.9</v>
      </c>
      <c r="C639">
        <v>94.3</v>
      </c>
      <c r="D639">
        <v>10.4</v>
      </c>
      <c r="E639">
        <v>6</v>
      </c>
      <c r="G639" s="23">
        <f t="shared" si="39"/>
        <v>11</v>
      </c>
      <c r="H639" s="23">
        <f t="shared" si="40"/>
        <v>22</v>
      </c>
    </row>
    <row r="640" spans="1:8" x14ac:dyDescent="0.25">
      <c r="A640" s="22">
        <v>41893.9375</v>
      </c>
      <c r="B640">
        <v>482.7</v>
      </c>
      <c r="C640">
        <v>94.3</v>
      </c>
      <c r="D640">
        <v>10.4</v>
      </c>
      <c r="E640">
        <v>6</v>
      </c>
      <c r="G640" s="23">
        <f t="shared" si="39"/>
        <v>11</v>
      </c>
      <c r="H640" s="23">
        <f t="shared" si="40"/>
        <v>22</v>
      </c>
    </row>
    <row r="641" spans="1:8" x14ac:dyDescent="0.25">
      <c r="A641" s="22">
        <v>41893.940972222219</v>
      </c>
      <c r="B641">
        <v>485</v>
      </c>
      <c r="C641">
        <v>94.3</v>
      </c>
      <c r="D641">
        <v>10.3</v>
      </c>
      <c r="E641">
        <v>5.9</v>
      </c>
      <c r="G641" s="23">
        <f t="shared" si="39"/>
        <v>11</v>
      </c>
      <c r="H641" s="23">
        <f t="shared" si="40"/>
        <v>22</v>
      </c>
    </row>
    <row r="642" spans="1:8" x14ac:dyDescent="0.25">
      <c r="A642" s="22">
        <v>41893.944444444445</v>
      </c>
      <c r="B642">
        <v>484.1</v>
      </c>
      <c r="C642">
        <v>94.2</v>
      </c>
      <c r="D642">
        <v>10.3</v>
      </c>
      <c r="E642">
        <v>5.9</v>
      </c>
      <c r="G642" s="23">
        <f t="shared" si="39"/>
        <v>11</v>
      </c>
      <c r="H642" s="23">
        <f t="shared" si="40"/>
        <v>22</v>
      </c>
    </row>
    <row r="643" spans="1:8" x14ac:dyDescent="0.25">
      <c r="A643" s="22">
        <v>41893.947916666664</v>
      </c>
      <c r="B643">
        <v>479.2</v>
      </c>
      <c r="C643">
        <v>94.3</v>
      </c>
      <c r="D643">
        <v>10.199999999999999</v>
      </c>
      <c r="E643">
        <v>5.9</v>
      </c>
      <c r="G643" s="23">
        <f t="shared" si="39"/>
        <v>11</v>
      </c>
      <c r="H643" s="23">
        <f t="shared" si="40"/>
        <v>22</v>
      </c>
    </row>
    <row r="644" spans="1:8" x14ac:dyDescent="0.25">
      <c r="A644" s="22">
        <v>41893.951388888891</v>
      </c>
      <c r="B644">
        <v>457.9</v>
      </c>
      <c r="C644">
        <v>94.3</v>
      </c>
      <c r="D644">
        <v>9.9</v>
      </c>
      <c r="E644">
        <v>5.8</v>
      </c>
      <c r="G644" s="23">
        <f t="shared" si="39"/>
        <v>11</v>
      </c>
      <c r="H644" s="23">
        <f t="shared" si="40"/>
        <v>22</v>
      </c>
    </row>
    <row r="645" spans="1:8" x14ac:dyDescent="0.25">
      <c r="A645" s="22">
        <v>41893.954861111109</v>
      </c>
      <c r="B645">
        <v>445.7</v>
      </c>
      <c r="C645">
        <v>94.2</v>
      </c>
      <c r="D645">
        <v>9.8000000000000007</v>
      </c>
      <c r="E645">
        <v>5.8</v>
      </c>
      <c r="G645" s="23">
        <f t="shared" si="39"/>
        <v>11</v>
      </c>
      <c r="H645" s="23">
        <f t="shared" si="40"/>
        <v>22</v>
      </c>
    </row>
    <row r="646" spans="1:8" x14ac:dyDescent="0.25">
      <c r="A646" s="22">
        <v>41893.958333333336</v>
      </c>
      <c r="B646">
        <v>463.9</v>
      </c>
      <c r="C646">
        <v>94.3</v>
      </c>
      <c r="D646">
        <v>10.1</v>
      </c>
      <c r="E646">
        <v>5.8</v>
      </c>
      <c r="G646" s="23">
        <f t="shared" ref="G646:G709" si="41">+DAY(A646)</f>
        <v>11</v>
      </c>
      <c r="H646" s="23">
        <f t="shared" ref="H646:H709" si="42">+HOUR(A646)</f>
        <v>23</v>
      </c>
    </row>
    <row r="647" spans="1:8" x14ac:dyDescent="0.25">
      <c r="A647" s="22">
        <v>41893.961805555555</v>
      </c>
      <c r="B647">
        <v>455.4</v>
      </c>
      <c r="C647">
        <v>94.2</v>
      </c>
      <c r="D647">
        <v>9.9</v>
      </c>
      <c r="E647">
        <v>5.8</v>
      </c>
      <c r="G647" s="23">
        <f t="shared" si="41"/>
        <v>11</v>
      </c>
      <c r="H647" s="23">
        <f t="shared" si="42"/>
        <v>23</v>
      </c>
    </row>
    <row r="648" spans="1:8" x14ac:dyDescent="0.25">
      <c r="A648" s="22">
        <v>41893.965277777781</v>
      </c>
      <c r="B648">
        <v>435.8</v>
      </c>
      <c r="C648">
        <v>94.1</v>
      </c>
      <c r="D648">
        <v>9.6999999999999993</v>
      </c>
      <c r="E648">
        <v>5.8</v>
      </c>
      <c r="G648" s="23">
        <f t="shared" si="41"/>
        <v>11</v>
      </c>
      <c r="H648" s="23">
        <f t="shared" si="42"/>
        <v>23</v>
      </c>
    </row>
    <row r="649" spans="1:8" x14ac:dyDescent="0.25">
      <c r="A649" s="22">
        <v>41893.96875</v>
      </c>
      <c r="B649">
        <v>428.9</v>
      </c>
      <c r="C649">
        <v>94.2</v>
      </c>
      <c r="D649">
        <v>9.6999999999999993</v>
      </c>
      <c r="E649">
        <v>5.8</v>
      </c>
      <c r="G649" s="23">
        <f t="shared" si="41"/>
        <v>11</v>
      </c>
      <c r="H649" s="23">
        <f t="shared" si="42"/>
        <v>23</v>
      </c>
    </row>
    <row r="650" spans="1:8" x14ac:dyDescent="0.25">
      <c r="A650" s="22">
        <v>41893.972222222219</v>
      </c>
      <c r="B650">
        <v>427.4</v>
      </c>
      <c r="C650">
        <v>94.3</v>
      </c>
      <c r="D650">
        <v>9.6999999999999993</v>
      </c>
      <c r="E650">
        <v>5.8</v>
      </c>
      <c r="G650" s="23">
        <f t="shared" si="41"/>
        <v>11</v>
      </c>
      <c r="H650" s="23">
        <f t="shared" si="42"/>
        <v>23</v>
      </c>
    </row>
    <row r="651" spans="1:8" x14ac:dyDescent="0.25">
      <c r="A651" s="22">
        <v>41893.975694444445</v>
      </c>
      <c r="B651">
        <v>423.7</v>
      </c>
      <c r="C651">
        <v>94.3</v>
      </c>
      <c r="D651">
        <v>9.6</v>
      </c>
      <c r="E651">
        <v>5.8</v>
      </c>
      <c r="G651" s="23">
        <f t="shared" si="41"/>
        <v>11</v>
      </c>
      <c r="H651" s="23">
        <f t="shared" si="42"/>
        <v>23</v>
      </c>
    </row>
    <row r="652" spans="1:8" x14ac:dyDescent="0.25">
      <c r="A652" s="22">
        <v>41893.979166666664</v>
      </c>
      <c r="B652">
        <v>421.1</v>
      </c>
      <c r="C652">
        <v>94.2</v>
      </c>
      <c r="D652">
        <v>9.6</v>
      </c>
      <c r="E652">
        <v>5.8</v>
      </c>
      <c r="G652" s="23">
        <f t="shared" si="41"/>
        <v>11</v>
      </c>
      <c r="H652" s="23">
        <f t="shared" si="42"/>
        <v>23</v>
      </c>
    </row>
    <row r="653" spans="1:8" x14ac:dyDescent="0.25">
      <c r="A653" s="22">
        <v>41893.982638888891</v>
      </c>
      <c r="B653">
        <v>419.9</v>
      </c>
      <c r="C653">
        <v>94.2</v>
      </c>
      <c r="D653">
        <v>9.6</v>
      </c>
      <c r="E653">
        <v>5.8</v>
      </c>
      <c r="G653" s="23">
        <f t="shared" si="41"/>
        <v>11</v>
      </c>
      <c r="H653" s="23">
        <f t="shared" si="42"/>
        <v>23</v>
      </c>
    </row>
    <row r="654" spans="1:8" x14ac:dyDescent="0.25">
      <c r="A654" s="22">
        <v>41893.986111111109</v>
      </c>
      <c r="B654">
        <v>423.5</v>
      </c>
      <c r="C654">
        <v>94.3</v>
      </c>
      <c r="D654">
        <v>9.6</v>
      </c>
      <c r="E654">
        <v>5.8</v>
      </c>
      <c r="G654" s="23">
        <f t="shared" si="41"/>
        <v>11</v>
      </c>
      <c r="H654" s="23">
        <f t="shared" si="42"/>
        <v>23</v>
      </c>
    </row>
    <row r="655" spans="1:8" x14ac:dyDescent="0.25">
      <c r="A655" s="22">
        <v>41893.989583333336</v>
      </c>
      <c r="B655">
        <v>424.1</v>
      </c>
      <c r="C655">
        <v>94.2</v>
      </c>
      <c r="D655">
        <v>9.6</v>
      </c>
      <c r="E655">
        <v>5.8</v>
      </c>
      <c r="G655" s="23">
        <f t="shared" si="41"/>
        <v>11</v>
      </c>
      <c r="H655" s="23">
        <f t="shared" si="42"/>
        <v>23</v>
      </c>
    </row>
    <row r="656" spans="1:8" x14ac:dyDescent="0.25">
      <c r="A656" s="22">
        <v>41893.993055555555</v>
      </c>
      <c r="B656">
        <v>423.2</v>
      </c>
      <c r="C656">
        <v>94.2</v>
      </c>
      <c r="D656">
        <v>9.6</v>
      </c>
      <c r="E656">
        <v>5.8</v>
      </c>
      <c r="G656" s="23">
        <f t="shared" si="41"/>
        <v>11</v>
      </c>
      <c r="H656" s="23">
        <f t="shared" si="42"/>
        <v>23</v>
      </c>
    </row>
    <row r="657" spans="1:8" x14ac:dyDescent="0.25">
      <c r="A657" s="22">
        <v>41893.996527777781</v>
      </c>
      <c r="B657">
        <v>420.5</v>
      </c>
      <c r="C657">
        <v>94.2</v>
      </c>
      <c r="D657">
        <v>9.6</v>
      </c>
      <c r="E657">
        <v>5.8</v>
      </c>
      <c r="G657" s="23">
        <f t="shared" si="41"/>
        <v>11</v>
      </c>
      <c r="H657" s="23">
        <f t="shared" si="42"/>
        <v>23</v>
      </c>
    </row>
    <row r="658" spans="1:8" x14ac:dyDescent="0.25">
      <c r="A658" s="22">
        <v>41894</v>
      </c>
      <c r="B658">
        <v>422.2</v>
      </c>
      <c r="C658">
        <v>94.3</v>
      </c>
      <c r="D658">
        <v>9.6</v>
      </c>
      <c r="E658">
        <v>5.8</v>
      </c>
      <c r="G658" s="23">
        <f t="shared" si="41"/>
        <v>12</v>
      </c>
      <c r="H658" s="23">
        <f t="shared" si="42"/>
        <v>0</v>
      </c>
    </row>
    <row r="659" spans="1:8" x14ac:dyDescent="0.25">
      <c r="A659" s="22">
        <v>41894.003472222219</v>
      </c>
      <c r="B659">
        <v>420.6</v>
      </c>
      <c r="C659">
        <v>94.2</v>
      </c>
      <c r="D659">
        <v>9.6</v>
      </c>
      <c r="E659">
        <v>5.8</v>
      </c>
      <c r="G659" s="23">
        <f t="shared" si="41"/>
        <v>12</v>
      </c>
      <c r="H659" s="23">
        <f t="shared" si="42"/>
        <v>0</v>
      </c>
    </row>
    <row r="660" spans="1:8" x14ac:dyDescent="0.25">
      <c r="A660" s="22">
        <v>41894.006944444445</v>
      </c>
      <c r="B660">
        <v>419.2</v>
      </c>
      <c r="C660">
        <v>94.3</v>
      </c>
      <c r="D660">
        <v>9.6</v>
      </c>
      <c r="E660">
        <v>5.8</v>
      </c>
      <c r="G660" s="23">
        <f t="shared" si="41"/>
        <v>12</v>
      </c>
      <c r="H660" s="23">
        <f t="shared" si="42"/>
        <v>0</v>
      </c>
    </row>
    <row r="661" spans="1:8" x14ac:dyDescent="0.25">
      <c r="A661" s="22">
        <v>41894.010416666664</v>
      </c>
      <c r="B661">
        <v>421.2</v>
      </c>
      <c r="C661">
        <v>94.3</v>
      </c>
      <c r="D661">
        <v>9.6</v>
      </c>
      <c r="E661">
        <v>5.8</v>
      </c>
      <c r="G661" s="23">
        <f t="shared" si="41"/>
        <v>12</v>
      </c>
      <c r="H661" s="23">
        <f t="shared" si="42"/>
        <v>0</v>
      </c>
    </row>
    <row r="662" spans="1:8" x14ac:dyDescent="0.25">
      <c r="A662" s="22">
        <v>41894.013888888891</v>
      </c>
      <c r="B662">
        <v>418.2</v>
      </c>
      <c r="C662">
        <v>94.3</v>
      </c>
      <c r="D662">
        <v>9.6</v>
      </c>
      <c r="E662">
        <v>5.8</v>
      </c>
      <c r="G662" s="23">
        <f t="shared" si="41"/>
        <v>12</v>
      </c>
      <c r="H662" s="23">
        <f t="shared" si="42"/>
        <v>0</v>
      </c>
    </row>
    <row r="663" spans="1:8" x14ac:dyDescent="0.25">
      <c r="A663" s="22">
        <v>41894.017361111109</v>
      </c>
      <c r="B663">
        <v>420</v>
      </c>
      <c r="C663">
        <v>94.3</v>
      </c>
      <c r="D663">
        <v>9.6</v>
      </c>
      <c r="E663">
        <v>5.8</v>
      </c>
      <c r="G663" s="23">
        <f t="shared" si="41"/>
        <v>12</v>
      </c>
      <c r="H663" s="23">
        <f t="shared" si="42"/>
        <v>0</v>
      </c>
    </row>
    <row r="664" spans="1:8" x14ac:dyDescent="0.25">
      <c r="A664" s="22">
        <v>41894.020833333336</v>
      </c>
      <c r="B664">
        <v>419.7</v>
      </c>
      <c r="C664">
        <v>94.3</v>
      </c>
      <c r="D664">
        <v>9.6</v>
      </c>
      <c r="E664">
        <v>5.8</v>
      </c>
      <c r="G664" s="23">
        <f t="shared" si="41"/>
        <v>12</v>
      </c>
      <c r="H664" s="23">
        <f t="shared" si="42"/>
        <v>0</v>
      </c>
    </row>
    <row r="665" spans="1:8" x14ac:dyDescent="0.25">
      <c r="A665" s="22">
        <v>41894.024305555555</v>
      </c>
      <c r="B665">
        <v>416.9</v>
      </c>
      <c r="C665">
        <v>94.1</v>
      </c>
      <c r="D665">
        <v>9.6</v>
      </c>
      <c r="E665">
        <v>5.8</v>
      </c>
      <c r="G665" s="23">
        <f t="shared" si="41"/>
        <v>12</v>
      </c>
      <c r="H665" s="23">
        <f t="shared" si="42"/>
        <v>0</v>
      </c>
    </row>
    <row r="666" spans="1:8" x14ac:dyDescent="0.25">
      <c r="A666" s="22">
        <v>41894.027777777781</v>
      </c>
      <c r="B666">
        <v>416.9</v>
      </c>
      <c r="C666">
        <v>94.3</v>
      </c>
      <c r="D666">
        <v>9.6</v>
      </c>
      <c r="E666">
        <v>5.8</v>
      </c>
      <c r="G666" s="23">
        <f t="shared" si="41"/>
        <v>12</v>
      </c>
      <c r="H666" s="23">
        <f t="shared" si="42"/>
        <v>0</v>
      </c>
    </row>
    <row r="667" spans="1:8" x14ac:dyDescent="0.25">
      <c r="A667" s="22">
        <v>41894.03125</v>
      </c>
      <c r="B667">
        <v>418.7</v>
      </c>
      <c r="C667">
        <v>94.3</v>
      </c>
      <c r="D667">
        <v>9.6</v>
      </c>
      <c r="E667">
        <v>5.8</v>
      </c>
      <c r="G667" s="23">
        <f t="shared" si="41"/>
        <v>12</v>
      </c>
      <c r="H667" s="23">
        <f t="shared" si="42"/>
        <v>0</v>
      </c>
    </row>
    <row r="668" spans="1:8" x14ac:dyDescent="0.25">
      <c r="A668" s="22">
        <v>41894.034722222219</v>
      </c>
      <c r="B668">
        <v>417.2</v>
      </c>
      <c r="C668">
        <v>94.4</v>
      </c>
      <c r="D668">
        <v>9.6</v>
      </c>
      <c r="E668">
        <v>5.8</v>
      </c>
      <c r="G668" s="23">
        <f t="shared" si="41"/>
        <v>12</v>
      </c>
      <c r="H668" s="23">
        <f t="shared" si="42"/>
        <v>0</v>
      </c>
    </row>
    <row r="669" spans="1:8" x14ac:dyDescent="0.25">
      <c r="A669" s="22">
        <v>41894.038194444445</v>
      </c>
      <c r="B669">
        <v>412.2</v>
      </c>
      <c r="C669">
        <v>94.3</v>
      </c>
      <c r="D669">
        <v>9.5</v>
      </c>
      <c r="E669">
        <v>5.8</v>
      </c>
      <c r="G669" s="23">
        <f t="shared" si="41"/>
        <v>12</v>
      </c>
      <c r="H669" s="23">
        <f t="shared" si="42"/>
        <v>0</v>
      </c>
    </row>
    <row r="670" spans="1:8" x14ac:dyDescent="0.25">
      <c r="A670" s="22">
        <v>41894.041666666664</v>
      </c>
      <c r="B670">
        <v>411.7</v>
      </c>
      <c r="C670">
        <v>94.2</v>
      </c>
      <c r="D670">
        <v>9.5</v>
      </c>
      <c r="E670">
        <v>5.8</v>
      </c>
      <c r="G670" s="23">
        <f t="shared" si="41"/>
        <v>12</v>
      </c>
      <c r="H670" s="23">
        <f t="shared" si="42"/>
        <v>1</v>
      </c>
    </row>
    <row r="671" spans="1:8" x14ac:dyDescent="0.25">
      <c r="A671" s="22">
        <v>41894.045138888891</v>
      </c>
      <c r="B671">
        <v>415.8</v>
      </c>
      <c r="C671">
        <v>94.4</v>
      </c>
      <c r="D671">
        <v>9.6</v>
      </c>
      <c r="E671">
        <v>5.8</v>
      </c>
      <c r="G671" s="23">
        <f t="shared" si="41"/>
        <v>12</v>
      </c>
      <c r="H671" s="23">
        <f t="shared" si="42"/>
        <v>1</v>
      </c>
    </row>
    <row r="672" spans="1:8" x14ac:dyDescent="0.25">
      <c r="A672" s="22">
        <v>41894.048611111109</v>
      </c>
      <c r="B672">
        <v>415</v>
      </c>
      <c r="C672">
        <v>94.3</v>
      </c>
      <c r="D672">
        <v>9.6</v>
      </c>
      <c r="E672">
        <v>5.8</v>
      </c>
      <c r="G672" s="23">
        <f t="shared" si="41"/>
        <v>12</v>
      </c>
      <c r="H672" s="23">
        <f t="shared" si="42"/>
        <v>1</v>
      </c>
    </row>
    <row r="673" spans="1:8" x14ac:dyDescent="0.25">
      <c r="A673" s="22">
        <v>41894.052083333336</v>
      </c>
      <c r="B673">
        <v>412.3</v>
      </c>
      <c r="C673">
        <v>94.2</v>
      </c>
      <c r="D673">
        <v>9.5</v>
      </c>
      <c r="E673">
        <v>5.8</v>
      </c>
      <c r="G673" s="23">
        <f t="shared" si="41"/>
        <v>12</v>
      </c>
      <c r="H673" s="23">
        <f t="shared" si="42"/>
        <v>1</v>
      </c>
    </row>
    <row r="674" spans="1:8" x14ac:dyDescent="0.25">
      <c r="A674" s="22">
        <v>41894.055555555555</v>
      </c>
      <c r="B674">
        <v>408.3</v>
      </c>
      <c r="C674">
        <v>94.2</v>
      </c>
      <c r="D674">
        <v>9.5</v>
      </c>
      <c r="E674">
        <v>5.8</v>
      </c>
      <c r="G674" s="23">
        <f t="shared" si="41"/>
        <v>12</v>
      </c>
      <c r="H674" s="23">
        <f t="shared" si="42"/>
        <v>1</v>
      </c>
    </row>
    <row r="675" spans="1:8" x14ac:dyDescent="0.25">
      <c r="A675" s="22">
        <v>41894.059027777781</v>
      </c>
      <c r="B675">
        <v>403.1</v>
      </c>
      <c r="C675">
        <v>94.3</v>
      </c>
      <c r="D675">
        <v>9.4</v>
      </c>
      <c r="E675">
        <v>5.8</v>
      </c>
      <c r="G675" s="23">
        <f t="shared" si="41"/>
        <v>12</v>
      </c>
      <c r="H675" s="23">
        <f t="shared" si="42"/>
        <v>1</v>
      </c>
    </row>
    <row r="676" spans="1:8" x14ac:dyDescent="0.25">
      <c r="A676" s="22">
        <v>41894.0625</v>
      </c>
      <c r="B676">
        <v>397.2</v>
      </c>
      <c r="C676">
        <v>94.4</v>
      </c>
      <c r="D676">
        <v>9.4</v>
      </c>
      <c r="E676">
        <v>5.8</v>
      </c>
      <c r="G676" s="23">
        <f t="shared" si="41"/>
        <v>12</v>
      </c>
      <c r="H676" s="23">
        <f t="shared" si="42"/>
        <v>1</v>
      </c>
    </row>
    <row r="677" spans="1:8" x14ac:dyDescent="0.25">
      <c r="A677" s="22">
        <v>41894.065972222219</v>
      </c>
      <c r="B677">
        <v>394.9</v>
      </c>
      <c r="C677">
        <v>94.3</v>
      </c>
      <c r="D677">
        <v>9.4</v>
      </c>
      <c r="E677">
        <v>5.8</v>
      </c>
      <c r="G677" s="23">
        <f t="shared" si="41"/>
        <v>12</v>
      </c>
      <c r="H677" s="23">
        <f t="shared" si="42"/>
        <v>1</v>
      </c>
    </row>
    <row r="678" spans="1:8" x14ac:dyDescent="0.25">
      <c r="A678" s="22">
        <v>41894.069444444445</v>
      </c>
      <c r="B678">
        <v>391.9</v>
      </c>
      <c r="C678">
        <v>94.2</v>
      </c>
      <c r="D678">
        <v>9.3000000000000007</v>
      </c>
      <c r="E678">
        <v>5.8</v>
      </c>
      <c r="G678" s="23">
        <f t="shared" si="41"/>
        <v>12</v>
      </c>
      <c r="H678" s="23">
        <f t="shared" si="42"/>
        <v>1</v>
      </c>
    </row>
    <row r="679" spans="1:8" x14ac:dyDescent="0.25">
      <c r="A679" s="22">
        <v>41894.072916666664</v>
      </c>
      <c r="B679">
        <v>388</v>
      </c>
      <c r="C679">
        <v>94.3</v>
      </c>
      <c r="D679">
        <v>9.3000000000000007</v>
      </c>
      <c r="E679">
        <v>5.8</v>
      </c>
      <c r="G679" s="23">
        <f t="shared" si="41"/>
        <v>12</v>
      </c>
      <c r="H679" s="23">
        <f t="shared" si="42"/>
        <v>1</v>
      </c>
    </row>
    <row r="680" spans="1:8" x14ac:dyDescent="0.25">
      <c r="A680" s="22">
        <v>41894.076388888891</v>
      </c>
      <c r="B680">
        <v>386.3</v>
      </c>
      <c r="C680">
        <v>94.2</v>
      </c>
      <c r="D680">
        <v>9.3000000000000007</v>
      </c>
      <c r="E680">
        <v>5.8</v>
      </c>
      <c r="G680" s="23">
        <f t="shared" si="41"/>
        <v>12</v>
      </c>
      <c r="H680" s="23">
        <f t="shared" si="42"/>
        <v>1</v>
      </c>
    </row>
    <row r="681" spans="1:8" x14ac:dyDescent="0.25">
      <c r="A681" s="22">
        <v>41894.079861111109</v>
      </c>
      <c r="B681">
        <v>386.6</v>
      </c>
      <c r="C681">
        <v>94.3</v>
      </c>
      <c r="D681">
        <v>9.3000000000000007</v>
      </c>
      <c r="E681">
        <v>5.8</v>
      </c>
      <c r="G681" s="23">
        <f t="shared" si="41"/>
        <v>12</v>
      </c>
      <c r="H681" s="23">
        <f t="shared" si="42"/>
        <v>1</v>
      </c>
    </row>
    <row r="682" spans="1:8" x14ac:dyDescent="0.25">
      <c r="A682" s="22">
        <v>41894.083333333336</v>
      </c>
      <c r="B682">
        <v>386</v>
      </c>
      <c r="C682">
        <v>94.2</v>
      </c>
      <c r="D682">
        <v>9.3000000000000007</v>
      </c>
      <c r="E682">
        <v>5.8</v>
      </c>
      <c r="G682" s="23">
        <f t="shared" si="41"/>
        <v>12</v>
      </c>
      <c r="H682" s="23">
        <f t="shared" si="42"/>
        <v>2</v>
      </c>
    </row>
    <row r="683" spans="1:8" x14ac:dyDescent="0.25">
      <c r="A683" s="22">
        <v>41894.086805555555</v>
      </c>
      <c r="B683">
        <v>385.9</v>
      </c>
      <c r="C683">
        <v>94.3</v>
      </c>
      <c r="D683">
        <v>9.3000000000000007</v>
      </c>
      <c r="E683">
        <v>5.8</v>
      </c>
      <c r="G683" s="23">
        <f t="shared" si="41"/>
        <v>12</v>
      </c>
      <c r="H683" s="23">
        <f t="shared" si="42"/>
        <v>2</v>
      </c>
    </row>
    <row r="684" spans="1:8" x14ac:dyDescent="0.25">
      <c r="A684" s="22">
        <v>41894.090277777781</v>
      </c>
      <c r="B684">
        <v>384.7</v>
      </c>
      <c r="C684">
        <v>94.3</v>
      </c>
      <c r="D684">
        <v>9.3000000000000007</v>
      </c>
      <c r="E684">
        <v>5.8</v>
      </c>
      <c r="G684" s="23">
        <f t="shared" si="41"/>
        <v>12</v>
      </c>
      <c r="H684" s="23">
        <f t="shared" si="42"/>
        <v>2</v>
      </c>
    </row>
    <row r="685" spans="1:8" x14ac:dyDescent="0.25">
      <c r="A685" s="22">
        <v>41894.09375</v>
      </c>
      <c r="B685">
        <v>386.3</v>
      </c>
      <c r="C685">
        <v>94.3</v>
      </c>
      <c r="D685">
        <v>9.3000000000000007</v>
      </c>
      <c r="E685">
        <v>5.8</v>
      </c>
      <c r="G685" s="23">
        <f t="shared" si="41"/>
        <v>12</v>
      </c>
      <c r="H685" s="23">
        <f t="shared" si="42"/>
        <v>2</v>
      </c>
    </row>
    <row r="686" spans="1:8" x14ac:dyDescent="0.25">
      <c r="A686" s="22">
        <v>41894.097222222219</v>
      </c>
      <c r="B686">
        <v>388.4</v>
      </c>
      <c r="C686">
        <v>94.3</v>
      </c>
      <c r="D686">
        <v>9.3000000000000007</v>
      </c>
      <c r="E686">
        <v>5.8</v>
      </c>
      <c r="G686" s="23">
        <f t="shared" si="41"/>
        <v>12</v>
      </c>
      <c r="H686" s="23">
        <f t="shared" si="42"/>
        <v>2</v>
      </c>
    </row>
    <row r="687" spans="1:8" x14ac:dyDescent="0.25">
      <c r="A687" s="22">
        <v>41894.100694444445</v>
      </c>
      <c r="B687">
        <v>386.2</v>
      </c>
      <c r="C687">
        <v>94.3</v>
      </c>
      <c r="D687">
        <v>9.3000000000000007</v>
      </c>
      <c r="E687">
        <v>5.8</v>
      </c>
      <c r="G687" s="23">
        <f t="shared" si="41"/>
        <v>12</v>
      </c>
      <c r="H687" s="23">
        <f t="shared" si="42"/>
        <v>2</v>
      </c>
    </row>
    <row r="688" spans="1:8" x14ac:dyDescent="0.25">
      <c r="A688" s="22">
        <v>41894.104166666664</v>
      </c>
      <c r="B688">
        <v>383.6</v>
      </c>
      <c r="C688">
        <v>94.3</v>
      </c>
      <c r="D688">
        <v>9.3000000000000007</v>
      </c>
      <c r="E688">
        <v>5.8</v>
      </c>
      <c r="G688" s="23">
        <f t="shared" si="41"/>
        <v>12</v>
      </c>
      <c r="H688" s="23">
        <f t="shared" si="42"/>
        <v>2</v>
      </c>
    </row>
    <row r="689" spans="1:8" x14ac:dyDescent="0.25">
      <c r="A689" s="22">
        <v>41894.107638888891</v>
      </c>
      <c r="B689">
        <v>380.8</v>
      </c>
      <c r="C689">
        <v>94.4</v>
      </c>
      <c r="D689">
        <v>9.1999999999999993</v>
      </c>
      <c r="E689">
        <v>5.8</v>
      </c>
      <c r="G689" s="23">
        <f t="shared" si="41"/>
        <v>12</v>
      </c>
      <c r="H689" s="23">
        <f t="shared" si="42"/>
        <v>2</v>
      </c>
    </row>
    <row r="690" spans="1:8" x14ac:dyDescent="0.25">
      <c r="A690" s="22">
        <v>41894.111111111109</v>
      </c>
      <c r="B690">
        <v>382.7</v>
      </c>
      <c r="C690">
        <v>94.3</v>
      </c>
      <c r="D690">
        <v>9.3000000000000007</v>
      </c>
      <c r="E690">
        <v>5.8</v>
      </c>
      <c r="G690" s="23">
        <f t="shared" si="41"/>
        <v>12</v>
      </c>
      <c r="H690" s="23">
        <f t="shared" si="42"/>
        <v>2</v>
      </c>
    </row>
    <row r="691" spans="1:8" x14ac:dyDescent="0.25">
      <c r="A691" s="22">
        <v>41894.114583333336</v>
      </c>
      <c r="B691">
        <v>382.9</v>
      </c>
      <c r="C691">
        <v>94.2</v>
      </c>
      <c r="D691">
        <v>9.3000000000000007</v>
      </c>
      <c r="E691">
        <v>5.8</v>
      </c>
      <c r="G691" s="23">
        <f t="shared" si="41"/>
        <v>12</v>
      </c>
      <c r="H691" s="23">
        <f t="shared" si="42"/>
        <v>2</v>
      </c>
    </row>
    <row r="692" spans="1:8" x14ac:dyDescent="0.25">
      <c r="A692" s="22">
        <v>41894.118055555555</v>
      </c>
      <c r="B692">
        <v>384.4</v>
      </c>
      <c r="C692">
        <v>94.2</v>
      </c>
      <c r="D692">
        <v>9.3000000000000007</v>
      </c>
      <c r="E692">
        <v>5.8</v>
      </c>
      <c r="G692" s="23">
        <f t="shared" si="41"/>
        <v>12</v>
      </c>
      <c r="H692" s="23">
        <f t="shared" si="42"/>
        <v>2</v>
      </c>
    </row>
    <row r="693" spans="1:8" x14ac:dyDescent="0.25">
      <c r="A693" s="22">
        <v>41894.121527777781</v>
      </c>
      <c r="B693">
        <v>384.7</v>
      </c>
      <c r="C693">
        <v>94.3</v>
      </c>
      <c r="D693">
        <v>9.3000000000000007</v>
      </c>
      <c r="E693">
        <v>5.8</v>
      </c>
      <c r="G693" s="23">
        <f t="shared" si="41"/>
        <v>12</v>
      </c>
      <c r="H693" s="23">
        <f t="shared" si="42"/>
        <v>2</v>
      </c>
    </row>
    <row r="694" spans="1:8" x14ac:dyDescent="0.25">
      <c r="A694" s="22">
        <v>41894.125</v>
      </c>
      <c r="B694">
        <v>383.3</v>
      </c>
      <c r="C694">
        <v>94.3</v>
      </c>
      <c r="D694">
        <v>9.3000000000000007</v>
      </c>
      <c r="E694">
        <v>5.8</v>
      </c>
      <c r="G694" s="23">
        <f t="shared" si="41"/>
        <v>12</v>
      </c>
      <c r="H694" s="23">
        <f t="shared" si="42"/>
        <v>3</v>
      </c>
    </row>
    <row r="695" spans="1:8" x14ac:dyDescent="0.25">
      <c r="A695" s="22">
        <v>41894.128472222219</v>
      </c>
      <c r="B695">
        <v>381.1</v>
      </c>
      <c r="C695">
        <v>94.3</v>
      </c>
      <c r="D695">
        <v>9.1999999999999993</v>
      </c>
      <c r="E695">
        <v>5.8</v>
      </c>
      <c r="G695" s="23">
        <f t="shared" si="41"/>
        <v>12</v>
      </c>
      <c r="H695" s="23">
        <f t="shared" si="42"/>
        <v>3</v>
      </c>
    </row>
    <row r="696" spans="1:8" x14ac:dyDescent="0.25">
      <c r="A696" s="22">
        <v>41894.131944444445</v>
      </c>
      <c r="B696">
        <v>378.8</v>
      </c>
      <c r="C696">
        <v>94.2</v>
      </c>
      <c r="D696">
        <v>9.1999999999999993</v>
      </c>
      <c r="E696">
        <v>5.8</v>
      </c>
      <c r="G696" s="23">
        <f t="shared" si="41"/>
        <v>12</v>
      </c>
      <c r="H696" s="23">
        <f t="shared" si="42"/>
        <v>3</v>
      </c>
    </row>
    <row r="697" spans="1:8" x14ac:dyDescent="0.25">
      <c r="A697" s="22">
        <v>41894.135416666664</v>
      </c>
      <c r="B697">
        <v>378.5</v>
      </c>
      <c r="C697">
        <v>94.3</v>
      </c>
      <c r="D697">
        <v>9.1999999999999993</v>
      </c>
      <c r="E697">
        <v>5.8</v>
      </c>
      <c r="G697" s="23">
        <f t="shared" si="41"/>
        <v>12</v>
      </c>
      <c r="H697" s="23">
        <f t="shared" si="42"/>
        <v>3</v>
      </c>
    </row>
    <row r="698" spans="1:8" x14ac:dyDescent="0.25">
      <c r="A698" s="22">
        <v>41894.138888888891</v>
      </c>
      <c r="B698">
        <v>381.4</v>
      </c>
      <c r="C698">
        <v>94.3</v>
      </c>
      <c r="D698">
        <v>9.1999999999999993</v>
      </c>
      <c r="E698">
        <v>5.8</v>
      </c>
      <c r="G698" s="23">
        <f t="shared" si="41"/>
        <v>12</v>
      </c>
      <c r="H698" s="23">
        <f t="shared" si="42"/>
        <v>3</v>
      </c>
    </row>
    <row r="699" spans="1:8" x14ac:dyDescent="0.25">
      <c r="A699" s="22">
        <v>41894.142361111109</v>
      </c>
      <c r="B699">
        <v>382.3</v>
      </c>
      <c r="C699">
        <v>94.3</v>
      </c>
      <c r="D699">
        <v>9.3000000000000007</v>
      </c>
      <c r="E699">
        <v>5.8</v>
      </c>
      <c r="G699" s="23">
        <f t="shared" si="41"/>
        <v>12</v>
      </c>
      <c r="H699" s="23">
        <f t="shared" si="42"/>
        <v>3</v>
      </c>
    </row>
    <row r="700" spans="1:8" x14ac:dyDescent="0.25">
      <c r="A700" s="22">
        <v>41894.145833333336</v>
      </c>
      <c r="B700">
        <v>378.9</v>
      </c>
      <c r="C700">
        <v>94.2</v>
      </c>
      <c r="D700">
        <v>9.1999999999999993</v>
      </c>
      <c r="E700">
        <v>5.8</v>
      </c>
      <c r="G700" s="23">
        <f t="shared" si="41"/>
        <v>12</v>
      </c>
      <c r="H700" s="23">
        <f t="shared" si="42"/>
        <v>3</v>
      </c>
    </row>
    <row r="701" spans="1:8" x14ac:dyDescent="0.25">
      <c r="A701" s="22">
        <v>41894.149305555555</v>
      </c>
      <c r="B701">
        <v>377.7</v>
      </c>
      <c r="C701">
        <v>94.2</v>
      </c>
      <c r="D701">
        <v>9.1999999999999993</v>
      </c>
      <c r="E701">
        <v>5.8</v>
      </c>
      <c r="G701" s="23">
        <f t="shared" si="41"/>
        <v>12</v>
      </c>
      <c r="H701" s="23">
        <f t="shared" si="42"/>
        <v>3</v>
      </c>
    </row>
    <row r="702" spans="1:8" x14ac:dyDescent="0.25">
      <c r="A702" s="22">
        <v>41894.152777777781</v>
      </c>
      <c r="B702">
        <v>377.6</v>
      </c>
      <c r="C702">
        <v>94.3</v>
      </c>
      <c r="D702">
        <v>9.1999999999999993</v>
      </c>
      <c r="E702">
        <v>5.8</v>
      </c>
      <c r="G702" s="23">
        <f t="shared" si="41"/>
        <v>12</v>
      </c>
      <c r="H702" s="23">
        <f t="shared" si="42"/>
        <v>3</v>
      </c>
    </row>
    <row r="703" spans="1:8" x14ac:dyDescent="0.25">
      <c r="A703" s="22">
        <v>41894.15625</v>
      </c>
      <c r="B703">
        <v>378</v>
      </c>
      <c r="C703">
        <v>94.3</v>
      </c>
      <c r="D703">
        <v>9.1999999999999993</v>
      </c>
      <c r="E703">
        <v>5.8</v>
      </c>
      <c r="G703" s="23">
        <f t="shared" si="41"/>
        <v>12</v>
      </c>
      <c r="H703" s="23">
        <f t="shared" si="42"/>
        <v>3</v>
      </c>
    </row>
    <row r="704" spans="1:8" x14ac:dyDescent="0.25">
      <c r="A704" s="22">
        <v>41894.159722222219</v>
      </c>
      <c r="B704">
        <v>377.3</v>
      </c>
      <c r="C704">
        <v>94.2</v>
      </c>
      <c r="D704">
        <v>9.1999999999999993</v>
      </c>
      <c r="E704">
        <v>5.8</v>
      </c>
      <c r="G704" s="23">
        <f t="shared" si="41"/>
        <v>12</v>
      </c>
      <c r="H704" s="23">
        <f t="shared" si="42"/>
        <v>3</v>
      </c>
    </row>
    <row r="705" spans="1:8" x14ac:dyDescent="0.25">
      <c r="A705" s="22">
        <v>41894.163194444445</v>
      </c>
      <c r="B705">
        <v>375.6</v>
      </c>
      <c r="C705">
        <v>94.2</v>
      </c>
      <c r="D705">
        <v>9.1999999999999993</v>
      </c>
      <c r="E705">
        <v>5.8</v>
      </c>
      <c r="G705" s="23">
        <f t="shared" si="41"/>
        <v>12</v>
      </c>
      <c r="H705" s="23">
        <f t="shared" si="42"/>
        <v>3</v>
      </c>
    </row>
    <row r="706" spans="1:8" x14ac:dyDescent="0.25">
      <c r="A706" s="22">
        <v>41894.166666666664</v>
      </c>
      <c r="B706">
        <v>373.8</v>
      </c>
      <c r="C706">
        <v>94.2</v>
      </c>
      <c r="D706">
        <v>9.1999999999999993</v>
      </c>
      <c r="E706">
        <v>5.8</v>
      </c>
      <c r="G706" s="23">
        <f t="shared" si="41"/>
        <v>12</v>
      </c>
      <c r="H706" s="23">
        <f t="shared" si="42"/>
        <v>4</v>
      </c>
    </row>
    <row r="707" spans="1:8" x14ac:dyDescent="0.25">
      <c r="A707" s="22">
        <v>41894.170138888891</v>
      </c>
      <c r="B707">
        <v>375.2</v>
      </c>
      <c r="C707">
        <v>94.3</v>
      </c>
      <c r="D707">
        <v>9.1999999999999993</v>
      </c>
      <c r="E707">
        <v>5.8</v>
      </c>
      <c r="G707" s="23">
        <f t="shared" si="41"/>
        <v>12</v>
      </c>
      <c r="H707" s="23">
        <f t="shared" si="42"/>
        <v>4</v>
      </c>
    </row>
    <row r="708" spans="1:8" x14ac:dyDescent="0.25">
      <c r="A708" s="22">
        <v>41894.173611111109</v>
      </c>
      <c r="B708">
        <v>372.5</v>
      </c>
      <c r="C708">
        <v>94.3</v>
      </c>
      <c r="D708">
        <v>9.1999999999999993</v>
      </c>
      <c r="E708">
        <v>5.8</v>
      </c>
      <c r="G708" s="23">
        <f t="shared" si="41"/>
        <v>12</v>
      </c>
      <c r="H708" s="23">
        <f t="shared" si="42"/>
        <v>4</v>
      </c>
    </row>
    <row r="709" spans="1:8" x14ac:dyDescent="0.25">
      <c r="A709" s="22">
        <v>41894.177083333336</v>
      </c>
      <c r="B709">
        <v>368.3</v>
      </c>
      <c r="C709">
        <v>94.2</v>
      </c>
      <c r="D709">
        <v>9.1</v>
      </c>
      <c r="E709">
        <v>5.8</v>
      </c>
      <c r="G709" s="23">
        <f t="shared" si="41"/>
        <v>12</v>
      </c>
      <c r="H709" s="23">
        <f t="shared" si="42"/>
        <v>4</v>
      </c>
    </row>
    <row r="710" spans="1:8" x14ac:dyDescent="0.25">
      <c r="A710" s="22">
        <v>41894.180555555555</v>
      </c>
      <c r="B710">
        <v>369.1</v>
      </c>
      <c r="C710">
        <v>94.2</v>
      </c>
      <c r="D710">
        <v>9.1</v>
      </c>
      <c r="E710">
        <v>5.8</v>
      </c>
      <c r="G710" s="23">
        <f t="shared" ref="G710:G773" si="43">+DAY(A710)</f>
        <v>12</v>
      </c>
      <c r="H710" s="23">
        <f t="shared" ref="H710:H773" si="44">+HOUR(A710)</f>
        <v>4</v>
      </c>
    </row>
    <row r="711" spans="1:8" x14ac:dyDescent="0.25">
      <c r="A711" s="22">
        <v>41894.184027777781</v>
      </c>
      <c r="B711">
        <v>371.5</v>
      </c>
      <c r="C711">
        <v>94.3</v>
      </c>
      <c r="D711">
        <v>9.1999999999999993</v>
      </c>
      <c r="E711">
        <v>5.8</v>
      </c>
      <c r="G711" s="23">
        <f t="shared" si="43"/>
        <v>12</v>
      </c>
      <c r="H711" s="23">
        <f t="shared" si="44"/>
        <v>4</v>
      </c>
    </row>
    <row r="712" spans="1:8" x14ac:dyDescent="0.25">
      <c r="A712" s="22">
        <v>41894.1875</v>
      </c>
      <c r="B712">
        <v>370</v>
      </c>
      <c r="C712">
        <v>94.3</v>
      </c>
      <c r="D712">
        <v>9.1</v>
      </c>
      <c r="E712">
        <v>5.8</v>
      </c>
      <c r="G712" s="23">
        <f t="shared" si="43"/>
        <v>12</v>
      </c>
      <c r="H712" s="23">
        <f t="shared" si="44"/>
        <v>4</v>
      </c>
    </row>
    <row r="713" spans="1:8" x14ac:dyDescent="0.25">
      <c r="A713" s="22">
        <v>41894.190972222219</v>
      </c>
      <c r="B713">
        <v>368.3</v>
      </c>
      <c r="C713">
        <v>94.2</v>
      </c>
      <c r="D713">
        <v>9.1</v>
      </c>
      <c r="E713">
        <v>5.8</v>
      </c>
      <c r="G713" s="23">
        <f t="shared" si="43"/>
        <v>12</v>
      </c>
      <c r="H713" s="23">
        <f t="shared" si="44"/>
        <v>4</v>
      </c>
    </row>
    <row r="714" spans="1:8" x14ac:dyDescent="0.25">
      <c r="A714" s="22">
        <v>41894.194444444445</v>
      </c>
      <c r="B714">
        <v>364.8</v>
      </c>
      <c r="C714">
        <v>94.2</v>
      </c>
      <c r="D714">
        <v>9.1</v>
      </c>
      <c r="E714">
        <v>5.8</v>
      </c>
      <c r="G714" s="23">
        <f t="shared" si="43"/>
        <v>12</v>
      </c>
      <c r="H714" s="23">
        <f t="shared" si="44"/>
        <v>4</v>
      </c>
    </row>
    <row r="715" spans="1:8" x14ac:dyDescent="0.25">
      <c r="A715" s="22">
        <v>41894.197916666664</v>
      </c>
      <c r="B715">
        <v>366.4</v>
      </c>
      <c r="C715">
        <v>94.3</v>
      </c>
      <c r="D715">
        <v>9.1</v>
      </c>
      <c r="E715">
        <v>5.8</v>
      </c>
      <c r="G715" s="23">
        <f t="shared" si="43"/>
        <v>12</v>
      </c>
      <c r="H715" s="23">
        <f t="shared" si="44"/>
        <v>4</v>
      </c>
    </row>
    <row r="716" spans="1:8" x14ac:dyDescent="0.25">
      <c r="A716" s="22">
        <v>41894.201388888891</v>
      </c>
      <c r="B716">
        <v>364.7</v>
      </c>
      <c r="C716">
        <v>94.3</v>
      </c>
      <c r="D716">
        <v>9.1</v>
      </c>
      <c r="E716">
        <v>5.8</v>
      </c>
      <c r="G716" s="23">
        <f t="shared" si="43"/>
        <v>12</v>
      </c>
      <c r="H716" s="23">
        <f t="shared" si="44"/>
        <v>4</v>
      </c>
    </row>
    <row r="717" spans="1:8" x14ac:dyDescent="0.25">
      <c r="A717" s="22">
        <v>41894.204861111109</v>
      </c>
      <c r="B717">
        <v>364.5</v>
      </c>
      <c r="C717">
        <v>94.3</v>
      </c>
      <c r="D717">
        <v>9.1</v>
      </c>
      <c r="E717">
        <v>5.8</v>
      </c>
      <c r="G717" s="23">
        <f t="shared" si="43"/>
        <v>12</v>
      </c>
      <c r="H717" s="23">
        <f t="shared" si="44"/>
        <v>4</v>
      </c>
    </row>
    <row r="718" spans="1:8" x14ac:dyDescent="0.25">
      <c r="A718" s="22">
        <v>41894.208333333336</v>
      </c>
      <c r="B718">
        <v>361.6</v>
      </c>
      <c r="C718">
        <v>94.3</v>
      </c>
      <c r="D718">
        <v>9.1</v>
      </c>
      <c r="E718">
        <v>5.8</v>
      </c>
      <c r="G718" s="23">
        <f t="shared" si="43"/>
        <v>12</v>
      </c>
      <c r="H718" s="23">
        <f t="shared" si="44"/>
        <v>5</v>
      </c>
    </row>
    <row r="719" spans="1:8" x14ac:dyDescent="0.25">
      <c r="A719" s="22">
        <v>41894.211805555555</v>
      </c>
      <c r="B719">
        <v>362.2</v>
      </c>
      <c r="C719">
        <v>94.3</v>
      </c>
      <c r="D719">
        <v>9.1</v>
      </c>
      <c r="E719">
        <v>5.8</v>
      </c>
      <c r="G719" s="23">
        <f t="shared" si="43"/>
        <v>12</v>
      </c>
      <c r="H719" s="23">
        <f t="shared" si="44"/>
        <v>5</v>
      </c>
    </row>
    <row r="720" spans="1:8" x14ac:dyDescent="0.25">
      <c r="A720" s="22">
        <v>41894.215277777781</v>
      </c>
      <c r="B720">
        <v>361.4</v>
      </c>
      <c r="C720">
        <v>94.3</v>
      </c>
      <c r="D720">
        <v>9.1</v>
      </c>
      <c r="E720">
        <v>5.8</v>
      </c>
      <c r="G720" s="23">
        <f t="shared" si="43"/>
        <v>12</v>
      </c>
      <c r="H720" s="23">
        <f t="shared" si="44"/>
        <v>5</v>
      </c>
    </row>
    <row r="721" spans="1:8" x14ac:dyDescent="0.25">
      <c r="A721" s="22">
        <v>41894.21875</v>
      </c>
      <c r="B721">
        <v>359.5</v>
      </c>
      <c r="C721">
        <v>94.2</v>
      </c>
      <c r="D721">
        <v>9</v>
      </c>
      <c r="E721">
        <v>5.8</v>
      </c>
      <c r="G721" s="23">
        <f t="shared" si="43"/>
        <v>12</v>
      </c>
      <c r="H721" s="23">
        <f t="shared" si="44"/>
        <v>5</v>
      </c>
    </row>
    <row r="722" spans="1:8" x14ac:dyDescent="0.25">
      <c r="A722" s="22">
        <v>41894.222222222219</v>
      </c>
      <c r="B722">
        <v>360.8</v>
      </c>
      <c r="C722">
        <v>94.2</v>
      </c>
      <c r="D722">
        <v>9.1</v>
      </c>
      <c r="E722">
        <v>5.8</v>
      </c>
      <c r="G722" s="23">
        <f t="shared" si="43"/>
        <v>12</v>
      </c>
      <c r="H722" s="23">
        <f t="shared" si="44"/>
        <v>5</v>
      </c>
    </row>
    <row r="723" spans="1:8" x14ac:dyDescent="0.25">
      <c r="A723" s="22">
        <v>41894.225694444445</v>
      </c>
      <c r="B723">
        <v>361.2</v>
      </c>
      <c r="C723">
        <v>94.2</v>
      </c>
      <c r="D723">
        <v>9.1</v>
      </c>
      <c r="E723">
        <v>5.8</v>
      </c>
      <c r="G723" s="23">
        <f t="shared" si="43"/>
        <v>12</v>
      </c>
      <c r="H723" s="23">
        <f t="shared" si="44"/>
        <v>5</v>
      </c>
    </row>
    <row r="724" spans="1:8" x14ac:dyDescent="0.25">
      <c r="A724" s="22">
        <v>41894.229166666664</v>
      </c>
      <c r="B724">
        <v>359.3</v>
      </c>
      <c r="C724">
        <v>94.3</v>
      </c>
      <c r="D724">
        <v>9</v>
      </c>
      <c r="E724">
        <v>5.8</v>
      </c>
      <c r="G724" s="23">
        <f t="shared" si="43"/>
        <v>12</v>
      </c>
      <c r="H724" s="23">
        <f t="shared" si="44"/>
        <v>5</v>
      </c>
    </row>
    <row r="725" spans="1:8" x14ac:dyDescent="0.25">
      <c r="A725" s="22">
        <v>41894.232638888891</v>
      </c>
      <c r="B725">
        <v>361.6</v>
      </c>
      <c r="C725">
        <v>94.3</v>
      </c>
      <c r="D725">
        <v>9.1</v>
      </c>
      <c r="E725">
        <v>5.8</v>
      </c>
      <c r="G725" s="23">
        <f t="shared" si="43"/>
        <v>12</v>
      </c>
      <c r="H725" s="23">
        <f t="shared" si="44"/>
        <v>5</v>
      </c>
    </row>
    <row r="726" spans="1:8" x14ac:dyDescent="0.25">
      <c r="A726" s="22">
        <v>41894.236111111109</v>
      </c>
      <c r="B726">
        <v>359.2</v>
      </c>
      <c r="C726">
        <v>94.3</v>
      </c>
      <c r="D726">
        <v>9</v>
      </c>
      <c r="E726">
        <v>5.8</v>
      </c>
      <c r="G726" s="23">
        <f t="shared" si="43"/>
        <v>12</v>
      </c>
      <c r="H726" s="23">
        <f t="shared" si="44"/>
        <v>5</v>
      </c>
    </row>
    <row r="727" spans="1:8" x14ac:dyDescent="0.25">
      <c r="A727" s="22">
        <v>41894.239583333336</v>
      </c>
      <c r="B727">
        <v>360.3</v>
      </c>
      <c r="C727">
        <v>94.2</v>
      </c>
      <c r="D727">
        <v>9</v>
      </c>
      <c r="E727">
        <v>5.8</v>
      </c>
      <c r="G727" s="23">
        <f t="shared" si="43"/>
        <v>12</v>
      </c>
      <c r="H727" s="23">
        <f t="shared" si="44"/>
        <v>5</v>
      </c>
    </row>
    <row r="728" spans="1:8" x14ac:dyDescent="0.25">
      <c r="A728" s="22">
        <v>41894.243055555555</v>
      </c>
      <c r="B728">
        <v>360.2</v>
      </c>
      <c r="C728">
        <v>94.3</v>
      </c>
      <c r="D728">
        <v>9</v>
      </c>
      <c r="E728">
        <v>5.8</v>
      </c>
      <c r="G728" s="23">
        <f t="shared" si="43"/>
        <v>12</v>
      </c>
      <c r="H728" s="23">
        <f t="shared" si="44"/>
        <v>5</v>
      </c>
    </row>
    <row r="729" spans="1:8" x14ac:dyDescent="0.25">
      <c r="A729" s="22">
        <v>41894.246527777781</v>
      </c>
      <c r="B729">
        <v>357.9</v>
      </c>
      <c r="C729">
        <v>94.3</v>
      </c>
      <c r="D729">
        <v>9</v>
      </c>
      <c r="E729">
        <v>5.8</v>
      </c>
      <c r="G729" s="23">
        <f t="shared" si="43"/>
        <v>12</v>
      </c>
      <c r="H729" s="23">
        <f t="shared" si="44"/>
        <v>5</v>
      </c>
    </row>
    <row r="730" spans="1:8" x14ac:dyDescent="0.25">
      <c r="A730" s="22">
        <v>41894.25</v>
      </c>
      <c r="B730">
        <v>354.8</v>
      </c>
      <c r="C730">
        <v>94.3</v>
      </c>
      <c r="D730">
        <v>9</v>
      </c>
      <c r="E730">
        <v>5.8</v>
      </c>
      <c r="G730" s="23">
        <f t="shared" si="43"/>
        <v>12</v>
      </c>
      <c r="H730" s="23">
        <f t="shared" si="44"/>
        <v>6</v>
      </c>
    </row>
    <row r="731" spans="1:8" x14ac:dyDescent="0.25">
      <c r="A731" s="22">
        <v>41894.253472222219</v>
      </c>
      <c r="B731">
        <v>354.9</v>
      </c>
      <c r="C731">
        <v>94.3</v>
      </c>
      <c r="D731">
        <v>9</v>
      </c>
      <c r="E731">
        <v>5.8</v>
      </c>
      <c r="G731" s="23">
        <f t="shared" si="43"/>
        <v>12</v>
      </c>
      <c r="H731" s="23">
        <f t="shared" si="44"/>
        <v>6</v>
      </c>
    </row>
    <row r="732" spans="1:8" x14ac:dyDescent="0.25">
      <c r="A732" s="22">
        <v>41894.256944444445</v>
      </c>
      <c r="B732">
        <v>351.5</v>
      </c>
      <c r="C732">
        <v>94.3</v>
      </c>
      <c r="D732">
        <v>9</v>
      </c>
      <c r="E732">
        <v>5.8</v>
      </c>
      <c r="G732" s="23">
        <f t="shared" si="43"/>
        <v>12</v>
      </c>
      <c r="H732" s="23">
        <f t="shared" si="44"/>
        <v>6</v>
      </c>
    </row>
    <row r="733" spans="1:8" x14ac:dyDescent="0.25">
      <c r="A733" s="22">
        <v>41894.260416666664</v>
      </c>
      <c r="B733">
        <v>355.6</v>
      </c>
      <c r="C733">
        <v>94.3</v>
      </c>
      <c r="D733">
        <v>9</v>
      </c>
      <c r="E733">
        <v>5.8</v>
      </c>
      <c r="G733" s="23">
        <f t="shared" si="43"/>
        <v>12</v>
      </c>
      <c r="H733" s="23">
        <f t="shared" si="44"/>
        <v>6</v>
      </c>
    </row>
    <row r="734" spans="1:8" x14ac:dyDescent="0.25">
      <c r="A734" s="22">
        <v>41894.263888888891</v>
      </c>
      <c r="B734">
        <v>350.9</v>
      </c>
      <c r="C734">
        <v>94.3</v>
      </c>
      <c r="D734">
        <v>9</v>
      </c>
      <c r="E734">
        <v>5.8</v>
      </c>
      <c r="G734" s="23">
        <f t="shared" si="43"/>
        <v>12</v>
      </c>
      <c r="H734" s="23">
        <f t="shared" si="44"/>
        <v>6</v>
      </c>
    </row>
    <row r="735" spans="1:8" x14ac:dyDescent="0.25">
      <c r="A735" s="22">
        <v>41894.267361111109</v>
      </c>
      <c r="B735">
        <v>348.9</v>
      </c>
      <c r="C735">
        <v>94.2</v>
      </c>
      <c r="D735">
        <v>8.9</v>
      </c>
      <c r="E735">
        <v>5.8</v>
      </c>
      <c r="G735" s="23">
        <f t="shared" si="43"/>
        <v>12</v>
      </c>
      <c r="H735" s="23">
        <f t="shared" si="44"/>
        <v>6</v>
      </c>
    </row>
    <row r="736" spans="1:8" x14ac:dyDescent="0.25">
      <c r="A736" s="22">
        <v>41894.270833333336</v>
      </c>
      <c r="B736">
        <v>347.5</v>
      </c>
      <c r="C736">
        <v>94.3</v>
      </c>
      <c r="D736">
        <v>8.9</v>
      </c>
      <c r="E736">
        <v>5.8</v>
      </c>
      <c r="G736" s="23">
        <f t="shared" si="43"/>
        <v>12</v>
      </c>
      <c r="H736" s="23">
        <f t="shared" si="44"/>
        <v>6</v>
      </c>
    </row>
    <row r="737" spans="1:8" x14ac:dyDescent="0.25">
      <c r="A737" s="22">
        <v>41894.274305555555</v>
      </c>
      <c r="B737">
        <v>346.4</v>
      </c>
      <c r="C737">
        <v>94.2</v>
      </c>
      <c r="D737">
        <v>8.9</v>
      </c>
      <c r="E737">
        <v>5.8</v>
      </c>
      <c r="G737" s="23">
        <f t="shared" si="43"/>
        <v>12</v>
      </c>
      <c r="H737" s="23">
        <f t="shared" si="44"/>
        <v>6</v>
      </c>
    </row>
    <row r="738" spans="1:8" x14ac:dyDescent="0.25">
      <c r="A738" s="22">
        <v>41894.277777777781</v>
      </c>
      <c r="B738">
        <v>345.5</v>
      </c>
      <c r="C738">
        <v>94.2</v>
      </c>
      <c r="D738">
        <v>8.9</v>
      </c>
      <c r="E738">
        <v>5.8</v>
      </c>
      <c r="G738" s="23">
        <f t="shared" si="43"/>
        <v>12</v>
      </c>
      <c r="H738" s="23">
        <f t="shared" si="44"/>
        <v>6</v>
      </c>
    </row>
    <row r="739" spans="1:8" x14ac:dyDescent="0.25">
      <c r="A739" s="22">
        <v>41894.28125</v>
      </c>
      <c r="B739">
        <v>346.9</v>
      </c>
      <c r="C739">
        <v>94.2</v>
      </c>
      <c r="D739">
        <v>8.9</v>
      </c>
      <c r="E739">
        <v>5.8</v>
      </c>
      <c r="G739" s="23">
        <f t="shared" si="43"/>
        <v>12</v>
      </c>
      <c r="H739" s="23">
        <f t="shared" si="44"/>
        <v>6</v>
      </c>
    </row>
    <row r="740" spans="1:8" x14ac:dyDescent="0.25">
      <c r="A740" s="22">
        <v>41894.284722222219</v>
      </c>
      <c r="B740">
        <v>346.2</v>
      </c>
      <c r="C740">
        <v>94.2</v>
      </c>
      <c r="D740">
        <v>8.9</v>
      </c>
      <c r="E740">
        <v>5.8</v>
      </c>
      <c r="G740" s="23">
        <f t="shared" si="43"/>
        <v>12</v>
      </c>
      <c r="H740" s="23">
        <f t="shared" si="44"/>
        <v>6</v>
      </c>
    </row>
    <row r="741" spans="1:8" x14ac:dyDescent="0.25">
      <c r="A741" s="22">
        <v>41894.288194444445</v>
      </c>
      <c r="B741">
        <v>344.2</v>
      </c>
      <c r="C741">
        <v>94.3</v>
      </c>
      <c r="D741">
        <v>8.9</v>
      </c>
      <c r="E741">
        <v>5.8</v>
      </c>
      <c r="G741" s="23">
        <f t="shared" si="43"/>
        <v>12</v>
      </c>
      <c r="H741" s="23">
        <f t="shared" si="44"/>
        <v>6</v>
      </c>
    </row>
    <row r="742" spans="1:8" x14ac:dyDescent="0.25">
      <c r="A742" s="22">
        <v>41894.291666666664</v>
      </c>
      <c r="B742">
        <v>345.8</v>
      </c>
      <c r="C742">
        <v>94.2</v>
      </c>
      <c r="D742">
        <v>8.9</v>
      </c>
      <c r="E742">
        <v>5.8</v>
      </c>
      <c r="G742" s="23">
        <f t="shared" si="43"/>
        <v>12</v>
      </c>
      <c r="H742" s="23">
        <f t="shared" si="44"/>
        <v>7</v>
      </c>
    </row>
    <row r="743" spans="1:8" x14ac:dyDescent="0.25">
      <c r="A743" s="22">
        <v>41894.295138888891</v>
      </c>
      <c r="B743">
        <v>346.5</v>
      </c>
      <c r="C743">
        <v>94.2</v>
      </c>
      <c r="D743">
        <v>8.9</v>
      </c>
      <c r="E743">
        <v>5.8</v>
      </c>
      <c r="G743" s="23">
        <f t="shared" si="43"/>
        <v>12</v>
      </c>
      <c r="H743" s="23">
        <f t="shared" si="44"/>
        <v>7</v>
      </c>
    </row>
    <row r="744" spans="1:8" x14ac:dyDescent="0.25">
      <c r="A744" s="22">
        <v>41894.298611111109</v>
      </c>
      <c r="B744">
        <v>341.1</v>
      </c>
      <c r="C744">
        <v>94.2</v>
      </c>
      <c r="D744">
        <v>8.9</v>
      </c>
      <c r="E744">
        <v>5.8</v>
      </c>
      <c r="G744" s="23">
        <f t="shared" si="43"/>
        <v>12</v>
      </c>
      <c r="H744" s="23">
        <f t="shared" si="44"/>
        <v>7</v>
      </c>
    </row>
    <row r="745" spans="1:8" x14ac:dyDescent="0.25">
      <c r="A745" s="22">
        <v>41894.302083333336</v>
      </c>
      <c r="B745">
        <v>379.2</v>
      </c>
      <c r="C745">
        <v>94.2</v>
      </c>
      <c r="D745">
        <v>9.3000000000000007</v>
      </c>
      <c r="E745">
        <v>5.8</v>
      </c>
      <c r="G745" s="23">
        <f t="shared" si="43"/>
        <v>12</v>
      </c>
      <c r="H745" s="23">
        <f t="shared" si="44"/>
        <v>7</v>
      </c>
    </row>
    <row r="746" spans="1:8" x14ac:dyDescent="0.25">
      <c r="A746" s="22">
        <v>41894.305555555555</v>
      </c>
      <c r="B746">
        <v>387.4</v>
      </c>
      <c r="C746">
        <v>94.2</v>
      </c>
      <c r="D746">
        <v>9.3000000000000007</v>
      </c>
      <c r="E746">
        <v>5.8</v>
      </c>
      <c r="G746" s="23">
        <f t="shared" si="43"/>
        <v>12</v>
      </c>
      <c r="H746" s="23">
        <f t="shared" si="44"/>
        <v>7</v>
      </c>
    </row>
    <row r="747" spans="1:8" x14ac:dyDescent="0.25">
      <c r="A747" s="22">
        <v>41894.309027777781</v>
      </c>
      <c r="B747">
        <v>391.2</v>
      </c>
      <c r="C747">
        <v>94.2</v>
      </c>
      <c r="D747">
        <v>9.4</v>
      </c>
      <c r="E747">
        <v>5.8</v>
      </c>
      <c r="G747" s="23">
        <f t="shared" si="43"/>
        <v>12</v>
      </c>
      <c r="H747" s="23">
        <f t="shared" si="44"/>
        <v>7</v>
      </c>
    </row>
    <row r="748" spans="1:8" x14ac:dyDescent="0.25">
      <c r="A748" s="22">
        <v>41894.3125</v>
      </c>
      <c r="B748">
        <v>399.7</v>
      </c>
      <c r="C748">
        <v>94.2</v>
      </c>
      <c r="D748">
        <v>9.4</v>
      </c>
      <c r="E748">
        <v>5.8</v>
      </c>
      <c r="G748" s="23">
        <f t="shared" si="43"/>
        <v>12</v>
      </c>
      <c r="H748" s="23">
        <f t="shared" si="44"/>
        <v>7</v>
      </c>
    </row>
    <row r="749" spans="1:8" x14ac:dyDescent="0.25">
      <c r="A749" s="22">
        <v>41894.315972222219</v>
      </c>
      <c r="B749">
        <v>402.8</v>
      </c>
      <c r="C749">
        <v>94.2</v>
      </c>
      <c r="D749">
        <v>9.5</v>
      </c>
      <c r="E749">
        <v>5.8</v>
      </c>
      <c r="G749" s="23">
        <f t="shared" si="43"/>
        <v>12</v>
      </c>
      <c r="H749" s="23">
        <f t="shared" si="44"/>
        <v>7</v>
      </c>
    </row>
    <row r="750" spans="1:8" x14ac:dyDescent="0.25">
      <c r="A750" s="22">
        <v>41894.319444444445</v>
      </c>
      <c r="B750">
        <v>405.5</v>
      </c>
      <c r="C750">
        <v>94.4</v>
      </c>
      <c r="D750">
        <v>9.5</v>
      </c>
      <c r="E750">
        <v>5.8</v>
      </c>
      <c r="G750" s="23">
        <f t="shared" si="43"/>
        <v>12</v>
      </c>
      <c r="H750" s="23">
        <f t="shared" si="44"/>
        <v>7</v>
      </c>
    </row>
    <row r="751" spans="1:8" x14ac:dyDescent="0.25">
      <c r="A751" s="22">
        <v>41894.322916666664</v>
      </c>
      <c r="B751">
        <v>406.8</v>
      </c>
      <c r="C751">
        <v>94.3</v>
      </c>
      <c r="D751">
        <v>9.5</v>
      </c>
      <c r="E751">
        <v>5.8</v>
      </c>
      <c r="G751" s="23">
        <f t="shared" si="43"/>
        <v>12</v>
      </c>
      <c r="H751" s="23">
        <f t="shared" si="44"/>
        <v>7</v>
      </c>
    </row>
    <row r="752" spans="1:8" x14ac:dyDescent="0.25">
      <c r="A752" s="22">
        <v>41894.326388888891</v>
      </c>
      <c r="B752">
        <v>407.2</v>
      </c>
      <c r="C752">
        <v>94.2</v>
      </c>
      <c r="D752">
        <v>9.5</v>
      </c>
      <c r="E752">
        <v>5.8</v>
      </c>
      <c r="G752" s="23">
        <f t="shared" si="43"/>
        <v>12</v>
      </c>
      <c r="H752" s="23">
        <f t="shared" si="44"/>
        <v>7</v>
      </c>
    </row>
    <row r="753" spans="1:8" x14ac:dyDescent="0.25">
      <c r="A753" s="22">
        <v>41894.329861111109</v>
      </c>
      <c r="B753">
        <v>406</v>
      </c>
      <c r="C753">
        <v>94.2</v>
      </c>
      <c r="D753">
        <v>9.5</v>
      </c>
      <c r="E753">
        <v>5.8</v>
      </c>
      <c r="G753" s="23">
        <f t="shared" si="43"/>
        <v>12</v>
      </c>
      <c r="H753" s="23">
        <f t="shared" si="44"/>
        <v>7</v>
      </c>
    </row>
    <row r="754" spans="1:8" x14ac:dyDescent="0.25">
      <c r="A754" s="22">
        <v>41894.333333333336</v>
      </c>
      <c r="B754">
        <v>408</v>
      </c>
      <c r="C754">
        <v>94.2</v>
      </c>
      <c r="D754">
        <v>9.5</v>
      </c>
      <c r="E754">
        <v>5.8</v>
      </c>
      <c r="G754" s="23">
        <f t="shared" si="43"/>
        <v>12</v>
      </c>
      <c r="H754" s="23">
        <f t="shared" si="44"/>
        <v>8</v>
      </c>
    </row>
    <row r="755" spans="1:8" x14ac:dyDescent="0.25">
      <c r="A755" s="22">
        <v>41894.336805555555</v>
      </c>
      <c r="B755">
        <v>415.2</v>
      </c>
      <c r="C755">
        <v>94.3</v>
      </c>
      <c r="D755">
        <v>9.6</v>
      </c>
      <c r="E755">
        <v>5.8</v>
      </c>
      <c r="G755" s="23">
        <f t="shared" si="43"/>
        <v>12</v>
      </c>
      <c r="H755" s="23">
        <f t="shared" si="44"/>
        <v>8</v>
      </c>
    </row>
    <row r="756" spans="1:8" x14ac:dyDescent="0.25">
      <c r="A756" s="22">
        <v>41894.340277777781</v>
      </c>
      <c r="B756">
        <v>417.3</v>
      </c>
      <c r="C756">
        <v>94.2</v>
      </c>
      <c r="D756">
        <v>9.6</v>
      </c>
      <c r="E756">
        <v>5.8</v>
      </c>
      <c r="G756" s="23">
        <f t="shared" si="43"/>
        <v>12</v>
      </c>
      <c r="H756" s="23">
        <f t="shared" si="44"/>
        <v>8</v>
      </c>
    </row>
    <row r="757" spans="1:8" x14ac:dyDescent="0.25">
      <c r="A757" s="22">
        <v>41894.34375</v>
      </c>
      <c r="B757">
        <v>419.5</v>
      </c>
      <c r="C757">
        <v>94.2</v>
      </c>
      <c r="D757">
        <v>9.6</v>
      </c>
      <c r="E757">
        <v>5.8</v>
      </c>
      <c r="G757" s="23">
        <f t="shared" si="43"/>
        <v>12</v>
      </c>
      <c r="H757" s="23">
        <f t="shared" si="44"/>
        <v>8</v>
      </c>
    </row>
    <row r="758" spans="1:8" x14ac:dyDescent="0.25">
      <c r="A758" s="22">
        <v>41894.347222222219</v>
      </c>
      <c r="B758">
        <v>422.5</v>
      </c>
      <c r="C758">
        <v>94.2</v>
      </c>
      <c r="D758">
        <v>9.6</v>
      </c>
      <c r="E758">
        <v>5.8</v>
      </c>
      <c r="G758" s="23">
        <f t="shared" si="43"/>
        <v>12</v>
      </c>
      <c r="H758" s="23">
        <f t="shared" si="44"/>
        <v>8</v>
      </c>
    </row>
    <row r="759" spans="1:8" x14ac:dyDescent="0.25">
      <c r="A759" s="22">
        <v>41894.350694444445</v>
      </c>
      <c r="B759">
        <v>426.3</v>
      </c>
      <c r="C759">
        <v>94.3</v>
      </c>
      <c r="D759">
        <v>9.6999999999999993</v>
      </c>
      <c r="E759">
        <v>5.8</v>
      </c>
      <c r="G759" s="23">
        <f t="shared" si="43"/>
        <v>12</v>
      </c>
      <c r="H759" s="23">
        <f t="shared" si="44"/>
        <v>8</v>
      </c>
    </row>
    <row r="760" spans="1:8" x14ac:dyDescent="0.25">
      <c r="A760" s="22">
        <v>41894.354166666664</v>
      </c>
      <c r="B760">
        <v>429</v>
      </c>
      <c r="C760">
        <v>94.3</v>
      </c>
      <c r="D760">
        <v>9.6999999999999993</v>
      </c>
      <c r="E760">
        <v>5.8</v>
      </c>
      <c r="G760" s="23">
        <f t="shared" si="43"/>
        <v>12</v>
      </c>
      <c r="H760" s="23">
        <f t="shared" si="44"/>
        <v>8</v>
      </c>
    </row>
    <row r="761" spans="1:8" x14ac:dyDescent="0.25">
      <c r="A761" s="22">
        <v>41894.357638888891</v>
      </c>
      <c r="B761">
        <v>428.3</v>
      </c>
      <c r="C761">
        <v>94.3</v>
      </c>
      <c r="D761">
        <v>9.6999999999999993</v>
      </c>
      <c r="E761">
        <v>5.8</v>
      </c>
      <c r="G761" s="23">
        <f t="shared" si="43"/>
        <v>12</v>
      </c>
      <c r="H761" s="23">
        <f t="shared" si="44"/>
        <v>8</v>
      </c>
    </row>
    <row r="762" spans="1:8" x14ac:dyDescent="0.25">
      <c r="A762" s="22">
        <v>41894.361111111109</v>
      </c>
      <c r="B762">
        <v>429.4</v>
      </c>
      <c r="C762">
        <v>94.3</v>
      </c>
      <c r="D762">
        <v>9.6999999999999993</v>
      </c>
      <c r="E762">
        <v>5.8</v>
      </c>
      <c r="G762" s="23">
        <f t="shared" si="43"/>
        <v>12</v>
      </c>
      <c r="H762" s="23">
        <f t="shared" si="44"/>
        <v>8</v>
      </c>
    </row>
    <row r="763" spans="1:8" x14ac:dyDescent="0.25">
      <c r="A763" s="22">
        <v>41894.364583333336</v>
      </c>
      <c r="B763">
        <v>435.9</v>
      </c>
      <c r="C763">
        <v>94.3</v>
      </c>
      <c r="D763">
        <v>9.8000000000000007</v>
      </c>
      <c r="E763">
        <v>5.8</v>
      </c>
      <c r="G763" s="23">
        <f t="shared" si="43"/>
        <v>12</v>
      </c>
      <c r="H763" s="23">
        <f t="shared" si="44"/>
        <v>8</v>
      </c>
    </row>
    <row r="764" spans="1:8" x14ac:dyDescent="0.25">
      <c r="A764" s="22">
        <v>41894.368055555555</v>
      </c>
      <c r="B764">
        <v>440.8</v>
      </c>
      <c r="C764">
        <v>94.3</v>
      </c>
      <c r="D764">
        <v>9.8000000000000007</v>
      </c>
      <c r="E764">
        <v>5.8</v>
      </c>
      <c r="G764" s="23">
        <f t="shared" si="43"/>
        <v>12</v>
      </c>
      <c r="H764" s="23">
        <f t="shared" si="44"/>
        <v>8</v>
      </c>
    </row>
    <row r="765" spans="1:8" x14ac:dyDescent="0.25">
      <c r="A765" s="22">
        <v>41894.371527777781</v>
      </c>
      <c r="B765">
        <v>442.6</v>
      </c>
      <c r="C765">
        <v>94.2</v>
      </c>
      <c r="D765">
        <v>9.8000000000000007</v>
      </c>
      <c r="E765">
        <v>5.8</v>
      </c>
      <c r="G765" s="23">
        <f t="shared" si="43"/>
        <v>12</v>
      </c>
      <c r="H765" s="23">
        <f t="shared" si="44"/>
        <v>8</v>
      </c>
    </row>
    <row r="766" spans="1:8" x14ac:dyDescent="0.25">
      <c r="A766" s="22">
        <v>41894.375</v>
      </c>
      <c r="B766">
        <v>443.8</v>
      </c>
      <c r="C766">
        <v>94.2</v>
      </c>
      <c r="D766">
        <v>9.8000000000000007</v>
      </c>
      <c r="E766">
        <v>5.8</v>
      </c>
      <c r="G766" s="23">
        <f t="shared" si="43"/>
        <v>12</v>
      </c>
      <c r="H766" s="23">
        <f t="shared" si="44"/>
        <v>9</v>
      </c>
    </row>
    <row r="767" spans="1:8" x14ac:dyDescent="0.25">
      <c r="A767" s="22">
        <v>41894.378472222219</v>
      </c>
      <c r="B767">
        <v>449.3</v>
      </c>
      <c r="C767">
        <v>94.2</v>
      </c>
      <c r="D767">
        <v>9.9</v>
      </c>
      <c r="E767">
        <v>5.8</v>
      </c>
      <c r="G767" s="23">
        <f t="shared" si="43"/>
        <v>12</v>
      </c>
      <c r="H767" s="23">
        <f t="shared" si="44"/>
        <v>9</v>
      </c>
    </row>
    <row r="768" spans="1:8" x14ac:dyDescent="0.25">
      <c r="A768" s="22">
        <v>41894.381944444445</v>
      </c>
      <c r="B768">
        <v>449.7</v>
      </c>
      <c r="C768">
        <v>94.2</v>
      </c>
      <c r="D768">
        <v>9.9</v>
      </c>
      <c r="E768">
        <v>5.8</v>
      </c>
      <c r="G768" s="23">
        <f t="shared" si="43"/>
        <v>12</v>
      </c>
      <c r="H768" s="23">
        <f t="shared" si="44"/>
        <v>9</v>
      </c>
    </row>
    <row r="769" spans="1:8" x14ac:dyDescent="0.25">
      <c r="A769" s="22">
        <v>41894.385416666664</v>
      </c>
      <c r="B769">
        <v>450.1</v>
      </c>
      <c r="C769">
        <v>94.2</v>
      </c>
      <c r="D769">
        <v>9.9</v>
      </c>
      <c r="E769">
        <v>5.8</v>
      </c>
      <c r="G769" s="23">
        <f t="shared" si="43"/>
        <v>12</v>
      </c>
      <c r="H769" s="23">
        <f t="shared" si="44"/>
        <v>9</v>
      </c>
    </row>
    <row r="770" spans="1:8" x14ac:dyDescent="0.25">
      <c r="A770" s="22">
        <v>41894.388888888891</v>
      </c>
      <c r="B770">
        <v>454</v>
      </c>
      <c r="C770">
        <v>94.2</v>
      </c>
      <c r="D770">
        <v>9.9</v>
      </c>
      <c r="E770">
        <v>5.8</v>
      </c>
      <c r="G770" s="23">
        <f t="shared" si="43"/>
        <v>12</v>
      </c>
      <c r="H770" s="23">
        <f t="shared" si="44"/>
        <v>9</v>
      </c>
    </row>
    <row r="771" spans="1:8" x14ac:dyDescent="0.25">
      <c r="A771" s="22">
        <v>41894.392361111109</v>
      </c>
      <c r="B771">
        <v>457.8</v>
      </c>
      <c r="C771">
        <v>94.2</v>
      </c>
      <c r="D771">
        <v>10</v>
      </c>
      <c r="E771">
        <v>5.8</v>
      </c>
      <c r="G771" s="23">
        <f t="shared" si="43"/>
        <v>12</v>
      </c>
      <c r="H771" s="23">
        <f t="shared" si="44"/>
        <v>9</v>
      </c>
    </row>
    <row r="772" spans="1:8" x14ac:dyDescent="0.25">
      <c r="A772" s="22">
        <v>41894.395833333336</v>
      </c>
      <c r="B772">
        <v>456.5</v>
      </c>
      <c r="C772">
        <v>94.3</v>
      </c>
      <c r="D772">
        <v>10</v>
      </c>
      <c r="E772">
        <v>5.8</v>
      </c>
      <c r="G772" s="23">
        <f t="shared" si="43"/>
        <v>12</v>
      </c>
      <c r="H772" s="23">
        <f t="shared" si="44"/>
        <v>9</v>
      </c>
    </row>
    <row r="773" spans="1:8" x14ac:dyDescent="0.25">
      <c r="A773" s="22">
        <v>41894.399305555555</v>
      </c>
      <c r="B773">
        <v>453.7</v>
      </c>
      <c r="C773">
        <v>94.2</v>
      </c>
      <c r="D773">
        <v>9.9</v>
      </c>
      <c r="E773">
        <v>5.8</v>
      </c>
      <c r="G773" s="23">
        <f t="shared" si="43"/>
        <v>12</v>
      </c>
      <c r="H773" s="23">
        <f t="shared" si="44"/>
        <v>9</v>
      </c>
    </row>
    <row r="774" spans="1:8" x14ac:dyDescent="0.25">
      <c r="A774" s="22">
        <v>41894.402777777781</v>
      </c>
      <c r="B774">
        <v>454.9</v>
      </c>
      <c r="C774">
        <v>94.2</v>
      </c>
      <c r="D774">
        <v>9.9</v>
      </c>
      <c r="E774">
        <v>5.8</v>
      </c>
      <c r="G774" s="23">
        <f t="shared" ref="G774:G837" si="45">+DAY(A774)</f>
        <v>12</v>
      </c>
      <c r="H774" s="23">
        <f t="shared" ref="H774:H837" si="46">+HOUR(A774)</f>
        <v>9</v>
      </c>
    </row>
    <row r="775" spans="1:8" x14ac:dyDescent="0.25">
      <c r="A775" s="22">
        <v>41894.40625</v>
      </c>
      <c r="B775">
        <v>456.8</v>
      </c>
      <c r="C775">
        <v>94.2</v>
      </c>
      <c r="D775">
        <v>10</v>
      </c>
      <c r="E775">
        <v>5.8</v>
      </c>
      <c r="G775" s="23">
        <f t="shared" si="45"/>
        <v>12</v>
      </c>
      <c r="H775" s="23">
        <f t="shared" si="46"/>
        <v>9</v>
      </c>
    </row>
    <row r="776" spans="1:8" x14ac:dyDescent="0.25">
      <c r="A776" s="22">
        <v>41894.409722222219</v>
      </c>
      <c r="B776">
        <v>457.7</v>
      </c>
      <c r="C776">
        <v>94.3</v>
      </c>
      <c r="D776">
        <v>10</v>
      </c>
      <c r="E776">
        <v>5.8</v>
      </c>
      <c r="G776" s="23">
        <f t="shared" si="45"/>
        <v>12</v>
      </c>
      <c r="H776" s="23">
        <f t="shared" si="46"/>
        <v>9</v>
      </c>
    </row>
    <row r="777" spans="1:8" x14ac:dyDescent="0.25">
      <c r="A777" s="22">
        <v>41894.413194444445</v>
      </c>
      <c r="B777">
        <v>457.3</v>
      </c>
      <c r="C777">
        <v>94.2</v>
      </c>
      <c r="D777">
        <v>10</v>
      </c>
      <c r="E777">
        <v>5.8</v>
      </c>
      <c r="G777" s="23">
        <f t="shared" si="45"/>
        <v>12</v>
      </c>
      <c r="H777" s="23">
        <f t="shared" si="46"/>
        <v>9</v>
      </c>
    </row>
    <row r="778" spans="1:8" x14ac:dyDescent="0.25">
      <c r="A778" s="22">
        <v>41894.416666666664</v>
      </c>
      <c r="B778">
        <v>456.2</v>
      </c>
      <c r="C778">
        <v>94.2</v>
      </c>
      <c r="D778">
        <v>9.9</v>
      </c>
      <c r="E778">
        <v>5.8</v>
      </c>
      <c r="G778" s="23">
        <f t="shared" si="45"/>
        <v>12</v>
      </c>
      <c r="H778" s="23">
        <f t="shared" si="46"/>
        <v>10</v>
      </c>
    </row>
    <row r="779" spans="1:8" x14ac:dyDescent="0.25">
      <c r="A779" s="22">
        <v>41894.420138888891</v>
      </c>
      <c r="B779">
        <v>453.8</v>
      </c>
      <c r="C779">
        <v>94.2</v>
      </c>
      <c r="D779">
        <v>9.9</v>
      </c>
      <c r="E779">
        <v>5.8</v>
      </c>
      <c r="G779" s="23">
        <f t="shared" si="45"/>
        <v>12</v>
      </c>
      <c r="H779" s="23">
        <f t="shared" si="46"/>
        <v>10</v>
      </c>
    </row>
    <row r="780" spans="1:8" x14ac:dyDescent="0.25">
      <c r="A780" s="22">
        <v>41894.423611111109</v>
      </c>
      <c r="B780">
        <v>454.2</v>
      </c>
      <c r="C780">
        <v>94.3</v>
      </c>
      <c r="D780">
        <v>9.9</v>
      </c>
      <c r="E780">
        <v>5.8</v>
      </c>
      <c r="G780" s="23">
        <f t="shared" si="45"/>
        <v>12</v>
      </c>
      <c r="H780" s="23">
        <f t="shared" si="46"/>
        <v>10</v>
      </c>
    </row>
    <row r="781" spans="1:8" x14ac:dyDescent="0.25">
      <c r="A781" s="22">
        <v>41894.427083333336</v>
      </c>
      <c r="B781">
        <v>453.6</v>
      </c>
      <c r="C781">
        <v>94.3</v>
      </c>
      <c r="D781">
        <v>9.9</v>
      </c>
      <c r="E781">
        <v>5.8</v>
      </c>
      <c r="G781" s="23">
        <f t="shared" si="45"/>
        <v>12</v>
      </c>
      <c r="H781" s="23">
        <f t="shared" si="46"/>
        <v>10</v>
      </c>
    </row>
    <row r="782" spans="1:8" x14ac:dyDescent="0.25">
      <c r="A782" s="22">
        <v>41894.430555555555</v>
      </c>
      <c r="B782">
        <v>454.1</v>
      </c>
      <c r="C782">
        <v>94.2</v>
      </c>
      <c r="D782">
        <v>9.9</v>
      </c>
      <c r="E782">
        <v>5.8</v>
      </c>
      <c r="G782" s="23">
        <f t="shared" si="45"/>
        <v>12</v>
      </c>
      <c r="H782" s="23">
        <f t="shared" si="46"/>
        <v>10</v>
      </c>
    </row>
    <row r="783" spans="1:8" x14ac:dyDescent="0.25">
      <c r="A783" s="22">
        <v>41894.434027777781</v>
      </c>
      <c r="B783">
        <v>457.7</v>
      </c>
      <c r="C783">
        <v>94.2</v>
      </c>
      <c r="D783">
        <v>10</v>
      </c>
      <c r="E783">
        <v>5.8</v>
      </c>
      <c r="G783" s="23">
        <f t="shared" si="45"/>
        <v>12</v>
      </c>
      <c r="H783" s="23">
        <f t="shared" si="46"/>
        <v>10</v>
      </c>
    </row>
    <row r="784" spans="1:8" x14ac:dyDescent="0.25">
      <c r="A784" s="22">
        <v>41894.4375</v>
      </c>
      <c r="B784">
        <v>458.4</v>
      </c>
      <c r="C784">
        <v>94.3</v>
      </c>
      <c r="D784">
        <v>10</v>
      </c>
      <c r="E784">
        <v>5.8</v>
      </c>
      <c r="G784" s="23">
        <f t="shared" si="45"/>
        <v>12</v>
      </c>
      <c r="H784" s="23">
        <f t="shared" si="46"/>
        <v>10</v>
      </c>
    </row>
    <row r="785" spans="1:8" x14ac:dyDescent="0.25">
      <c r="A785" s="22">
        <v>41894.440972222219</v>
      </c>
      <c r="B785">
        <v>459.8</v>
      </c>
      <c r="C785">
        <v>94.3</v>
      </c>
      <c r="D785">
        <v>10</v>
      </c>
      <c r="E785">
        <v>5.8</v>
      </c>
      <c r="G785" s="23">
        <f t="shared" si="45"/>
        <v>12</v>
      </c>
      <c r="H785" s="23">
        <f t="shared" si="46"/>
        <v>10</v>
      </c>
    </row>
    <row r="786" spans="1:8" x14ac:dyDescent="0.25">
      <c r="A786" s="22">
        <v>41894.444444444445</v>
      </c>
      <c r="B786">
        <v>463.8</v>
      </c>
      <c r="C786">
        <v>94.3</v>
      </c>
      <c r="D786">
        <v>10</v>
      </c>
      <c r="E786">
        <v>5.8</v>
      </c>
      <c r="G786" s="23">
        <f t="shared" si="45"/>
        <v>12</v>
      </c>
      <c r="H786" s="23">
        <f t="shared" si="46"/>
        <v>10</v>
      </c>
    </row>
    <row r="787" spans="1:8" x14ac:dyDescent="0.25">
      <c r="A787" s="22">
        <v>41894.447916666664</v>
      </c>
      <c r="B787">
        <v>464.5</v>
      </c>
      <c r="C787">
        <v>94.2</v>
      </c>
      <c r="D787">
        <v>10</v>
      </c>
      <c r="E787">
        <v>5.8</v>
      </c>
      <c r="G787" s="23">
        <f t="shared" si="45"/>
        <v>12</v>
      </c>
      <c r="H787" s="23">
        <f t="shared" si="46"/>
        <v>10</v>
      </c>
    </row>
    <row r="788" spans="1:8" x14ac:dyDescent="0.25">
      <c r="A788" s="22">
        <v>41894.451388888891</v>
      </c>
      <c r="B788">
        <v>462.2</v>
      </c>
      <c r="C788">
        <v>94.2</v>
      </c>
      <c r="D788">
        <v>10</v>
      </c>
      <c r="E788">
        <v>5.8</v>
      </c>
      <c r="G788" s="23">
        <f t="shared" si="45"/>
        <v>12</v>
      </c>
      <c r="H788" s="23">
        <f t="shared" si="46"/>
        <v>10</v>
      </c>
    </row>
    <row r="789" spans="1:8" x14ac:dyDescent="0.25">
      <c r="A789" s="22">
        <v>41894.454861111109</v>
      </c>
      <c r="B789">
        <v>430.3</v>
      </c>
      <c r="C789">
        <v>94.2</v>
      </c>
      <c r="D789">
        <v>9.6</v>
      </c>
      <c r="E789">
        <v>5.7</v>
      </c>
      <c r="G789" s="23">
        <f t="shared" si="45"/>
        <v>12</v>
      </c>
      <c r="H789" s="23">
        <f t="shared" si="46"/>
        <v>10</v>
      </c>
    </row>
    <row r="790" spans="1:8" x14ac:dyDescent="0.25">
      <c r="A790" s="22">
        <v>41894.458333333336</v>
      </c>
      <c r="B790">
        <v>419</v>
      </c>
      <c r="C790">
        <v>94.2</v>
      </c>
      <c r="D790">
        <v>9.6</v>
      </c>
      <c r="E790">
        <v>5.8</v>
      </c>
      <c r="G790" s="23">
        <f t="shared" si="45"/>
        <v>12</v>
      </c>
      <c r="H790" s="23">
        <f t="shared" si="46"/>
        <v>11</v>
      </c>
    </row>
    <row r="791" spans="1:8" x14ac:dyDescent="0.25">
      <c r="A791" s="22">
        <v>41894.461805555555</v>
      </c>
      <c r="B791">
        <v>414.6</v>
      </c>
      <c r="C791">
        <v>94.2</v>
      </c>
      <c r="D791">
        <v>9.6</v>
      </c>
      <c r="E791">
        <v>5.8</v>
      </c>
      <c r="G791" s="23">
        <f t="shared" si="45"/>
        <v>12</v>
      </c>
      <c r="H791" s="23">
        <f t="shared" si="46"/>
        <v>11</v>
      </c>
    </row>
    <row r="792" spans="1:8" x14ac:dyDescent="0.25">
      <c r="A792" s="22">
        <v>41894.465277777781</v>
      </c>
      <c r="B792">
        <v>409</v>
      </c>
      <c r="C792">
        <v>94.2</v>
      </c>
      <c r="D792">
        <v>9.5</v>
      </c>
      <c r="E792">
        <v>5.8</v>
      </c>
      <c r="G792" s="23">
        <f t="shared" si="45"/>
        <v>12</v>
      </c>
      <c r="H792" s="23">
        <f t="shared" si="46"/>
        <v>11</v>
      </c>
    </row>
    <row r="793" spans="1:8" x14ac:dyDescent="0.25">
      <c r="A793" s="22">
        <v>41894.46875</v>
      </c>
      <c r="B793">
        <v>404.5</v>
      </c>
      <c r="C793">
        <v>94.2</v>
      </c>
      <c r="D793">
        <v>9.4</v>
      </c>
      <c r="E793">
        <v>5.8</v>
      </c>
      <c r="G793" s="23">
        <f t="shared" si="45"/>
        <v>12</v>
      </c>
      <c r="H793" s="23">
        <f t="shared" si="46"/>
        <v>11</v>
      </c>
    </row>
    <row r="794" spans="1:8" x14ac:dyDescent="0.25">
      <c r="A794" s="22">
        <v>41894.472222222219</v>
      </c>
      <c r="B794">
        <v>401</v>
      </c>
      <c r="C794">
        <v>94.3</v>
      </c>
      <c r="D794">
        <v>9.4</v>
      </c>
      <c r="E794">
        <v>5.8</v>
      </c>
      <c r="G794" s="23">
        <f t="shared" si="45"/>
        <v>12</v>
      </c>
      <c r="H794" s="23">
        <f t="shared" si="46"/>
        <v>11</v>
      </c>
    </row>
    <row r="795" spans="1:8" x14ac:dyDescent="0.25">
      <c r="A795" s="22">
        <v>41894.475694444445</v>
      </c>
      <c r="B795">
        <v>396.6</v>
      </c>
      <c r="C795">
        <v>94.2</v>
      </c>
      <c r="D795">
        <v>9.4</v>
      </c>
      <c r="E795">
        <v>5.8</v>
      </c>
      <c r="G795" s="23">
        <f t="shared" si="45"/>
        <v>12</v>
      </c>
      <c r="H795" s="23">
        <f t="shared" si="46"/>
        <v>11</v>
      </c>
    </row>
    <row r="796" spans="1:8" x14ac:dyDescent="0.25">
      <c r="A796" s="22">
        <v>41894.479166666664</v>
      </c>
      <c r="B796">
        <v>396</v>
      </c>
      <c r="C796">
        <v>94.1</v>
      </c>
      <c r="D796">
        <v>9.4</v>
      </c>
      <c r="E796">
        <v>5.8</v>
      </c>
      <c r="G796" s="23">
        <f t="shared" si="45"/>
        <v>12</v>
      </c>
      <c r="H796" s="23">
        <f t="shared" si="46"/>
        <v>11</v>
      </c>
    </row>
    <row r="797" spans="1:8" x14ac:dyDescent="0.25">
      <c r="A797" s="22">
        <v>41894.482638888891</v>
      </c>
      <c r="B797">
        <v>399.2</v>
      </c>
      <c r="C797">
        <v>94.2</v>
      </c>
      <c r="D797">
        <v>9.4</v>
      </c>
      <c r="E797">
        <v>5.8</v>
      </c>
      <c r="G797" s="23">
        <f t="shared" si="45"/>
        <v>12</v>
      </c>
      <c r="H797" s="23">
        <f t="shared" si="46"/>
        <v>11</v>
      </c>
    </row>
    <row r="798" spans="1:8" x14ac:dyDescent="0.25">
      <c r="A798" s="22">
        <v>41894.486111111109</v>
      </c>
      <c r="B798">
        <v>401.2</v>
      </c>
      <c r="C798">
        <v>94.2</v>
      </c>
      <c r="D798">
        <v>9.4</v>
      </c>
      <c r="E798">
        <v>5.8</v>
      </c>
      <c r="G798" s="23">
        <f t="shared" si="45"/>
        <v>12</v>
      </c>
      <c r="H798" s="23">
        <f t="shared" si="46"/>
        <v>11</v>
      </c>
    </row>
    <row r="799" spans="1:8" x14ac:dyDescent="0.25">
      <c r="A799" s="22">
        <v>41894.489583333336</v>
      </c>
      <c r="B799">
        <v>405.1</v>
      </c>
      <c r="C799">
        <v>94.3</v>
      </c>
      <c r="D799">
        <v>9.5</v>
      </c>
      <c r="E799">
        <v>5.8</v>
      </c>
      <c r="G799" s="23">
        <f t="shared" si="45"/>
        <v>12</v>
      </c>
      <c r="H799" s="23">
        <f t="shared" si="46"/>
        <v>11</v>
      </c>
    </row>
    <row r="800" spans="1:8" x14ac:dyDescent="0.25">
      <c r="A800" s="22">
        <v>41894.493055555555</v>
      </c>
      <c r="B800">
        <v>407</v>
      </c>
      <c r="C800">
        <v>94.1</v>
      </c>
      <c r="D800">
        <v>9.5</v>
      </c>
      <c r="E800">
        <v>5.8</v>
      </c>
      <c r="G800" s="23">
        <f t="shared" si="45"/>
        <v>12</v>
      </c>
      <c r="H800" s="23">
        <f t="shared" si="46"/>
        <v>11</v>
      </c>
    </row>
    <row r="801" spans="1:8" x14ac:dyDescent="0.25">
      <c r="A801" s="22">
        <v>41894.496527777781</v>
      </c>
      <c r="B801">
        <v>407.5</v>
      </c>
      <c r="C801">
        <v>94.2</v>
      </c>
      <c r="D801">
        <v>9.5</v>
      </c>
      <c r="E801">
        <v>5.8</v>
      </c>
      <c r="G801" s="23">
        <f t="shared" si="45"/>
        <v>12</v>
      </c>
      <c r="H801" s="23">
        <f t="shared" si="46"/>
        <v>11</v>
      </c>
    </row>
    <row r="802" spans="1:8" x14ac:dyDescent="0.25">
      <c r="A802" s="22">
        <v>41894.5</v>
      </c>
      <c r="B802">
        <v>409.8</v>
      </c>
      <c r="C802">
        <v>94.2</v>
      </c>
      <c r="D802">
        <v>9.5</v>
      </c>
      <c r="E802">
        <v>5.8</v>
      </c>
      <c r="G802" s="23">
        <f t="shared" si="45"/>
        <v>12</v>
      </c>
      <c r="H802" s="23">
        <f t="shared" si="46"/>
        <v>12</v>
      </c>
    </row>
    <row r="803" spans="1:8" x14ac:dyDescent="0.25">
      <c r="A803" s="22">
        <v>41894.503472222219</v>
      </c>
      <c r="B803">
        <v>409.1</v>
      </c>
      <c r="C803">
        <v>94.2</v>
      </c>
      <c r="D803">
        <v>9.5</v>
      </c>
      <c r="E803">
        <v>5.8</v>
      </c>
      <c r="G803" s="23">
        <f t="shared" si="45"/>
        <v>12</v>
      </c>
      <c r="H803" s="23">
        <f t="shared" si="46"/>
        <v>12</v>
      </c>
    </row>
    <row r="804" spans="1:8" x14ac:dyDescent="0.25">
      <c r="A804" s="22">
        <v>41894.506944444445</v>
      </c>
      <c r="B804">
        <v>412.8</v>
      </c>
      <c r="C804">
        <v>94.3</v>
      </c>
      <c r="D804">
        <v>9.5</v>
      </c>
      <c r="E804">
        <v>5.8</v>
      </c>
      <c r="G804" s="23">
        <f t="shared" si="45"/>
        <v>12</v>
      </c>
      <c r="H804" s="23">
        <f t="shared" si="46"/>
        <v>12</v>
      </c>
    </row>
    <row r="805" spans="1:8" x14ac:dyDescent="0.25">
      <c r="A805" s="22">
        <v>41894.510416666664</v>
      </c>
      <c r="B805">
        <v>414.3</v>
      </c>
      <c r="C805">
        <v>94.3</v>
      </c>
      <c r="D805">
        <v>9.6</v>
      </c>
      <c r="E805">
        <v>5.8</v>
      </c>
      <c r="G805" s="23">
        <f t="shared" si="45"/>
        <v>12</v>
      </c>
      <c r="H805" s="23">
        <f t="shared" si="46"/>
        <v>12</v>
      </c>
    </row>
    <row r="806" spans="1:8" x14ac:dyDescent="0.25">
      <c r="A806" s="22">
        <v>41894.513888888891</v>
      </c>
      <c r="B806">
        <v>413.6</v>
      </c>
      <c r="C806">
        <v>94.2</v>
      </c>
      <c r="D806">
        <v>9.5</v>
      </c>
      <c r="E806">
        <v>5.8</v>
      </c>
      <c r="G806" s="23">
        <f t="shared" si="45"/>
        <v>12</v>
      </c>
      <c r="H806" s="23">
        <f t="shared" si="46"/>
        <v>12</v>
      </c>
    </row>
    <row r="807" spans="1:8" x14ac:dyDescent="0.25">
      <c r="A807" s="22">
        <v>41894.517361111109</v>
      </c>
      <c r="B807">
        <v>414.2</v>
      </c>
      <c r="C807">
        <v>94.2</v>
      </c>
      <c r="D807">
        <v>9.6</v>
      </c>
      <c r="E807">
        <v>5.8</v>
      </c>
      <c r="G807" s="23">
        <f t="shared" si="45"/>
        <v>12</v>
      </c>
      <c r="H807" s="23">
        <f t="shared" si="46"/>
        <v>12</v>
      </c>
    </row>
    <row r="808" spans="1:8" x14ac:dyDescent="0.25">
      <c r="A808" s="22">
        <v>41894.520833333336</v>
      </c>
      <c r="B808">
        <v>415.2</v>
      </c>
      <c r="C808">
        <v>94.2</v>
      </c>
      <c r="D808">
        <v>9.6</v>
      </c>
      <c r="E808">
        <v>5.8</v>
      </c>
      <c r="G808" s="23">
        <f t="shared" si="45"/>
        <v>12</v>
      </c>
      <c r="H808" s="23">
        <f t="shared" si="46"/>
        <v>12</v>
      </c>
    </row>
    <row r="809" spans="1:8" x14ac:dyDescent="0.25">
      <c r="A809" s="22">
        <v>41894.524305555555</v>
      </c>
      <c r="B809">
        <v>414.1</v>
      </c>
      <c r="C809">
        <v>94.1</v>
      </c>
      <c r="D809">
        <v>9.6</v>
      </c>
      <c r="E809">
        <v>5.8</v>
      </c>
      <c r="G809" s="23">
        <f t="shared" si="45"/>
        <v>12</v>
      </c>
      <c r="H809" s="23">
        <f t="shared" si="46"/>
        <v>12</v>
      </c>
    </row>
    <row r="810" spans="1:8" x14ac:dyDescent="0.25">
      <c r="A810" s="22">
        <v>41894.527777777781</v>
      </c>
      <c r="B810">
        <v>411.7</v>
      </c>
      <c r="C810">
        <v>94.2</v>
      </c>
      <c r="D810">
        <v>9.5</v>
      </c>
      <c r="E810">
        <v>5.8</v>
      </c>
      <c r="G810" s="23">
        <f t="shared" si="45"/>
        <v>12</v>
      </c>
      <c r="H810" s="23">
        <f t="shared" si="46"/>
        <v>12</v>
      </c>
    </row>
    <row r="811" spans="1:8" x14ac:dyDescent="0.25">
      <c r="A811" s="22">
        <v>41894.53125</v>
      </c>
      <c r="B811">
        <v>411</v>
      </c>
      <c r="C811">
        <v>94.2</v>
      </c>
      <c r="D811">
        <v>9.5</v>
      </c>
      <c r="E811">
        <v>5.8</v>
      </c>
      <c r="G811" s="23">
        <f t="shared" si="45"/>
        <v>12</v>
      </c>
      <c r="H811" s="23">
        <f t="shared" si="46"/>
        <v>12</v>
      </c>
    </row>
    <row r="812" spans="1:8" x14ac:dyDescent="0.25">
      <c r="A812" s="22">
        <v>41894.534722222219</v>
      </c>
      <c r="B812">
        <v>415.2</v>
      </c>
      <c r="C812">
        <v>94.3</v>
      </c>
      <c r="D812">
        <v>9.6</v>
      </c>
      <c r="E812">
        <v>5.8</v>
      </c>
      <c r="G812" s="23">
        <f t="shared" si="45"/>
        <v>12</v>
      </c>
      <c r="H812" s="23">
        <f t="shared" si="46"/>
        <v>12</v>
      </c>
    </row>
    <row r="813" spans="1:8" x14ac:dyDescent="0.25">
      <c r="A813" s="22">
        <v>41894.538194444445</v>
      </c>
      <c r="B813">
        <v>422.2</v>
      </c>
      <c r="C813">
        <v>94.2</v>
      </c>
      <c r="D813">
        <v>9.6999999999999993</v>
      </c>
      <c r="E813">
        <v>5.8</v>
      </c>
      <c r="G813" s="23">
        <f t="shared" si="45"/>
        <v>12</v>
      </c>
      <c r="H813" s="23">
        <f t="shared" si="46"/>
        <v>12</v>
      </c>
    </row>
    <row r="814" spans="1:8" x14ac:dyDescent="0.25">
      <c r="A814" s="22">
        <v>41894.541666666664</v>
      </c>
      <c r="B814">
        <v>454.4</v>
      </c>
      <c r="C814">
        <v>94.2</v>
      </c>
      <c r="D814">
        <v>10</v>
      </c>
      <c r="E814">
        <v>5.9</v>
      </c>
      <c r="G814" s="23">
        <f t="shared" si="45"/>
        <v>12</v>
      </c>
      <c r="H814" s="23">
        <f t="shared" si="46"/>
        <v>13</v>
      </c>
    </row>
    <row r="815" spans="1:8" x14ac:dyDescent="0.25">
      <c r="A815" s="22">
        <v>41894.545138888891</v>
      </c>
      <c r="B815">
        <v>457.1</v>
      </c>
      <c r="C815">
        <v>94.3</v>
      </c>
      <c r="D815">
        <v>10</v>
      </c>
      <c r="E815">
        <v>5.9</v>
      </c>
      <c r="G815" s="23">
        <f t="shared" si="45"/>
        <v>12</v>
      </c>
      <c r="H815" s="23">
        <f t="shared" si="46"/>
        <v>13</v>
      </c>
    </row>
    <row r="816" spans="1:8" x14ac:dyDescent="0.25">
      <c r="A816" s="22">
        <v>41894.548611111109</v>
      </c>
      <c r="B816">
        <v>458.8</v>
      </c>
      <c r="C816">
        <v>94.3</v>
      </c>
      <c r="D816">
        <v>10.1</v>
      </c>
      <c r="E816">
        <v>5.9</v>
      </c>
      <c r="G816" s="23">
        <f t="shared" si="45"/>
        <v>12</v>
      </c>
      <c r="H816" s="23">
        <f t="shared" si="46"/>
        <v>13</v>
      </c>
    </row>
    <row r="817" spans="1:8" x14ac:dyDescent="0.25">
      <c r="A817" s="22">
        <v>41894.552083333336</v>
      </c>
      <c r="B817">
        <v>459.9</v>
      </c>
      <c r="C817">
        <v>94.2</v>
      </c>
      <c r="D817">
        <v>10.3</v>
      </c>
      <c r="E817">
        <v>6.1</v>
      </c>
      <c r="G817" s="23">
        <f t="shared" si="45"/>
        <v>12</v>
      </c>
      <c r="H817" s="23">
        <f t="shared" si="46"/>
        <v>13</v>
      </c>
    </row>
    <row r="818" spans="1:8" x14ac:dyDescent="0.25">
      <c r="A818" s="22">
        <v>41894.555555555555</v>
      </c>
      <c r="B818">
        <v>459.4</v>
      </c>
      <c r="C818">
        <v>94.2</v>
      </c>
      <c r="D818">
        <v>10.4</v>
      </c>
      <c r="E818">
        <v>6.2</v>
      </c>
      <c r="G818" s="23">
        <f t="shared" si="45"/>
        <v>12</v>
      </c>
      <c r="H818" s="23">
        <f t="shared" si="46"/>
        <v>13</v>
      </c>
    </row>
    <row r="819" spans="1:8" x14ac:dyDescent="0.25">
      <c r="A819" s="22">
        <v>41894.559027777781</v>
      </c>
      <c r="B819">
        <v>462.6</v>
      </c>
      <c r="C819">
        <v>94.3</v>
      </c>
      <c r="D819">
        <v>10.4</v>
      </c>
      <c r="E819">
        <v>6.2</v>
      </c>
      <c r="G819" s="23">
        <f t="shared" si="45"/>
        <v>12</v>
      </c>
      <c r="H819" s="23">
        <f t="shared" si="46"/>
        <v>13</v>
      </c>
    </row>
    <row r="820" spans="1:8" x14ac:dyDescent="0.25">
      <c r="A820" s="22">
        <v>41894.5625</v>
      </c>
      <c r="B820">
        <v>463.6</v>
      </c>
      <c r="C820">
        <v>94.4</v>
      </c>
      <c r="D820">
        <v>10.4</v>
      </c>
      <c r="E820">
        <v>6.2</v>
      </c>
      <c r="G820" s="23">
        <f t="shared" si="45"/>
        <v>12</v>
      </c>
      <c r="H820" s="23">
        <f t="shared" si="46"/>
        <v>13</v>
      </c>
    </row>
    <row r="821" spans="1:8" x14ac:dyDescent="0.25">
      <c r="A821" s="22">
        <v>41894.565972222219</v>
      </c>
      <c r="B821">
        <v>462</v>
      </c>
      <c r="C821">
        <v>94.3</v>
      </c>
      <c r="D821">
        <v>10.5</v>
      </c>
      <c r="E821">
        <v>6.3</v>
      </c>
      <c r="G821" s="23">
        <f t="shared" si="45"/>
        <v>12</v>
      </c>
      <c r="H821" s="23">
        <f t="shared" si="46"/>
        <v>13</v>
      </c>
    </row>
    <row r="822" spans="1:8" x14ac:dyDescent="0.25">
      <c r="A822" s="22">
        <v>41894.569444444445</v>
      </c>
      <c r="B822">
        <v>460.9</v>
      </c>
      <c r="C822">
        <v>94.2</v>
      </c>
      <c r="D822">
        <v>10.5</v>
      </c>
      <c r="E822">
        <v>6.3</v>
      </c>
      <c r="G822" s="23">
        <f t="shared" si="45"/>
        <v>12</v>
      </c>
      <c r="H822" s="23">
        <f t="shared" si="46"/>
        <v>13</v>
      </c>
    </row>
    <row r="823" spans="1:8" x14ac:dyDescent="0.25">
      <c r="A823" s="22">
        <v>41894.572916666664</v>
      </c>
      <c r="B823">
        <v>465.1</v>
      </c>
      <c r="C823">
        <v>94.3</v>
      </c>
      <c r="D823">
        <v>10.7</v>
      </c>
      <c r="E823">
        <v>6.4</v>
      </c>
      <c r="G823" s="23">
        <f t="shared" si="45"/>
        <v>12</v>
      </c>
      <c r="H823" s="23">
        <f t="shared" si="46"/>
        <v>13</v>
      </c>
    </row>
    <row r="824" spans="1:8" x14ac:dyDescent="0.25">
      <c r="A824" s="22">
        <v>41894.576388888891</v>
      </c>
      <c r="B824">
        <v>461.9</v>
      </c>
      <c r="C824">
        <v>94.2</v>
      </c>
      <c r="D824">
        <v>10.7</v>
      </c>
      <c r="E824">
        <v>6.5</v>
      </c>
      <c r="G824" s="23">
        <f t="shared" si="45"/>
        <v>12</v>
      </c>
      <c r="H824" s="23">
        <f t="shared" si="46"/>
        <v>13</v>
      </c>
    </row>
    <row r="825" spans="1:8" x14ac:dyDescent="0.25">
      <c r="A825" s="22">
        <v>41894.579861111109</v>
      </c>
      <c r="B825">
        <v>462.1</v>
      </c>
      <c r="C825">
        <v>94.4</v>
      </c>
      <c r="D825">
        <v>10.7</v>
      </c>
      <c r="E825">
        <v>6.5</v>
      </c>
      <c r="G825" s="23">
        <f t="shared" si="45"/>
        <v>12</v>
      </c>
      <c r="H825" s="23">
        <f t="shared" si="46"/>
        <v>13</v>
      </c>
    </row>
    <row r="826" spans="1:8" x14ac:dyDescent="0.25">
      <c r="A826" s="22">
        <v>41894.583333333336</v>
      </c>
      <c r="B826">
        <v>463</v>
      </c>
      <c r="C826">
        <v>94.3</v>
      </c>
      <c r="D826">
        <v>10.8</v>
      </c>
      <c r="E826">
        <v>6.6</v>
      </c>
      <c r="G826" s="23">
        <f t="shared" si="45"/>
        <v>12</v>
      </c>
      <c r="H826" s="23">
        <f t="shared" si="46"/>
        <v>14</v>
      </c>
    </row>
    <row r="827" spans="1:8" x14ac:dyDescent="0.25">
      <c r="A827" s="22">
        <v>41894.586805555555</v>
      </c>
      <c r="B827">
        <v>462.3</v>
      </c>
      <c r="C827">
        <v>94.2</v>
      </c>
      <c r="D827">
        <v>10.8</v>
      </c>
      <c r="E827">
        <v>6.6</v>
      </c>
      <c r="G827" s="23">
        <f t="shared" si="45"/>
        <v>12</v>
      </c>
      <c r="H827" s="23">
        <f t="shared" si="46"/>
        <v>14</v>
      </c>
    </row>
    <row r="828" spans="1:8" x14ac:dyDescent="0.25">
      <c r="A828" s="22">
        <v>41894.590277777781</v>
      </c>
      <c r="B828">
        <v>463.1</v>
      </c>
      <c r="C828">
        <v>94.2</v>
      </c>
      <c r="D828">
        <v>10.9</v>
      </c>
      <c r="E828">
        <v>6.6</v>
      </c>
      <c r="G828" s="23">
        <f t="shared" si="45"/>
        <v>12</v>
      </c>
      <c r="H828" s="23">
        <f t="shared" si="46"/>
        <v>14</v>
      </c>
    </row>
    <row r="829" spans="1:8" x14ac:dyDescent="0.25">
      <c r="A829" s="22">
        <v>41894.59375</v>
      </c>
      <c r="B829">
        <v>463.6</v>
      </c>
      <c r="C829">
        <v>94.3</v>
      </c>
      <c r="D829">
        <v>10.9</v>
      </c>
      <c r="E829">
        <v>6.7</v>
      </c>
      <c r="G829" s="23">
        <f t="shared" si="45"/>
        <v>12</v>
      </c>
      <c r="H829" s="23">
        <f t="shared" si="46"/>
        <v>14</v>
      </c>
    </row>
    <row r="830" spans="1:8" x14ac:dyDescent="0.25">
      <c r="A830" s="22">
        <v>41894.597222222219</v>
      </c>
      <c r="B830">
        <v>464.6</v>
      </c>
      <c r="C830">
        <v>94.3</v>
      </c>
      <c r="D830">
        <v>11</v>
      </c>
      <c r="E830">
        <v>6.8</v>
      </c>
      <c r="G830" s="23">
        <f t="shared" si="45"/>
        <v>12</v>
      </c>
      <c r="H830" s="23">
        <f t="shared" si="46"/>
        <v>14</v>
      </c>
    </row>
    <row r="831" spans="1:8" x14ac:dyDescent="0.25">
      <c r="A831" s="22">
        <v>41894.600694444445</v>
      </c>
      <c r="B831">
        <v>465.9</v>
      </c>
      <c r="C831">
        <v>94.3</v>
      </c>
      <c r="D831">
        <v>11.1</v>
      </c>
      <c r="E831">
        <v>6.8</v>
      </c>
      <c r="G831" s="23">
        <f t="shared" si="45"/>
        <v>12</v>
      </c>
      <c r="H831" s="23">
        <f t="shared" si="46"/>
        <v>14</v>
      </c>
    </row>
    <row r="832" spans="1:8" x14ac:dyDescent="0.25">
      <c r="A832" s="22">
        <v>41894.604166666664</v>
      </c>
      <c r="B832">
        <v>464.6</v>
      </c>
      <c r="C832">
        <v>94.3</v>
      </c>
      <c r="D832">
        <v>11.1</v>
      </c>
      <c r="E832">
        <v>6.9</v>
      </c>
      <c r="G832" s="23">
        <f t="shared" si="45"/>
        <v>12</v>
      </c>
      <c r="H832" s="23">
        <f t="shared" si="46"/>
        <v>14</v>
      </c>
    </row>
    <row r="833" spans="1:8" x14ac:dyDescent="0.25">
      <c r="A833" s="22">
        <v>41894.607638888891</v>
      </c>
      <c r="B833">
        <v>465.7</v>
      </c>
      <c r="C833">
        <v>94.3</v>
      </c>
      <c r="D833">
        <v>11.1</v>
      </c>
      <c r="E833">
        <v>6.9</v>
      </c>
      <c r="G833" s="23">
        <f t="shared" si="45"/>
        <v>12</v>
      </c>
      <c r="H833" s="23">
        <f t="shared" si="46"/>
        <v>14</v>
      </c>
    </row>
    <row r="834" spans="1:8" x14ac:dyDescent="0.25">
      <c r="A834" s="22">
        <v>41894.611111111109</v>
      </c>
      <c r="B834">
        <v>466.1</v>
      </c>
      <c r="C834">
        <v>94.4</v>
      </c>
      <c r="D834">
        <v>11.2</v>
      </c>
      <c r="E834">
        <v>6.9</v>
      </c>
      <c r="G834" s="23">
        <f t="shared" si="45"/>
        <v>12</v>
      </c>
      <c r="H834" s="23">
        <f t="shared" si="46"/>
        <v>14</v>
      </c>
    </row>
    <row r="835" spans="1:8" x14ac:dyDescent="0.25">
      <c r="A835" s="22">
        <v>41894.614583333336</v>
      </c>
      <c r="B835">
        <v>466.4</v>
      </c>
      <c r="C835">
        <v>94.4</v>
      </c>
      <c r="D835">
        <v>11.2</v>
      </c>
      <c r="E835">
        <v>6.9</v>
      </c>
      <c r="G835" s="23">
        <f t="shared" si="45"/>
        <v>12</v>
      </c>
      <c r="H835" s="23">
        <f t="shared" si="46"/>
        <v>14</v>
      </c>
    </row>
    <row r="836" spans="1:8" x14ac:dyDescent="0.25">
      <c r="A836" s="22">
        <v>41894.618055555555</v>
      </c>
      <c r="B836">
        <v>465.6</v>
      </c>
      <c r="C836">
        <v>94.3</v>
      </c>
      <c r="D836">
        <v>11.2</v>
      </c>
      <c r="E836">
        <v>7</v>
      </c>
      <c r="G836" s="23">
        <f t="shared" si="45"/>
        <v>12</v>
      </c>
      <c r="H836" s="23">
        <f t="shared" si="46"/>
        <v>14</v>
      </c>
    </row>
    <row r="837" spans="1:8" x14ac:dyDescent="0.25">
      <c r="A837" s="22">
        <v>41894.621527777781</v>
      </c>
      <c r="B837">
        <v>467.3</v>
      </c>
      <c r="C837">
        <v>94.4</v>
      </c>
      <c r="D837">
        <v>11.2</v>
      </c>
      <c r="E837">
        <v>6.9</v>
      </c>
      <c r="G837" s="23">
        <f t="shared" si="45"/>
        <v>12</v>
      </c>
      <c r="H837" s="23">
        <f t="shared" si="46"/>
        <v>14</v>
      </c>
    </row>
    <row r="838" spans="1:8" x14ac:dyDescent="0.25">
      <c r="A838" s="22">
        <v>41894.625</v>
      </c>
      <c r="B838">
        <v>470.2</v>
      </c>
      <c r="C838">
        <v>94.4</v>
      </c>
      <c r="D838">
        <v>11.3</v>
      </c>
      <c r="E838">
        <v>7</v>
      </c>
      <c r="G838" s="23">
        <f t="shared" ref="G838:G901" si="47">+DAY(A838)</f>
        <v>12</v>
      </c>
      <c r="H838" s="23">
        <f t="shared" ref="H838:H901" si="48">+HOUR(A838)</f>
        <v>15</v>
      </c>
    </row>
    <row r="839" spans="1:8" x14ac:dyDescent="0.25">
      <c r="A839" s="22">
        <v>41894.628472222219</v>
      </c>
      <c r="B839">
        <v>469.6</v>
      </c>
      <c r="C839">
        <v>94.3</v>
      </c>
      <c r="D839">
        <v>11.3</v>
      </c>
      <c r="E839">
        <v>7</v>
      </c>
      <c r="G839" s="23">
        <f t="shared" si="47"/>
        <v>12</v>
      </c>
      <c r="H839" s="23">
        <f t="shared" si="48"/>
        <v>15</v>
      </c>
    </row>
    <row r="840" spans="1:8" x14ac:dyDescent="0.25">
      <c r="A840" s="22">
        <v>41894.631944444445</v>
      </c>
      <c r="B840">
        <v>469.1</v>
      </c>
      <c r="C840">
        <v>94.4</v>
      </c>
      <c r="D840">
        <v>11.3</v>
      </c>
      <c r="E840">
        <v>7.1</v>
      </c>
      <c r="G840" s="23">
        <f t="shared" si="47"/>
        <v>12</v>
      </c>
      <c r="H840" s="23">
        <f t="shared" si="48"/>
        <v>15</v>
      </c>
    </row>
    <row r="841" spans="1:8" x14ac:dyDescent="0.25">
      <c r="A841" s="22">
        <v>41894.635416666664</v>
      </c>
      <c r="B841">
        <v>476.3</v>
      </c>
      <c r="C841">
        <v>94.4</v>
      </c>
      <c r="D841">
        <v>11.4</v>
      </c>
      <c r="E841">
        <v>7.1</v>
      </c>
      <c r="G841" s="23">
        <f t="shared" si="47"/>
        <v>12</v>
      </c>
      <c r="H841" s="23">
        <f t="shared" si="48"/>
        <v>15</v>
      </c>
    </row>
    <row r="842" spans="1:8" x14ac:dyDescent="0.25">
      <c r="A842" s="22">
        <v>41894.638888888891</v>
      </c>
      <c r="B842">
        <v>477.8</v>
      </c>
      <c r="C842">
        <v>94.4</v>
      </c>
      <c r="D842">
        <v>11.4</v>
      </c>
      <c r="E842">
        <v>7.1</v>
      </c>
      <c r="G842" s="23">
        <f t="shared" si="47"/>
        <v>12</v>
      </c>
      <c r="H842" s="23">
        <f t="shared" si="48"/>
        <v>15</v>
      </c>
    </row>
    <row r="843" spans="1:8" x14ac:dyDescent="0.25">
      <c r="A843" s="22">
        <v>41894.642361111109</v>
      </c>
      <c r="B843">
        <v>485.6</v>
      </c>
      <c r="C843">
        <v>94.3</v>
      </c>
      <c r="D843">
        <v>11.5</v>
      </c>
      <c r="E843">
        <v>7.1</v>
      </c>
      <c r="G843" s="23">
        <f t="shared" si="47"/>
        <v>12</v>
      </c>
      <c r="H843" s="23">
        <f t="shared" si="48"/>
        <v>15</v>
      </c>
    </row>
    <row r="844" spans="1:8" x14ac:dyDescent="0.25">
      <c r="A844" s="22">
        <v>41894.645833333336</v>
      </c>
      <c r="B844">
        <v>492.3</v>
      </c>
      <c r="C844">
        <v>94.2</v>
      </c>
      <c r="D844">
        <v>11.5</v>
      </c>
      <c r="E844">
        <v>7</v>
      </c>
      <c r="G844" s="23">
        <f t="shared" si="47"/>
        <v>12</v>
      </c>
      <c r="H844" s="23">
        <f t="shared" si="48"/>
        <v>15</v>
      </c>
    </row>
    <row r="845" spans="1:8" x14ac:dyDescent="0.25">
      <c r="A845" s="22">
        <v>41894.649305555555</v>
      </c>
      <c r="B845">
        <v>496.1</v>
      </c>
      <c r="C845">
        <v>94.3</v>
      </c>
      <c r="D845">
        <v>11.6</v>
      </c>
      <c r="E845">
        <v>7.1</v>
      </c>
      <c r="G845" s="23">
        <f t="shared" si="47"/>
        <v>12</v>
      </c>
      <c r="H845" s="23">
        <f t="shared" si="48"/>
        <v>15</v>
      </c>
    </row>
    <row r="846" spans="1:8" x14ac:dyDescent="0.25">
      <c r="A846" s="22">
        <v>41894.652777777781</v>
      </c>
      <c r="B846">
        <v>502.4</v>
      </c>
      <c r="C846">
        <v>94.4</v>
      </c>
      <c r="D846">
        <v>11.9</v>
      </c>
      <c r="E846">
        <v>7.3</v>
      </c>
      <c r="G846" s="23">
        <f t="shared" si="47"/>
        <v>12</v>
      </c>
      <c r="H846" s="23">
        <f t="shared" si="48"/>
        <v>15</v>
      </c>
    </row>
    <row r="847" spans="1:8" x14ac:dyDescent="0.25">
      <c r="A847" s="22">
        <v>41894.65625</v>
      </c>
      <c r="B847">
        <v>505.4</v>
      </c>
      <c r="C847">
        <v>94.4</v>
      </c>
      <c r="D847">
        <v>12.1</v>
      </c>
      <c r="E847">
        <v>7.5</v>
      </c>
      <c r="G847" s="23">
        <f t="shared" si="47"/>
        <v>12</v>
      </c>
      <c r="H847" s="23">
        <f t="shared" si="48"/>
        <v>15</v>
      </c>
    </row>
    <row r="848" spans="1:8" x14ac:dyDescent="0.25">
      <c r="A848" s="22">
        <v>41894.659722222219</v>
      </c>
      <c r="B848">
        <v>511.3</v>
      </c>
      <c r="C848">
        <v>94.4</v>
      </c>
      <c r="D848">
        <v>12.4</v>
      </c>
      <c r="E848">
        <v>7.7</v>
      </c>
      <c r="G848" s="23">
        <f t="shared" si="47"/>
        <v>12</v>
      </c>
      <c r="H848" s="23">
        <f t="shared" si="48"/>
        <v>15</v>
      </c>
    </row>
    <row r="849" spans="1:8" x14ac:dyDescent="0.25">
      <c r="A849" s="22">
        <v>41894.663194444445</v>
      </c>
      <c r="B849">
        <v>513.79999999999995</v>
      </c>
      <c r="C849">
        <v>94.4</v>
      </c>
      <c r="D849">
        <v>12.6</v>
      </c>
      <c r="E849">
        <v>8</v>
      </c>
      <c r="G849" s="23">
        <f t="shared" si="47"/>
        <v>12</v>
      </c>
      <c r="H849" s="23">
        <f t="shared" si="48"/>
        <v>15</v>
      </c>
    </row>
    <row r="850" spans="1:8" x14ac:dyDescent="0.25">
      <c r="A850" s="22">
        <v>41894.666666666664</v>
      </c>
      <c r="B850">
        <v>505.2</v>
      </c>
      <c r="C850">
        <v>94.5</v>
      </c>
      <c r="D850">
        <v>12.8</v>
      </c>
      <c r="E850">
        <v>8.1999999999999993</v>
      </c>
      <c r="G850" s="23">
        <f t="shared" si="47"/>
        <v>12</v>
      </c>
      <c r="H850" s="23">
        <f t="shared" si="48"/>
        <v>16</v>
      </c>
    </row>
    <row r="851" spans="1:8" x14ac:dyDescent="0.25">
      <c r="A851" s="22">
        <v>41894.670138888891</v>
      </c>
      <c r="B851">
        <v>499.9</v>
      </c>
      <c r="C851">
        <v>94.6</v>
      </c>
      <c r="D851">
        <v>13</v>
      </c>
      <c r="E851">
        <v>8.4</v>
      </c>
      <c r="G851" s="23">
        <f t="shared" si="47"/>
        <v>12</v>
      </c>
      <c r="H851" s="23">
        <f t="shared" si="48"/>
        <v>16</v>
      </c>
    </row>
    <row r="852" spans="1:8" x14ac:dyDescent="0.25">
      <c r="A852" s="22">
        <v>41894.673611111109</v>
      </c>
      <c r="B852">
        <v>492.2</v>
      </c>
      <c r="C852">
        <v>94.5</v>
      </c>
      <c r="D852">
        <v>12.9</v>
      </c>
      <c r="E852">
        <v>8.4</v>
      </c>
      <c r="G852" s="23">
        <f t="shared" si="47"/>
        <v>12</v>
      </c>
      <c r="H852" s="23">
        <f t="shared" si="48"/>
        <v>16</v>
      </c>
    </row>
    <row r="853" spans="1:8" x14ac:dyDescent="0.25">
      <c r="A853" s="22">
        <v>41894.677083333336</v>
      </c>
      <c r="B853">
        <v>489.3</v>
      </c>
      <c r="C853">
        <v>94.5</v>
      </c>
      <c r="D853">
        <v>12.6</v>
      </c>
      <c r="E853">
        <v>8.1999999999999993</v>
      </c>
      <c r="G853" s="23">
        <f t="shared" si="47"/>
        <v>12</v>
      </c>
      <c r="H853" s="23">
        <f t="shared" si="48"/>
        <v>16</v>
      </c>
    </row>
    <row r="854" spans="1:8" x14ac:dyDescent="0.25">
      <c r="A854" s="22">
        <v>41894.680555555555</v>
      </c>
      <c r="B854">
        <v>487.7</v>
      </c>
      <c r="C854">
        <v>94.5</v>
      </c>
      <c r="D854">
        <v>12.5</v>
      </c>
      <c r="E854">
        <v>8.1</v>
      </c>
      <c r="G854" s="23">
        <f t="shared" si="47"/>
        <v>12</v>
      </c>
      <c r="H854" s="23">
        <f t="shared" si="48"/>
        <v>16</v>
      </c>
    </row>
    <row r="855" spans="1:8" x14ac:dyDescent="0.25">
      <c r="A855" s="22">
        <v>41894.684027777781</v>
      </c>
      <c r="B855">
        <v>483.6</v>
      </c>
      <c r="C855">
        <v>94.5</v>
      </c>
      <c r="D855">
        <v>12.4</v>
      </c>
      <c r="E855">
        <v>8</v>
      </c>
      <c r="G855" s="23">
        <f t="shared" si="47"/>
        <v>12</v>
      </c>
      <c r="H855" s="23">
        <f t="shared" si="48"/>
        <v>16</v>
      </c>
    </row>
    <row r="856" spans="1:8" x14ac:dyDescent="0.25">
      <c r="A856" s="22">
        <v>41894.6875</v>
      </c>
      <c r="B856">
        <v>482.9</v>
      </c>
      <c r="C856">
        <v>94.6</v>
      </c>
      <c r="D856">
        <v>12.2</v>
      </c>
      <c r="E856">
        <v>7.8</v>
      </c>
      <c r="G856" s="23">
        <f t="shared" si="47"/>
        <v>12</v>
      </c>
      <c r="H856" s="23">
        <f t="shared" si="48"/>
        <v>16</v>
      </c>
    </row>
    <row r="857" spans="1:8" x14ac:dyDescent="0.25">
      <c r="A857" s="22">
        <v>41894.690972222219</v>
      </c>
      <c r="B857">
        <v>481.3</v>
      </c>
      <c r="C857">
        <v>94.4</v>
      </c>
      <c r="D857">
        <v>12.1</v>
      </c>
      <c r="E857">
        <v>7.8</v>
      </c>
      <c r="G857" s="23">
        <f t="shared" si="47"/>
        <v>12</v>
      </c>
      <c r="H857" s="23">
        <f t="shared" si="48"/>
        <v>16</v>
      </c>
    </row>
    <row r="858" spans="1:8" x14ac:dyDescent="0.25">
      <c r="A858" s="22">
        <v>41894.694444444445</v>
      </c>
      <c r="B858">
        <v>480</v>
      </c>
      <c r="C858">
        <v>94.5</v>
      </c>
      <c r="D858">
        <v>12</v>
      </c>
      <c r="E858">
        <v>7.7</v>
      </c>
      <c r="G858" s="23">
        <f t="shared" si="47"/>
        <v>12</v>
      </c>
      <c r="H858" s="23">
        <f t="shared" si="48"/>
        <v>16</v>
      </c>
    </row>
    <row r="859" spans="1:8" x14ac:dyDescent="0.25">
      <c r="A859" s="22">
        <v>41894.697916666664</v>
      </c>
      <c r="B859">
        <v>480.1</v>
      </c>
      <c r="C859">
        <v>94.5</v>
      </c>
      <c r="D859">
        <v>11.9</v>
      </c>
      <c r="E859">
        <v>7.5</v>
      </c>
      <c r="G859" s="23">
        <f t="shared" si="47"/>
        <v>12</v>
      </c>
      <c r="H859" s="23">
        <f t="shared" si="48"/>
        <v>16</v>
      </c>
    </row>
    <row r="860" spans="1:8" x14ac:dyDescent="0.25">
      <c r="A860" s="22">
        <v>41894.701388888891</v>
      </c>
      <c r="B860">
        <v>481.2</v>
      </c>
      <c r="C860">
        <v>94.5</v>
      </c>
      <c r="D860">
        <v>11.8</v>
      </c>
      <c r="E860">
        <v>7.4</v>
      </c>
      <c r="G860" s="23">
        <f t="shared" si="47"/>
        <v>12</v>
      </c>
      <c r="H860" s="23">
        <f t="shared" si="48"/>
        <v>16</v>
      </c>
    </row>
    <row r="861" spans="1:8" x14ac:dyDescent="0.25">
      <c r="A861" s="22">
        <v>41894.704861111109</v>
      </c>
      <c r="B861">
        <v>480.1</v>
      </c>
      <c r="C861">
        <v>94.3</v>
      </c>
      <c r="D861">
        <v>11.7</v>
      </c>
      <c r="E861">
        <v>7.4</v>
      </c>
      <c r="G861" s="23">
        <f t="shared" si="47"/>
        <v>12</v>
      </c>
      <c r="H861" s="23">
        <f t="shared" si="48"/>
        <v>16</v>
      </c>
    </row>
    <row r="862" spans="1:8" x14ac:dyDescent="0.25">
      <c r="A862" s="22">
        <v>41894.708333333336</v>
      </c>
      <c r="B862">
        <v>478</v>
      </c>
      <c r="C862">
        <v>94.3</v>
      </c>
      <c r="D862">
        <v>11.6</v>
      </c>
      <c r="E862">
        <v>7.3</v>
      </c>
      <c r="G862" s="23">
        <f t="shared" si="47"/>
        <v>12</v>
      </c>
      <c r="H862" s="23">
        <f t="shared" si="48"/>
        <v>17</v>
      </c>
    </row>
    <row r="863" spans="1:8" x14ac:dyDescent="0.25">
      <c r="A863" s="22">
        <v>41894.711805555555</v>
      </c>
      <c r="B863">
        <v>477.6</v>
      </c>
      <c r="C863">
        <v>94.4</v>
      </c>
      <c r="D863">
        <v>11.5</v>
      </c>
      <c r="E863">
        <v>7.2</v>
      </c>
      <c r="G863" s="23">
        <f t="shared" si="47"/>
        <v>12</v>
      </c>
      <c r="H863" s="23">
        <f t="shared" si="48"/>
        <v>17</v>
      </c>
    </row>
    <row r="864" spans="1:8" x14ac:dyDescent="0.25">
      <c r="A864" s="22">
        <v>41894.715277777781</v>
      </c>
      <c r="B864">
        <v>479.8</v>
      </c>
      <c r="C864">
        <v>94.4</v>
      </c>
      <c r="D864">
        <v>11.4</v>
      </c>
      <c r="E864">
        <v>7</v>
      </c>
      <c r="G864" s="23">
        <f t="shared" si="47"/>
        <v>12</v>
      </c>
      <c r="H864" s="23">
        <f t="shared" si="48"/>
        <v>17</v>
      </c>
    </row>
    <row r="865" spans="1:8" x14ac:dyDescent="0.25">
      <c r="A865" s="22">
        <v>41894.71875</v>
      </c>
      <c r="B865">
        <v>478.3</v>
      </c>
      <c r="C865">
        <v>94.3</v>
      </c>
      <c r="D865">
        <v>11.3</v>
      </c>
      <c r="E865">
        <v>6.9</v>
      </c>
      <c r="G865" s="23">
        <f t="shared" si="47"/>
        <v>12</v>
      </c>
      <c r="H865" s="23">
        <f t="shared" si="48"/>
        <v>17</v>
      </c>
    </row>
    <row r="866" spans="1:8" x14ac:dyDescent="0.25">
      <c r="A866" s="22">
        <v>41894.722222222219</v>
      </c>
      <c r="B866">
        <v>477.4</v>
      </c>
      <c r="C866">
        <v>94.3</v>
      </c>
      <c r="D866">
        <v>11.3</v>
      </c>
      <c r="E866">
        <v>6.9</v>
      </c>
      <c r="G866" s="23">
        <f t="shared" si="47"/>
        <v>12</v>
      </c>
      <c r="H866" s="23">
        <f t="shared" si="48"/>
        <v>17</v>
      </c>
    </row>
    <row r="867" spans="1:8" x14ac:dyDescent="0.25">
      <c r="A867" s="22">
        <v>41894.725694444445</v>
      </c>
      <c r="B867">
        <v>477.1</v>
      </c>
      <c r="C867">
        <v>94.2</v>
      </c>
      <c r="D867">
        <v>11.2</v>
      </c>
      <c r="E867">
        <v>6.8</v>
      </c>
      <c r="G867" s="23">
        <f t="shared" si="47"/>
        <v>12</v>
      </c>
      <c r="H867" s="23">
        <f t="shared" si="48"/>
        <v>17</v>
      </c>
    </row>
    <row r="868" spans="1:8" x14ac:dyDescent="0.25">
      <c r="A868" s="22">
        <v>41894.729166666664</v>
      </c>
      <c r="B868">
        <v>479.2</v>
      </c>
      <c r="C868">
        <v>94.3</v>
      </c>
      <c r="D868">
        <v>11.3</v>
      </c>
      <c r="E868">
        <v>6.9</v>
      </c>
      <c r="G868" s="23">
        <f t="shared" si="47"/>
        <v>12</v>
      </c>
      <c r="H868" s="23">
        <f t="shared" si="48"/>
        <v>17</v>
      </c>
    </row>
    <row r="869" spans="1:8" x14ac:dyDescent="0.25">
      <c r="A869" s="22">
        <v>41894.732638888891</v>
      </c>
      <c r="B869">
        <v>479.1</v>
      </c>
      <c r="C869">
        <v>94.4</v>
      </c>
      <c r="D869">
        <v>11.3</v>
      </c>
      <c r="E869">
        <v>6.9</v>
      </c>
      <c r="G869" s="23">
        <f t="shared" si="47"/>
        <v>12</v>
      </c>
      <c r="H869" s="23">
        <f t="shared" si="48"/>
        <v>17</v>
      </c>
    </row>
    <row r="870" spans="1:8" x14ac:dyDescent="0.25">
      <c r="A870" s="22">
        <v>41894.736111111109</v>
      </c>
      <c r="B870">
        <v>484</v>
      </c>
      <c r="C870">
        <v>94.3</v>
      </c>
      <c r="D870">
        <v>11.4</v>
      </c>
      <c r="E870">
        <v>7</v>
      </c>
      <c r="G870" s="23">
        <f t="shared" si="47"/>
        <v>12</v>
      </c>
      <c r="H870" s="23">
        <f t="shared" si="48"/>
        <v>17</v>
      </c>
    </row>
    <row r="871" spans="1:8" x14ac:dyDescent="0.25">
      <c r="A871" s="22">
        <v>41894.739583333336</v>
      </c>
      <c r="B871">
        <v>484.3</v>
      </c>
      <c r="C871">
        <v>94.4</v>
      </c>
      <c r="D871">
        <v>11.7</v>
      </c>
      <c r="E871">
        <v>7.2</v>
      </c>
      <c r="G871" s="23">
        <f t="shared" si="47"/>
        <v>12</v>
      </c>
      <c r="H871" s="23">
        <f t="shared" si="48"/>
        <v>17</v>
      </c>
    </row>
    <row r="872" spans="1:8" x14ac:dyDescent="0.25">
      <c r="A872" s="22">
        <v>41894.743055555555</v>
      </c>
      <c r="B872">
        <v>482.4</v>
      </c>
      <c r="C872">
        <v>94.5</v>
      </c>
      <c r="D872">
        <v>11.6</v>
      </c>
      <c r="E872">
        <v>7.2</v>
      </c>
      <c r="G872" s="23">
        <f t="shared" si="47"/>
        <v>12</v>
      </c>
      <c r="H872" s="23">
        <f t="shared" si="48"/>
        <v>17</v>
      </c>
    </row>
    <row r="873" spans="1:8" x14ac:dyDescent="0.25">
      <c r="A873" s="22">
        <v>41894.746527777781</v>
      </c>
      <c r="B873">
        <v>480.9</v>
      </c>
      <c r="C873">
        <v>94.4</v>
      </c>
      <c r="D873">
        <v>11.6</v>
      </c>
      <c r="E873">
        <v>7.2</v>
      </c>
      <c r="G873" s="23">
        <f t="shared" si="47"/>
        <v>12</v>
      </c>
      <c r="H873" s="23">
        <f t="shared" si="48"/>
        <v>17</v>
      </c>
    </row>
    <row r="874" spans="1:8" x14ac:dyDescent="0.25">
      <c r="A874" s="22">
        <v>41894.75</v>
      </c>
      <c r="B874">
        <v>484.6</v>
      </c>
      <c r="C874">
        <v>94.4</v>
      </c>
      <c r="D874">
        <v>11.6</v>
      </c>
      <c r="E874">
        <v>7.2</v>
      </c>
      <c r="G874" s="23">
        <f t="shared" si="47"/>
        <v>12</v>
      </c>
      <c r="H874" s="23">
        <f t="shared" si="48"/>
        <v>18</v>
      </c>
    </row>
    <row r="875" spans="1:8" x14ac:dyDescent="0.25">
      <c r="A875" s="22">
        <v>41894.753472222219</v>
      </c>
      <c r="B875">
        <v>483.7</v>
      </c>
      <c r="C875">
        <v>94.3</v>
      </c>
      <c r="D875">
        <v>11.6</v>
      </c>
      <c r="E875">
        <v>7.2</v>
      </c>
      <c r="G875" s="23">
        <f t="shared" si="47"/>
        <v>12</v>
      </c>
      <c r="H875" s="23">
        <f t="shared" si="48"/>
        <v>18</v>
      </c>
    </row>
    <row r="876" spans="1:8" x14ac:dyDescent="0.25">
      <c r="A876" s="22">
        <v>41894.756944444445</v>
      </c>
      <c r="B876">
        <v>480.2</v>
      </c>
      <c r="C876">
        <v>94.3</v>
      </c>
      <c r="D876">
        <v>11.6</v>
      </c>
      <c r="E876">
        <v>7.2</v>
      </c>
      <c r="G876" s="23">
        <f t="shared" si="47"/>
        <v>12</v>
      </c>
      <c r="H876" s="23">
        <f t="shared" si="48"/>
        <v>18</v>
      </c>
    </row>
    <row r="877" spans="1:8" x14ac:dyDescent="0.25">
      <c r="A877" s="22">
        <v>41894.760416666664</v>
      </c>
      <c r="B877">
        <v>481.1</v>
      </c>
      <c r="C877">
        <v>94.5</v>
      </c>
      <c r="D877">
        <v>11.6</v>
      </c>
      <c r="E877">
        <v>7.2</v>
      </c>
      <c r="G877" s="23">
        <f t="shared" si="47"/>
        <v>12</v>
      </c>
      <c r="H877" s="23">
        <f t="shared" si="48"/>
        <v>18</v>
      </c>
    </row>
    <row r="878" spans="1:8" x14ac:dyDescent="0.25">
      <c r="A878" s="22">
        <v>41894.763888888891</v>
      </c>
      <c r="B878">
        <v>480.5</v>
      </c>
      <c r="C878">
        <v>94.3</v>
      </c>
      <c r="D878">
        <v>11.6</v>
      </c>
      <c r="E878">
        <v>7.2</v>
      </c>
      <c r="G878" s="23">
        <f t="shared" si="47"/>
        <v>12</v>
      </c>
      <c r="H878" s="23">
        <f t="shared" si="48"/>
        <v>18</v>
      </c>
    </row>
    <row r="879" spans="1:8" x14ac:dyDescent="0.25">
      <c r="A879" s="22">
        <v>41894.767361111109</v>
      </c>
      <c r="B879">
        <v>481.6</v>
      </c>
      <c r="C879">
        <v>94.3</v>
      </c>
      <c r="D879">
        <v>11.6</v>
      </c>
      <c r="E879">
        <v>7.2</v>
      </c>
      <c r="G879" s="23">
        <f t="shared" si="47"/>
        <v>12</v>
      </c>
      <c r="H879" s="23">
        <f t="shared" si="48"/>
        <v>18</v>
      </c>
    </row>
    <row r="880" spans="1:8" x14ac:dyDescent="0.25">
      <c r="A880" s="22">
        <v>41894.770833333336</v>
      </c>
      <c r="B880">
        <v>482.9</v>
      </c>
      <c r="C880">
        <v>94.3</v>
      </c>
      <c r="D880">
        <v>11.6</v>
      </c>
      <c r="E880">
        <v>7.2</v>
      </c>
      <c r="G880" s="23">
        <f t="shared" si="47"/>
        <v>12</v>
      </c>
      <c r="H880" s="23">
        <f t="shared" si="48"/>
        <v>18</v>
      </c>
    </row>
    <row r="881" spans="1:8" x14ac:dyDescent="0.25">
      <c r="A881" s="22">
        <v>41894.774305555555</v>
      </c>
      <c r="B881">
        <v>484.6</v>
      </c>
      <c r="C881">
        <v>94.4</v>
      </c>
      <c r="D881">
        <v>11.6</v>
      </c>
      <c r="E881">
        <v>7.2</v>
      </c>
      <c r="G881" s="23">
        <f t="shared" si="47"/>
        <v>12</v>
      </c>
      <c r="H881" s="23">
        <f t="shared" si="48"/>
        <v>18</v>
      </c>
    </row>
    <row r="882" spans="1:8" x14ac:dyDescent="0.25">
      <c r="A882" s="22">
        <v>41894.777777777781</v>
      </c>
      <c r="B882">
        <v>486.1</v>
      </c>
      <c r="C882">
        <v>94.5</v>
      </c>
      <c r="D882">
        <v>11.7</v>
      </c>
      <c r="E882">
        <v>7.2</v>
      </c>
      <c r="G882" s="23">
        <f t="shared" si="47"/>
        <v>12</v>
      </c>
      <c r="H882" s="23">
        <f t="shared" si="48"/>
        <v>18</v>
      </c>
    </row>
    <row r="883" spans="1:8" x14ac:dyDescent="0.25">
      <c r="A883" s="22">
        <v>41894.78125</v>
      </c>
      <c r="B883">
        <v>486</v>
      </c>
      <c r="C883">
        <v>94.4</v>
      </c>
      <c r="D883">
        <v>11.7</v>
      </c>
      <c r="E883">
        <v>7.3</v>
      </c>
      <c r="G883" s="23">
        <f t="shared" si="47"/>
        <v>12</v>
      </c>
      <c r="H883" s="23">
        <f t="shared" si="48"/>
        <v>18</v>
      </c>
    </row>
    <row r="884" spans="1:8" x14ac:dyDescent="0.25">
      <c r="A884" s="22">
        <v>41894.784722222219</v>
      </c>
      <c r="B884">
        <v>483.3</v>
      </c>
      <c r="C884">
        <v>94.4</v>
      </c>
      <c r="D884">
        <v>11.7</v>
      </c>
      <c r="E884">
        <v>7.3</v>
      </c>
      <c r="G884" s="23">
        <f t="shared" si="47"/>
        <v>12</v>
      </c>
      <c r="H884" s="23">
        <f t="shared" si="48"/>
        <v>18</v>
      </c>
    </row>
    <row r="885" spans="1:8" x14ac:dyDescent="0.25">
      <c r="A885" s="22">
        <v>41894.788194444445</v>
      </c>
      <c r="B885">
        <v>483</v>
      </c>
      <c r="C885">
        <v>94.4</v>
      </c>
      <c r="D885">
        <v>11.7</v>
      </c>
      <c r="E885">
        <v>7.3</v>
      </c>
      <c r="G885" s="23">
        <f t="shared" si="47"/>
        <v>12</v>
      </c>
      <c r="H885" s="23">
        <f t="shared" si="48"/>
        <v>18</v>
      </c>
    </row>
    <row r="886" spans="1:8" x14ac:dyDescent="0.25">
      <c r="A886" s="22">
        <v>41894.791666666664</v>
      </c>
      <c r="B886">
        <v>485.4</v>
      </c>
      <c r="C886">
        <v>94.6</v>
      </c>
      <c r="D886">
        <v>11.7</v>
      </c>
      <c r="E886">
        <v>7.3</v>
      </c>
      <c r="G886" s="23">
        <f t="shared" si="47"/>
        <v>12</v>
      </c>
      <c r="H886" s="23">
        <f t="shared" si="48"/>
        <v>19</v>
      </c>
    </row>
    <row r="887" spans="1:8" x14ac:dyDescent="0.25">
      <c r="A887" s="22">
        <v>41894.795138888891</v>
      </c>
      <c r="B887">
        <v>485.2</v>
      </c>
      <c r="C887">
        <v>94.5</v>
      </c>
      <c r="D887">
        <v>11.7</v>
      </c>
      <c r="E887">
        <v>7.3</v>
      </c>
      <c r="G887" s="23">
        <f t="shared" si="47"/>
        <v>12</v>
      </c>
      <c r="H887" s="23">
        <f t="shared" si="48"/>
        <v>19</v>
      </c>
    </row>
    <row r="888" spans="1:8" x14ac:dyDescent="0.25">
      <c r="A888" s="22">
        <v>41894.798611111109</v>
      </c>
      <c r="B888">
        <v>485.5</v>
      </c>
      <c r="C888">
        <v>94.4</v>
      </c>
      <c r="D888">
        <v>11.8</v>
      </c>
      <c r="E888">
        <v>7.4</v>
      </c>
      <c r="G888" s="23">
        <f t="shared" si="47"/>
        <v>12</v>
      </c>
      <c r="H888" s="23">
        <f t="shared" si="48"/>
        <v>19</v>
      </c>
    </row>
    <row r="889" spans="1:8" x14ac:dyDescent="0.25">
      <c r="A889" s="22">
        <v>41894.802083333336</v>
      </c>
      <c r="B889">
        <v>485.6</v>
      </c>
      <c r="C889">
        <v>94.4</v>
      </c>
      <c r="D889">
        <v>11.8</v>
      </c>
      <c r="E889">
        <v>7.4</v>
      </c>
      <c r="G889" s="23">
        <f t="shared" si="47"/>
        <v>12</v>
      </c>
      <c r="H889" s="23">
        <f t="shared" si="48"/>
        <v>19</v>
      </c>
    </row>
    <row r="890" spans="1:8" x14ac:dyDescent="0.25">
      <c r="A890" s="22">
        <v>41894.805555555555</v>
      </c>
      <c r="B890">
        <v>486.6</v>
      </c>
      <c r="C890">
        <v>94.5</v>
      </c>
      <c r="D890">
        <v>11.8</v>
      </c>
      <c r="E890">
        <v>7.4</v>
      </c>
      <c r="G890" s="23">
        <f t="shared" si="47"/>
        <v>12</v>
      </c>
      <c r="H890" s="23">
        <f t="shared" si="48"/>
        <v>19</v>
      </c>
    </row>
    <row r="891" spans="1:8" x14ac:dyDescent="0.25">
      <c r="A891" s="22">
        <v>41894.809027777781</v>
      </c>
      <c r="B891">
        <v>487.4</v>
      </c>
      <c r="C891">
        <v>94.5</v>
      </c>
      <c r="D891">
        <v>11.9</v>
      </c>
      <c r="E891">
        <v>7.4</v>
      </c>
      <c r="G891" s="23">
        <f t="shared" si="47"/>
        <v>12</v>
      </c>
      <c r="H891" s="23">
        <f t="shared" si="48"/>
        <v>19</v>
      </c>
    </row>
    <row r="892" spans="1:8" x14ac:dyDescent="0.25">
      <c r="A892" s="22">
        <v>41894.8125</v>
      </c>
      <c r="B892">
        <v>487.2</v>
      </c>
      <c r="C892">
        <v>94.4</v>
      </c>
      <c r="D892">
        <v>11.9</v>
      </c>
      <c r="E892">
        <v>7.5</v>
      </c>
      <c r="G892" s="23">
        <f t="shared" si="47"/>
        <v>12</v>
      </c>
      <c r="H892" s="23">
        <f t="shared" si="48"/>
        <v>19</v>
      </c>
    </row>
    <row r="893" spans="1:8" x14ac:dyDescent="0.25">
      <c r="A893" s="22">
        <v>41894.815972222219</v>
      </c>
      <c r="B893">
        <v>485.9</v>
      </c>
      <c r="C893">
        <v>94.4</v>
      </c>
      <c r="D893">
        <v>11.9</v>
      </c>
      <c r="E893">
        <v>7.5</v>
      </c>
      <c r="G893" s="23">
        <f t="shared" si="47"/>
        <v>12</v>
      </c>
      <c r="H893" s="23">
        <f t="shared" si="48"/>
        <v>19</v>
      </c>
    </row>
    <row r="894" spans="1:8" x14ac:dyDescent="0.25">
      <c r="A894" s="22">
        <v>41894.819444444445</v>
      </c>
      <c r="B894">
        <v>486.2</v>
      </c>
      <c r="C894">
        <v>94.5</v>
      </c>
      <c r="D894">
        <v>11.9</v>
      </c>
      <c r="E894">
        <v>7.5</v>
      </c>
      <c r="G894" s="23">
        <f t="shared" si="47"/>
        <v>12</v>
      </c>
      <c r="H894" s="23">
        <f t="shared" si="48"/>
        <v>19</v>
      </c>
    </row>
    <row r="895" spans="1:8" x14ac:dyDescent="0.25">
      <c r="A895" s="22">
        <v>41894.822916666664</v>
      </c>
      <c r="B895">
        <v>486.5</v>
      </c>
      <c r="C895">
        <v>94.5</v>
      </c>
      <c r="D895">
        <v>11.9</v>
      </c>
      <c r="E895">
        <v>7.5</v>
      </c>
      <c r="G895" s="23">
        <f t="shared" si="47"/>
        <v>12</v>
      </c>
      <c r="H895" s="23">
        <f t="shared" si="48"/>
        <v>19</v>
      </c>
    </row>
    <row r="896" spans="1:8" x14ac:dyDescent="0.25">
      <c r="A896" s="22">
        <v>41894.826388888891</v>
      </c>
      <c r="B896">
        <v>487</v>
      </c>
      <c r="C896">
        <v>94.5</v>
      </c>
      <c r="D896">
        <v>11.9</v>
      </c>
      <c r="E896">
        <v>7.5</v>
      </c>
      <c r="G896" s="23">
        <f t="shared" si="47"/>
        <v>12</v>
      </c>
      <c r="H896" s="23">
        <f t="shared" si="48"/>
        <v>19</v>
      </c>
    </row>
    <row r="897" spans="1:8" x14ac:dyDescent="0.25">
      <c r="A897" s="22">
        <v>41894.829861111109</v>
      </c>
      <c r="B897">
        <v>485.9</v>
      </c>
      <c r="C897">
        <v>94.4</v>
      </c>
      <c r="D897">
        <v>11.9</v>
      </c>
      <c r="E897">
        <v>7.5</v>
      </c>
      <c r="G897" s="23">
        <f t="shared" si="47"/>
        <v>12</v>
      </c>
      <c r="H897" s="23">
        <f t="shared" si="48"/>
        <v>19</v>
      </c>
    </row>
    <row r="898" spans="1:8" x14ac:dyDescent="0.25">
      <c r="A898" s="22">
        <v>41894.833333333336</v>
      </c>
      <c r="B898">
        <v>484.3</v>
      </c>
      <c r="C898">
        <v>94.4</v>
      </c>
      <c r="D898">
        <v>11.9</v>
      </c>
      <c r="E898">
        <v>7.5</v>
      </c>
      <c r="G898" s="23">
        <f t="shared" si="47"/>
        <v>12</v>
      </c>
      <c r="H898" s="23">
        <f t="shared" si="48"/>
        <v>20</v>
      </c>
    </row>
    <row r="899" spans="1:8" x14ac:dyDescent="0.25">
      <c r="A899" s="22">
        <v>41894.836805555555</v>
      </c>
      <c r="B899">
        <v>487.6</v>
      </c>
      <c r="C899">
        <v>94.5</v>
      </c>
      <c r="D899">
        <v>11.9</v>
      </c>
      <c r="E899">
        <v>7.5</v>
      </c>
      <c r="G899" s="23">
        <f t="shared" si="47"/>
        <v>12</v>
      </c>
      <c r="H899" s="23">
        <f t="shared" si="48"/>
        <v>20</v>
      </c>
    </row>
    <row r="900" spans="1:8" x14ac:dyDescent="0.25">
      <c r="A900" s="22">
        <v>41894.840277777781</v>
      </c>
      <c r="B900">
        <v>491.9</v>
      </c>
      <c r="C900">
        <v>94.4</v>
      </c>
      <c r="D900">
        <v>11.9</v>
      </c>
      <c r="E900">
        <v>7.4</v>
      </c>
      <c r="G900" s="23">
        <f t="shared" si="47"/>
        <v>12</v>
      </c>
      <c r="H900" s="23">
        <f t="shared" si="48"/>
        <v>20</v>
      </c>
    </row>
    <row r="901" spans="1:8" x14ac:dyDescent="0.25">
      <c r="A901" s="22">
        <v>41894.84375</v>
      </c>
      <c r="B901">
        <v>491</v>
      </c>
      <c r="C901">
        <v>94.4</v>
      </c>
      <c r="D901">
        <v>11.9</v>
      </c>
      <c r="E901">
        <v>7.5</v>
      </c>
      <c r="G901" s="23">
        <f t="shared" si="47"/>
        <v>12</v>
      </c>
      <c r="H901" s="23">
        <f t="shared" si="48"/>
        <v>20</v>
      </c>
    </row>
    <row r="902" spans="1:8" x14ac:dyDescent="0.25">
      <c r="A902" s="22">
        <v>41894.847222222219</v>
      </c>
      <c r="B902">
        <v>491</v>
      </c>
      <c r="C902">
        <v>94.5</v>
      </c>
      <c r="D902">
        <v>11.9</v>
      </c>
      <c r="E902">
        <v>7.5</v>
      </c>
      <c r="G902" s="23">
        <f t="shared" ref="G902:G945" si="49">+DAY(A902)</f>
        <v>12</v>
      </c>
      <c r="H902" s="23">
        <f t="shared" ref="H902:H965" si="50">+HOUR(A902)</f>
        <v>20</v>
      </c>
    </row>
    <row r="903" spans="1:8" x14ac:dyDescent="0.25">
      <c r="A903" s="22">
        <v>41894.850694444445</v>
      </c>
      <c r="B903">
        <v>489.5</v>
      </c>
      <c r="C903">
        <v>94.5</v>
      </c>
      <c r="D903">
        <v>11.9</v>
      </c>
      <c r="E903">
        <v>7.5</v>
      </c>
      <c r="G903" s="23">
        <f t="shared" si="49"/>
        <v>12</v>
      </c>
      <c r="H903" s="23">
        <f t="shared" si="50"/>
        <v>20</v>
      </c>
    </row>
    <row r="904" spans="1:8" x14ac:dyDescent="0.25">
      <c r="A904" s="22">
        <v>41894.854166666664</v>
      </c>
      <c r="B904">
        <v>490.8</v>
      </c>
      <c r="C904">
        <v>94.5</v>
      </c>
      <c r="D904">
        <v>11.9</v>
      </c>
      <c r="E904">
        <v>7.5</v>
      </c>
      <c r="G904" s="23">
        <f t="shared" si="49"/>
        <v>12</v>
      </c>
      <c r="H904" s="23">
        <f t="shared" si="50"/>
        <v>20</v>
      </c>
    </row>
    <row r="905" spans="1:8" x14ac:dyDescent="0.25">
      <c r="A905" s="22">
        <v>41894.857638888891</v>
      </c>
      <c r="B905">
        <v>487.4</v>
      </c>
      <c r="C905">
        <v>94.5</v>
      </c>
      <c r="D905">
        <v>11.9</v>
      </c>
      <c r="E905">
        <v>7.5</v>
      </c>
      <c r="G905" s="23">
        <f t="shared" si="49"/>
        <v>12</v>
      </c>
      <c r="H905" s="23">
        <f t="shared" si="50"/>
        <v>20</v>
      </c>
    </row>
    <row r="906" spans="1:8" x14ac:dyDescent="0.25">
      <c r="A906" s="22">
        <v>41894.861111111109</v>
      </c>
      <c r="B906">
        <v>486.3</v>
      </c>
      <c r="C906">
        <v>94.4</v>
      </c>
      <c r="D906">
        <v>11.8</v>
      </c>
      <c r="E906">
        <v>7.4</v>
      </c>
      <c r="G906" s="23">
        <f t="shared" si="49"/>
        <v>12</v>
      </c>
      <c r="H906" s="23">
        <f t="shared" si="50"/>
        <v>20</v>
      </c>
    </row>
    <row r="907" spans="1:8" x14ac:dyDescent="0.25">
      <c r="A907" s="22">
        <v>41894.864583333336</v>
      </c>
      <c r="B907">
        <v>487.9</v>
      </c>
      <c r="C907">
        <v>94.5</v>
      </c>
      <c r="D907">
        <v>11.8</v>
      </c>
      <c r="E907">
        <v>7.4</v>
      </c>
      <c r="G907" s="23">
        <f t="shared" si="49"/>
        <v>12</v>
      </c>
      <c r="H907" s="23">
        <f t="shared" si="50"/>
        <v>20</v>
      </c>
    </row>
    <row r="908" spans="1:8" x14ac:dyDescent="0.25">
      <c r="A908" s="22">
        <v>41894.868055555555</v>
      </c>
      <c r="B908">
        <v>485.1</v>
      </c>
      <c r="C908">
        <v>94.5</v>
      </c>
      <c r="D908">
        <v>11.9</v>
      </c>
      <c r="E908">
        <v>7.5</v>
      </c>
      <c r="G908" s="23">
        <f t="shared" si="49"/>
        <v>12</v>
      </c>
      <c r="H908" s="23">
        <f t="shared" si="50"/>
        <v>20</v>
      </c>
    </row>
    <row r="909" spans="1:8" x14ac:dyDescent="0.25">
      <c r="A909" s="22">
        <v>41894.871527777781</v>
      </c>
      <c r="B909">
        <v>485.4</v>
      </c>
      <c r="C909">
        <v>94.4</v>
      </c>
      <c r="D909">
        <v>11.8</v>
      </c>
      <c r="E909">
        <v>7.4</v>
      </c>
      <c r="G909" s="23">
        <f t="shared" si="49"/>
        <v>12</v>
      </c>
      <c r="H909" s="23">
        <f t="shared" si="50"/>
        <v>20</v>
      </c>
    </row>
    <row r="910" spans="1:8" x14ac:dyDescent="0.25">
      <c r="A910" s="22">
        <v>41894.875</v>
      </c>
      <c r="B910">
        <v>482.1</v>
      </c>
      <c r="C910">
        <v>94.3</v>
      </c>
      <c r="D910">
        <v>11.8</v>
      </c>
      <c r="E910">
        <v>7.4</v>
      </c>
      <c r="G910" s="23">
        <f t="shared" si="49"/>
        <v>12</v>
      </c>
      <c r="H910" s="23">
        <f t="shared" si="50"/>
        <v>21</v>
      </c>
    </row>
    <row r="911" spans="1:8" x14ac:dyDescent="0.25">
      <c r="A911" s="22">
        <v>41894.878472222219</v>
      </c>
      <c r="B911">
        <v>481.7</v>
      </c>
      <c r="C911">
        <v>94.3</v>
      </c>
      <c r="D911">
        <v>11.8</v>
      </c>
      <c r="E911">
        <v>7.5</v>
      </c>
      <c r="G911" s="23">
        <f t="shared" si="49"/>
        <v>12</v>
      </c>
      <c r="H911" s="23">
        <f t="shared" si="50"/>
        <v>21</v>
      </c>
    </row>
    <row r="912" spans="1:8" x14ac:dyDescent="0.25">
      <c r="A912" s="22">
        <v>41894.881944444445</v>
      </c>
      <c r="B912">
        <v>482.1</v>
      </c>
      <c r="C912">
        <v>94.4</v>
      </c>
      <c r="D912">
        <v>11.8</v>
      </c>
      <c r="E912">
        <v>7.4</v>
      </c>
      <c r="G912" s="23">
        <f t="shared" si="49"/>
        <v>12</v>
      </c>
      <c r="H912" s="23">
        <f t="shared" si="50"/>
        <v>21</v>
      </c>
    </row>
    <row r="913" spans="1:8" x14ac:dyDescent="0.25">
      <c r="A913" s="22">
        <v>41894.885416666664</v>
      </c>
      <c r="B913">
        <v>483.2</v>
      </c>
      <c r="C913">
        <v>94.4</v>
      </c>
      <c r="D913">
        <v>11.8</v>
      </c>
      <c r="E913">
        <v>7.4</v>
      </c>
      <c r="G913" s="23">
        <f t="shared" si="49"/>
        <v>12</v>
      </c>
      <c r="H913" s="23">
        <f t="shared" si="50"/>
        <v>21</v>
      </c>
    </row>
    <row r="914" spans="1:8" x14ac:dyDescent="0.25">
      <c r="A914" s="22">
        <v>41894.888888888891</v>
      </c>
      <c r="B914">
        <v>482.8</v>
      </c>
      <c r="C914">
        <v>94.4</v>
      </c>
      <c r="D914">
        <v>11.9</v>
      </c>
      <c r="E914">
        <v>7.5</v>
      </c>
      <c r="G914" s="23">
        <f t="shared" si="49"/>
        <v>12</v>
      </c>
      <c r="H914" s="23">
        <f t="shared" si="50"/>
        <v>21</v>
      </c>
    </row>
    <row r="915" spans="1:8" x14ac:dyDescent="0.25">
      <c r="A915" s="22">
        <v>41894.892361111109</v>
      </c>
      <c r="B915">
        <v>484.5</v>
      </c>
      <c r="C915">
        <v>94.3</v>
      </c>
      <c r="D915">
        <v>11.8</v>
      </c>
      <c r="E915">
        <v>7.4</v>
      </c>
      <c r="G915" s="23">
        <f t="shared" si="49"/>
        <v>12</v>
      </c>
      <c r="H915" s="23">
        <f t="shared" si="50"/>
        <v>21</v>
      </c>
    </row>
    <row r="916" spans="1:8" x14ac:dyDescent="0.25">
      <c r="A916" s="22">
        <v>41894.895833333336</v>
      </c>
      <c r="B916">
        <v>484.4</v>
      </c>
      <c r="C916">
        <v>94.4</v>
      </c>
      <c r="D916">
        <v>11.8</v>
      </c>
      <c r="E916">
        <v>7.4</v>
      </c>
      <c r="G916" s="23">
        <f t="shared" si="49"/>
        <v>12</v>
      </c>
      <c r="H916" s="23">
        <f t="shared" si="50"/>
        <v>21</v>
      </c>
    </row>
    <row r="917" spans="1:8" x14ac:dyDescent="0.25">
      <c r="A917" s="22">
        <v>41894.899305555555</v>
      </c>
      <c r="B917">
        <v>484.2</v>
      </c>
      <c r="C917">
        <v>94.3</v>
      </c>
      <c r="D917">
        <v>11.8</v>
      </c>
      <c r="E917">
        <v>7.4</v>
      </c>
      <c r="G917" s="23">
        <f t="shared" si="49"/>
        <v>12</v>
      </c>
      <c r="H917" s="23">
        <f t="shared" si="50"/>
        <v>21</v>
      </c>
    </row>
    <row r="918" spans="1:8" x14ac:dyDescent="0.25">
      <c r="A918" s="22">
        <v>41894.902777777781</v>
      </c>
      <c r="B918">
        <v>483.7</v>
      </c>
      <c r="C918">
        <v>94.3</v>
      </c>
      <c r="D918">
        <v>11.8</v>
      </c>
      <c r="E918">
        <v>7.4</v>
      </c>
      <c r="G918" s="23">
        <f t="shared" si="49"/>
        <v>12</v>
      </c>
      <c r="H918" s="23">
        <f t="shared" si="50"/>
        <v>21</v>
      </c>
    </row>
    <row r="919" spans="1:8" x14ac:dyDescent="0.25">
      <c r="A919" s="22">
        <v>41894.90625</v>
      </c>
      <c r="B919">
        <v>483.3</v>
      </c>
      <c r="C919">
        <v>94.4</v>
      </c>
      <c r="D919">
        <v>11.8</v>
      </c>
      <c r="E919">
        <v>7.4</v>
      </c>
      <c r="G919" s="23">
        <f t="shared" si="49"/>
        <v>12</v>
      </c>
      <c r="H919" s="23">
        <f t="shared" si="50"/>
        <v>21</v>
      </c>
    </row>
    <row r="920" spans="1:8" x14ac:dyDescent="0.25">
      <c r="A920" s="22">
        <v>41894.909722222219</v>
      </c>
      <c r="B920">
        <v>483.7</v>
      </c>
      <c r="C920">
        <v>94.4</v>
      </c>
      <c r="D920">
        <v>11.8</v>
      </c>
      <c r="E920">
        <v>7.4</v>
      </c>
      <c r="G920" s="23">
        <f t="shared" si="49"/>
        <v>12</v>
      </c>
      <c r="H920" s="23">
        <f t="shared" si="50"/>
        <v>21</v>
      </c>
    </row>
    <row r="921" spans="1:8" x14ac:dyDescent="0.25">
      <c r="A921" s="22">
        <v>41894.913194444445</v>
      </c>
      <c r="B921">
        <v>484</v>
      </c>
      <c r="C921">
        <v>94.4</v>
      </c>
      <c r="D921">
        <v>11.7</v>
      </c>
      <c r="E921">
        <v>7.3</v>
      </c>
      <c r="G921" s="23">
        <f t="shared" si="49"/>
        <v>12</v>
      </c>
      <c r="H921" s="23">
        <f t="shared" si="50"/>
        <v>21</v>
      </c>
    </row>
    <row r="922" spans="1:8" x14ac:dyDescent="0.25">
      <c r="A922" s="22">
        <v>41894.916666666664</v>
      </c>
      <c r="B922">
        <v>483.9</v>
      </c>
      <c r="C922">
        <v>94.3</v>
      </c>
      <c r="D922">
        <v>11.7</v>
      </c>
      <c r="E922">
        <v>7.3</v>
      </c>
      <c r="G922" s="23">
        <f t="shared" si="49"/>
        <v>12</v>
      </c>
      <c r="H922" s="23">
        <f t="shared" si="50"/>
        <v>22</v>
      </c>
    </row>
    <row r="923" spans="1:8" x14ac:dyDescent="0.25">
      <c r="A923" s="22">
        <v>41894.920138888891</v>
      </c>
      <c r="B923">
        <v>484.1</v>
      </c>
      <c r="C923">
        <v>94.3</v>
      </c>
      <c r="D923">
        <v>11.7</v>
      </c>
      <c r="E923">
        <v>7.3</v>
      </c>
      <c r="G923" s="23">
        <f t="shared" si="49"/>
        <v>12</v>
      </c>
      <c r="H923" s="23">
        <f t="shared" si="50"/>
        <v>22</v>
      </c>
    </row>
    <row r="924" spans="1:8" x14ac:dyDescent="0.25">
      <c r="A924" s="22">
        <v>41894.923611111109</v>
      </c>
      <c r="B924">
        <v>484.8</v>
      </c>
      <c r="C924">
        <v>94.3</v>
      </c>
      <c r="D924">
        <v>11.7</v>
      </c>
      <c r="E924">
        <v>7.3</v>
      </c>
      <c r="G924" s="23">
        <f t="shared" si="49"/>
        <v>12</v>
      </c>
      <c r="H924" s="23">
        <f t="shared" si="50"/>
        <v>22</v>
      </c>
    </row>
    <row r="925" spans="1:8" x14ac:dyDescent="0.25">
      <c r="A925" s="22">
        <v>41894.927083333336</v>
      </c>
      <c r="B925">
        <v>485.5</v>
      </c>
      <c r="C925">
        <v>94.3</v>
      </c>
      <c r="D925">
        <v>11.7</v>
      </c>
      <c r="E925">
        <v>7.3</v>
      </c>
      <c r="G925" s="23">
        <f t="shared" si="49"/>
        <v>12</v>
      </c>
      <c r="H925" s="23">
        <f t="shared" si="50"/>
        <v>22</v>
      </c>
    </row>
    <row r="926" spans="1:8" x14ac:dyDescent="0.25">
      <c r="A926" s="22">
        <v>41894.930555555555</v>
      </c>
      <c r="B926">
        <v>485.1</v>
      </c>
      <c r="C926">
        <v>94.4</v>
      </c>
      <c r="D926">
        <v>11.7</v>
      </c>
      <c r="E926">
        <v>7.2</v>
      </c>
      <c r="G926" s="23">
        <f t="shared" si="49"/>
        <v>12</v>
      </c>
      <c r="H926" s="23">
        <f t="shared" si="50"/>
        <v>22</v>
      </c>
    </row>
    <row r="927" spans="1:8" x14ac:dyDescent="0.25">
      <c r="A927" s="22">
        <v>41894.934027777781</v>
      </c>
      <c r="B927">
        <v>485</v>
      </c>
      <c r="C927">
        <v>94.3</v>
      </c>
      <c r="D927">
        <v>11.6</v>
      </c>
      <c r="E927">
        <v>7.2</v>
      </c>
      <c r="G927" s="23">
        <f t="shared" si="49"/>
        <v>12</v>
      </c>
      <c r="H927" s="23">
        <f t="shared" si="50"/>
        <v>22</v>
      </c>
    </row>
    <row r="928" spans="1:8" x14ac:dyDescent="0.25">
      <c r="A928" s="22">
        <v>41894.9375</v>
      </c>
      <c r="B928">
        <v>485.3</v>
      </c>
      <c r="C928">
        <v>94.3</v>
      </c>
      <c r="D928">
        <v>11.6</v>
      </c>
      <c r="E928">
        <v>7.2</v>
      </c>
      <c r="G928" s="23">
        <f t="shared" si="49"/>
        <v>12</v>
      </c>
      <c r="H928" s="23">
        <f t="shared" si="50"/>
        <v>22</v>
      </c>
    </row>
    <row r="929" spans="1:8" x14ac:dyDescent="0.25">
      <c r="A929" s="22">
        <v>41894.940972222219</v>
      </c>
      <c r="B929">
        <v>485.3</v>
      </c>
      <c r="C929">
        <v>94.4</v>
      </c>
      <c r="D929">
        <v>11.6</v>
      </c>
      <c r="E929">
        <v>7.1</v>
      </c>
      <c r="G929" s="23">
        <f t="shared" si="49"/>
        <v>12</v>
      </c>
      <c r="H929" s="23">
        <f t="shared" si="50"/>
        <v>22</v>
      </c>
    </row>
    <row r="930" spans="1:8" x14ac:dyDescent="0.25">
      <c r="A930" s="22">
        <v>41894.944444444445</v>
      </c>
      <c r="B930">
        <v>485.9</v>
      </c>
      <c r="C930">
        <v>94.4</v>
      </c>
      <c r="D930">
        <v>11.5</v>
      </c>
      <c r="E930">
        <v>7.1</v>
      </c>
      <c r="G930" s="23">
        <f t="shared" si="49"/>
        <v>12</v>
      </c>
      <c r="H930" s="23">
        <f t="shared" si="50"/>
        <v>22</v>
      </c>
    </row>
    <row r="931" spans="1:8" x14ac:dyDescent="0.25">
      <c r="A931" s="22">
        <v>41894.947916666664</v>
      </c>
      <c r="B931">
        <v>485.2</v>
      </c>
      <c r="C931">
        <v>94.2</v>
      </c>
      <c r="D931">
        <v>11.6</v>
      </c>
      <c r="E931">
        <v>7.1</v>
      </c>
      <c r="G931" s="23">
        <f t="shared" si="49"/>
        <v>12</v>
      </c>
      <c r="H931" s="23">
        <f t="shared" si="50"/>
        <v>22</v>
      </c>
    </row>
    <row r="932" spans="1:8" x14ac:dyDescent="0.25">
      <c r="A932" s="22">
        <v>41894.951388888891</v>
      </c>
      <c r="B932">
        <v>486.5</v>
      </c>
      <c r="C932">
        <v>94.3</v>
      </c>
      <c r="D932">
        <v>11.6</v>
      </c>
      <c r="E932">
        <v>7.2</v>
      </c>
      <c r="G932" s="23">
        <f t="shared" si="49"/>
        <v>12</v>
      </c>
      <c r="H932" s="23">
        <f t="shared" si="50"/>
        <v>22</v>
      </c>
    </row>
    <row r="933" spans="1:8" x14ac:dyDescent="0.25">
      <c r="A933" s="22">
        <v>41894.954861111109</v>
      </c>
      <c r="B933">
        <v>486.4</v>
      </c>
      <c r="C933">
        <v>94.3</v>
      </c>
      <c r="D933">
        <v>11.3</v>
      </c>
      <c r="E933">
        <v>6.9</v>
      </c>
      <c r="G933" s="23">
        <f t="shared" si="49"/>
        <v>12</v>
      </c>
      <c r="H933" s="23">
        <f t="shared" si="50"/>
        <v>22</v>
      </c>
    </row>
    <row r="934" spans="1:8" x14ac:dyDescent="0.25">
      <c r="A934" s="22">
        <v>41894.958333333336</v>
      </c>
      <c r="B934">
        <v>491</v>
      </c>
      <c r="C934">
        <v>94.3</v>
      </c>
      <c r="D934">
        <v>11.8</v>
      </c>
      <c r="E934">
        <v>7.3</v>
      </c>
      <c r="G934" s="23">
        <f t="shared" si="49"/>
        <v>12</v>
      </c>
      <c r="H934" s="23">
        <f t="shared" si="50"/>
        <v>23</v>
      </c>
    </row>
    <row r="935" spans="1:8" x14ac:dyDescent="0.25">
      <c r="A935" s="22">
        <v>41894.961805555555</v>
      </c>
      <c r="B935">
        <v>483.7</v>
      </c>
      <c r="C935">
        <v>94.3</v>
      </c>
      <c r="D935">
        <v>11.5</v>
      </c>
      <c r="E935">
        <v>7.1</v>
      </c>
      <c r="G935" s="23">
        <f t="shared" si="49"/>
        <v>12</v>
      </c>
      <c r="H935" s="23">
        <f t="shared" si="50"/>
        <v>23</v>
      </c>
    </row>
    <row r="936" spans="1:8" x14ac:dyDescent="0.25">
      <c r="A936" s="22">
        <v>41894.965277777781</v>
      </c>
      <c r="B936">
        <v>481.4</v>
      </c>
      <c r="C936">
        <v>94.2</v>
      </c>
      <c r="D936">
        <v>11.3</v>
      </c>
      <c r="E936">
        <v>6.9</v>
      </c>
      <c r="G936" s="23">
        <f t="shared" si="49"/>
        <v>12</v>
      </c>
      <c r="H936" s="23">
        <f t="shared" si="50"/>
        <v>23</v>
      </c>
    </row>
    <row r="937" spans="1:8" x14ac:dyDescent="0.25">
      <c r="A937" s="22">
        <v>41894.96875</v>
      </c>
      <c r="B937">
        <v>481.8</v>
      </c>
      <c r="C937">
        <v>94.2</v>
      </c>
      <c r="D937">
        <v>11.2</v>
      </c>
      <c r="E937">
        <v>6.8</v>
      </c>
      <c r="G937" s="23">
        <f t="shared" si="49"/>
        <v>12</v>
      </c>
      <c r="H937" s="23">
        <f t="shared" si="50"/>
        <v>23</v>
      </c>
    </row>
    <row r="938" spans="1:8" x14ac:dyDescent="0.25">
      <c r="A938" s="22">
        <v>41894.972222222219</v>
      </c>
      <c r="B938">
        <v>480.9</v>
      </c>
      <c r="C938">
        <v>94.3</v>
      </c>
      <c r="D938">
        <v>11.1</v>
      </c>
      <c r="E938">
        <v>6.7</v>
      </c>
      <c r="G938" s="23">
        <f t="shared" si="49"/>
        <v>12</v>
      </c>
      <c r="H938" s="23">
        <f t="shared" si="50"/>
        <v>23</v>
      </c>
    </row>
    <row r="939" spans="1:8" x14ac:dyDescent="0.25">
      <c r="A939" s="22">
        <v>41894.975694444445</v>
      </c>
      <c r="B939">
        <v>480.3</v>
      </c>
      <c r="C939">
        <v>94.3</v>
      </c>
      <c r="D939">
        <v>11.1</v>
      </c>
      <c r="E939">
        <v>6.7</v>
      </c>
      <c r="G939" s="23">
        <f t="shared" si="49"/>
        <v>12</v>
      </c>
      <c r="H939" s="23">
        <f t="shared" si="50"/>
        <v>23</v>
      </c>
    </row>
    <row r="940" spans="1:8" x14ac:dyDescent="0.25">
      <c r="A940" s="22">
        <v>41894.979166666664</v>
      </c>
      <c r="B940">
        <v>480.4</v>
      </c>
      <c r="C940">
        <v>94.2</v>
      </c>
      <c r="D940">
        <v>11</v>
      </c>
      <c r="E940">
        <v>6.6</v>
      </c>
      <c r="G940" s="23">
        <f t="shared" si="49"/>
        <v>12</v>
      </c>
      <c r="H940" s="23">
        <f t="shared" si="50"/>
        <v>23</v>
      </c>
    </row>
    <row r="941" spans="1:8" x14ac:dyDescent="0.25">
      <c r="A941" s="22">
        <v>41894.982638888891</v>
      </c>
      <c r="B941">
        <v>480.8</v>
      </c>
      <c r="C941">
        <v>94.2</v>
      </c>
      <c r="D941">
        <v>10.9</v>
      </c>
      <c r="E941">
        <v>6.6</v>
      </c>
      <c r="G941" s="23">
        <f t="shared" si="49"/>
        <v>12</v>
      </c>
      <c r="H941" s="23">
        <f t="shared" si="50"/>
        <v>23</v>
      </c>
    </row>
    <row r="942" spans="1:8" x14ac:dyDescent="0.25">
      <c r="A942" s="22">
        <v>41894.986111111109</v>
      </c>
      <c r="B942">
        <v>488.4</v>
      </c>
      <c r="C942">
        <v>94.3</v>
      </c>
      <c r="D942">
        <v>11.2</v>
      </c>
      <c r="E942">
        <v>6.7</v>
      </c>
      <c r="G942" s="23">
        <f t="shared" si="49"/>
        <v>12</v>
      </c>
      <c r="H942" s="23">
        <f t="shared" si="50"/>
        <v>23</v>
      </c>
    </row>
    <row r="943" spans="1:8" x14ac:dyDescent="0.25">
      <c r="A943" s="22">
        <v>41894.989583333336</v>
      </c>
      <c r="B943">
        <v>480.4</v>
      </c>
      <c r="C943">
        <v>94.3</v>
      </c>
      <c r="D943">
        <v>11.1</v>
      </c>
      <c r="E943">
        <v>6.7</v>
      </c>
      <c r="G943" s="23">
        <f t="shared" si="49"/>
        <v>12</v>
      </c>
      <c r="H943" s="23">
        <f t="shared" si="50"/>
        <v>23</v>
      </c>
    </row>
    <row r="944" spans="1:8" x14ac:dyDescent="0.25">
      <c r="A944" s="22">
        <v>41894.993055555555</v>
      </c>
      <c r="B944">
        <v>479.2</v>
      </c>
      <c r="C944">
        <v>94.2</v>
      </c>
      <c r="D944">
        <v>10.9</v>
      </c>
      <c r="E944">
        <v>6.6</v>
      </c>
      <c r="G944" s="23">
        <f t="shared" si="49"/>
        <v>12</v>
      </c>
      <c r="H944" s="23">
        <f t="shared" si="50"/>
        <v>23</v>
      </c>
    </row>
    <row r="945" spans="1:8" x14ac:dyDescent="0.25">
      <c r="A945" s="22">
        <v>41894.996527777781</v>
      </c>
      <c r="B945">
        <v>480.8</v>
      </c>
      <c r="C945">
        <v>94.2</v>
      </c>
      <c r="D945">
        <v>10.9</v>
      </c>
      <c r="E945">
        <v>6.5</v>
      </c>
      <c r="G945" s="23">
        <f t="shared" si="49"/>
        <v>12</v>
      </c>
      <c r="H945" s="23">
        <f t="shared" si="50"/>
        <v>23</v>
      </c>
    </row>
    <row r="946" spans="1:8" x14ac:dyDescent="0.25">
      <c r="A946" s="22">
        <v>41895</v>
      </c>
      <c r="B946">
        <v>482.1</v>
      </c>
      <c r="C946">
        <v>94.2</v>
      </c>
      <c r="D946">
        <v>10.9</v>
      </c>
      <c r="E946">
        <v>6.5</v>
      </c>
      <c r="G946">
        <v>13</v>
      </c>
      <c r="H946" s="23">
        <f t="shared" si="50"/>
        <v>0</v>
      </c>
    </row>
    <row r="947" spans="1:8" x14ac:dyDescent="0.25">
      <c r="A947" s="22">
        <v>41895.003472222219</v>
      </c>
      <c r="B947">
        <v>481.6</v>
      </c>
      <c r="C947">
        <v>94.2</v>
      </c>
      <c r="D947">
        <v>10.9</v>
      </c>
      <c r="E947">
        <v>6.5</v>
      </c>
      <c r="G947">
        <v>13</v>
      </c>
      <c r="H947" s="23">
        <f t="shared" si="50"/>
        <v>0</v>
      </c>
    </row>
    <row r="948" spans="1:8" x14ac:dyDescent="0.25">
      <c r="A948" s="22">
        <v>41895.006944444445</v>
      </c>
      <c r="B948">
        <v>482.7</v>
      </c>
      <c r="C948">
        <v>94.3</v>
      </c>
      <c r="D948">
        <v>10.8</v>
      </c>
      <c r="E948">
        <v>6.4</v>
      </c>
      <c r="G948">
        <v>13</v>
      </c>
      <c r="H948" s="23">
        <f t="shared" si="50"/>
        <v>0</v>
      </c>
    </row>
    <row r="949" spans="1:8" x14ac:dyDescent="0.25">
      <c r="A949" s="22">
        <v>41895.010416666664</v>
      </c>
      <c r="B949">
        <v>480.7</v>
      </c>
      <c r="C949">
        <v>94.2</v>
      </c>
      <c r="D949">
        <v>10.8</v>
      </c>
      <c r="E949">
        <v>6.4</v>
      </c>
      <c r="G949">
        <v>13</v>
      </c>
      <c r="H949" s="23">
        <f t="shared" si="50"/>
        <v>0</v>
      </c>
    </row>
    <row r="950" spans="1:8" x14ac:dyDescent="0.25">
      <c r="A950" s="22">
        <v>41895.013888888891</v>
      </c>
      <c r="B950">
        <v>480.8</v>
      </c>
      <c r="C950">
        <v>94.2</v>
      </c>
      <c r="D950">
        <v>10.7</v>
      </c>
      <c r="E950">
        <v>6.4</v>
      </c>
      <c r="G950">
        <v>13</v>
      </c>
      <c r="H950" s="23">
        <f t="shared" si="50"/>
        <v>0</v>
      </c>
    </row>
    <row r="951" spans="1:8" x14ac:dyDescent="0.25">
      <c r="A951" s="22">
        <v>41895.017361111109</v>
      </c>
      <c r="B951">
        <v>480.6</v>
      </c>
      <c r="C951">
        <v>94.3</v>
      </c>
      <c r="D951">
        <v>10.7</v>
      </c>
      <c r="E951">
        <v>6.3</v>
      </c>
      <c r="G951">
        <v>13</v>
      </c>
      <c r="H951" s="23">
        <f t="shared" si="50"/>
        <v>0</v>
      </c>
    </row>
    <row r="952" spans="1:8" x14ac:dyDescent="0.25">
      <c r="A952" s="22">
        <v>41895.020833333336</v>
      </c>
      <c r="B952">
        <v>480.6</v>
      </c>
      <c r="C952">
        <v>94.2</v>
      </c>
      <c r="D952">
        <v>10.7</v>
      </c>
      <c r="E952">
        <v>6.3</v>
      </c>
      <c r="G952">
        <v>13</v>
      </c>
      <c r="H952" s="23">
        <f t="shared" si="50"/>
        <v>0</v>
      </c>
    </row>
    <row r="953" spans="1:8" x14ac:dyDescent="0.25">
      <c r="A953" s="22">
        <v>41895.024305555555</v>
      </c>
      <c r="B953">
        <v>480.8</v>
      </c>
      <c r="C953">
        <v>94.2</v>
      </c>
      <c r="D953">
        <v>10.6</v>
      </c>
      <c r="E953">
        <v>6.3</v>
      </c>
      <c r="G953">
        <v>13</v>
      </c>
      <c r="H953" s="23">
        <f t="shared" si="50"/>
        <v>0</v>
      </c>
    </row>
    <row r="954" spans="1:8" x14ac:dyDescent="0.25">
      <c r="A954" s="22">
        <v>41895.027777777781</v>
      </c>
      <c r="B954">
        <v>480</v>
      </c>
      <c r="C954">
        <v>94.2</v>
      </c>
      <c r="D954">
        <v>10.6</v>
      </c>
      <c r="E954">
        <v>6.2</v>
      </c>
      <c r="G954">
        <v>13</v>
      </c>
      <c r="H954" s="23">
        <f t="shared" si="50"/>
        <v>0</v>
      </c>
    </row>
    <row r="955" spans="1:8" x14ac:dyDescent="0.25">
      <c r="A955" s="22">
        <v>41895.03125</v>
      </c>
      <c r="B955">
        <v>480.5</v>
      </c>
      <c r="C955">
        <v>94.1</v>
      </c>
      <c r="D955">
        <v>10.5</v>
      </c>
      <c r="E955">
        <v>6.2</v>
      </c>
      <c r="G955">
        <v>13</v>
      </c>
      <c r="H955" s="23">
        <f t="shared" si="50"/>
        <v>0</v>
      </c>
    </row>
    <row r="956" spans="1:8" x14ac:dyDescent="0.25">
      <c r="A956" s="22">
        <v>41895.034722222219</v>
      </c>
      <c r="B956">
        <v>479.7</v>
      </c>
      <c r="C956">
        <v>94.2</v>
      </c>
      <c r="D956">
        <v>10.5</v>
      </c>
      <c r="E956">
        <v>6.1</v>
      </c>
      <c r="G956">
        <v>13</v>
      </c>
      <c r="H956" s="23">
        <f t="shared" si="50"/>
        <v>0</v>
      </c>
    </row>
    <row r="957" spans="1:8" x14ac:dyDescent="0.25">
      <c r="A957" s="22">
        <v>41895.038194444445</v>
      </c>
      <c r="B957">
        <v>480.2</v>
      </c>
      <c r="C957">
        <v>94.1</v>
      </c>
      <c r="D957">
        <v>10.5</v>
      </c>
      <c r="E957">
        <v>6.1</v>
      </c>
      <c r="G957">
        <v>13</v>
      </c>
      <c r="H957" s="23">
        <f t="shared" si="50"/>
        <v>0</v>
      </c>
    </row>
    <row r="958" spans="1:8" x14ac:dyDescent="0.25">
      <c r="A958" s="22">
        <v>41895.041666666664</v>
      </c>
      <c r="B958">
        <v>480.3</v>
      </c>
      <c r="C958">
        <v>94.1</v>
      </c>
      <c r="D958">
        <v>10.4</v>
      </c>
      <c r="E958">
        <v>6</v>
      </c>
      <c r="G958">
        <v>13</v>
      </c>
      <c r="H958" s="23">
        <f t="shared" si="50"/>
        <v>1</v>
      </c>
    </row>
    <row r="959" spans="1:8" x14ac:dyDescent="0.25">
      <c r="A959" s="22">
        <v>41895.045138888891</v>
      </c>
      <c r="B959">
        <v>479.6</v>
      </c>
      <c r="C959">
        <v>94.2</v>
      </c>
      <c r="D959">
        <v>10.4</v>
      </c>
      <c r="E959">
        <v>6</v>
      </c>
      <c r="G959">
        <v>13</v>
      </c>
      <c r="H959" s="23">
        <f t="shared" si="50"/>
        <v>1</v>
      </c>
    </row>
    <row r="960" spans="1:8" x14ac:dyDescent="0.25">
      <c r="A960" s="22">
        <v>41895.048611111109</v>
      </c>
      <c r="B960">
        <v>480</v>
      </c>
      <c r="C960">
        <v>94.2</v>
      </c>
      <c r="D960">
        <v>10.4</v>
      </c>
      <c r="E960">
        <v>6</v>
      </c>
      <c r="G960">
        <v>13</v>
      </c>
      <c r="H960" s="23">
        <f t="shared" si="50"/>
        <v>1</v>
      </c>
    </row>
    <row r="961" spans="1:8" x14ac:dyDescent="0.25">
      <c r="A961" s="22">
        <v>41895.052083333336</v>
      </c>
      <c r="B961">
        <v>479.2</v>
      </c>
      <c r="C961">
        <v>94.2</v>
      </c>
      <c r="D961">
        <v>10.3</v>
      </c>
      <c r="E961">
        <v>5.9</v>
      </c>
      <c r="G961">
        <v>13</v>
      </c>
      <c r="H961" s="23">
        <f t="shared" si="50"/>
        <v>1</v>
      </c>
    </row>
    <row r="962" spans="1:8" x14ac:dyDescent="0.25">
      <c r="A962" s="22">
        <v>41895.055555555555</v>
      </c>
      <c r="B962">
        <v>478</v>
      </c>
      <c r="C962">
        <v>94.1</v>
      </c>
      <c r="D962">
        <v>10.3</v>
      </c>
      <c r="E962">
        <v>5.9</v>
      </c>
      <c r="G962">
        <v>13</v>
      </c>
      <c r="H962" s="23">
        <f t="shared" si="50"/>
        <v>1</v>
      </c>
    </row>
    <row r="963" spans="1:8" x14ac:dyDescent="0.25">
      <c r="A963" s="22">
        <v>41895.059027777781</v>
      </c>
      <c r="B963">
        <v>477.5</v>
      </c>
      <c r="C963">
        <v>94.2</v>
      </c>
      <c r="D963">
        <v>10.199999999999999</v>
      </c>
      <c r="E963">
        <v>5.9</v>
      </c>
      <c r="G963">
        <v>13</v>
      </c>
      <c r="H963" s="23">
        <f t="shared" si="50"/>
        <v>1</v>
      </c>
    </row>
    <row r="964" spans="1:8" x14ac:dyDescent="0.25">
      <c r="A964" s="22">
        <v>41895.0625</v>
      </c>
      <c r="B964">
        <v>477.1</v>
      </c>
      <c r="C964">
        <v>94.2</v>
      </c>
      <c r="D964">
        <v>10.199999999999999</v>
      </c>
      <c r="E964">
        <v>5.8</v>
      </c>
      <c r="G964">
        <v>13</v>
      </c>
      <c r="H964" s="23">
        <f t="shared" si="50"/>
        <v>1</v>
      </c>
    </row>
    <row r="965" spans="1:8" x14ac:dyDescent="0.25">
      <c r="A965" s="22">
        <v>41895.065972222219</v>
      </c>
      <c r="B965">
        <v>477.8</v>
      </c>
      <c r="C965">
        <v>94.3</v>
      </c>
      <c r="D965">
        <v>10.199999999999999</v>
      </c>
      <c r="E965">
        <v>5.8</v>
      </c>
      <c r="G965">
        <v>13</v>
      </c>
      <c r="H965" s="23">
        <f t="shared" si="50"/>
        <v>1</v>
      </c>
    </row>
    <row r="966" spans="1:8" x14ac:dyDescent="0.25">
      <c r="A966" s="22">
        <v>41895.069444444445</v>
      </c>
      <c r="B966">
        <v>476</v>
      </c>
      <c r="C966">
        <v>94.1</v>
      </c>
      <c r="D966">
        <v>10.199999999999999</v>
      </c>
      <c r="E966">
        <v>5.8</v>
      </c>
      <c r="G966">
        <v>13</v>
      </c>
      <c r="H966" s="23">
        <f t="shared" ref="H966:H1029" si="51">+HOUR(A966)</f>
        <v>1</v>
      </c>
    </row>
    <row r="967" spans="1:8" x14ac:dyDescent="0.25">
      <c r="A967" s="22">
        <v>41895.072916666664</v>
      </c>
      <c r="B967">
        <v>473.9</v>
      </c>
      <c r="C967">
        <v>94.1</v>
      </c>
      <c r="D967">
        <v>10.1</v>
      </c>
      <c r="E967">
        <v>5.8</v>
      </c>
      <c r="G967">
        <v>13</v>
      </c>
      <c r="H967" s="23">
        <f t="shared" si="51"/>
        <v>1</v>
      </c>
    </row>
    <row r="968" spans="1:8" x14ac:dyDescent="0.25">
      <c r="A968" s="22">
        <v>41895.076388888891</v>
      </c>
      <c r="B968">
        <v>470.1</v>
      </c>
      <c r="C968">
        <v>94.2</v>
      </c>
      <c r="D968">
        <v>10.1</v>
      </c>
      <c r="E968">
        <v>5.8</v>
      </c>
      <c r="G968">
        <v>13</v>
      </c>
      <c r="H968" s="23">
        <f t="shared" si="51"/>
        <v>1</v>
      </c>
    </row>
    <row r="969" spans="1:8" x14ac:dyDescent="0.25">
      <c r="A969" s="22">
        <v>41895.079861111109</v>
      </c>
      <c r="B969">
        <v>465.9</v>
      </c>
      <c r="C969">
        <v>94.2</v>
      </c>
      <c r="D969">
        <v>10</v>
      </c>
      <c r="E969">
        <v>5.8</v>
      </c>
      <c r="G969">
        <v>13</v>
      </c>
      <c r="H969" s="23">
        <f t="shared" si="51"/>
        <v>1</v>
      </c>
    </row>
    <row r="970" spans="1:8" x14ac:dyDescent="0.25">
      <c r="A970" s="22">
        <v>41895.083333333336</v>
      </c>
      <c r="B970">
        <v>462</v>
      </c>
      <c r="C970">
        <v>94.1</v>
      </c>
      <c r="D970">
        <v>10</v>
      </c>
      <c r="E970">
        <v>5.8</v>
      </c>
      <c r="G970">
        <v>13</v>
      </c>
      <c r="H970" s="23">
        <f t="shared" si="51"/>
        <v>2</v>
      </c>
    </row>
    <row r="971" spans="1:8" x14ac:dyDescent="0.25">
      <c r="A971" s="22">
        <v>41895.086805555555</v>
      </c>
      <c r="B971">
        <v>457</v>
      </c>
      <c r="C971">
        <v>94.1</v>
      </c>
      <c r="D971">
        <v>10</v>
      </c>
      <c r="E971">
        <v>5.8</v>
      </c>
      <c r="G971">
        <v>13</v>
      </c>
      <c r="H971" s="23">
        <f t="shared" si="51"/>
        <v>2</v>
      </c>
    </row>
    <row r="972" spans="1:8" x14ac:dyDescent="0.25">
      <c r="A972" s="22">
        <v>41895.090277777781</v>
      </c>
      <c r="B972">
        <v>453.8</v>
      </c>
      <c r="C972">
        <v>94.2</v>
      </c>
      <c r="D972">
        <v>9.9</v>
      </c>
      <c r="E972">
        <v>5.8</v>
      </c>
      <c r="G972">
        <v>13</v>
      </c>
      <c r="H972" s="23">
        <f t="shared" si="51"/>
        <v>2</v>
      </c>
    </row>
    <row r="973" spans="1:8" x14ac:dyDescent="0.25">
      <c r="A973" s="22">
        <v>41895.09375</v>
      </c>
      <c r="B973">
        <v>452.2</v>
      </c>
      <c r="C973">
        <v>94.2</v>
      </c>
      <c r="D973">
        <v>9.9</v>
      </c>
      <c r="E973">
        <v>5.8</v>
      </c>
      <c r="G973">
        <v>13</v>
      </c>
      <c r="H973" s="23">
        <f t="shared" si="51"/>
        <v>2</v>
      </c>
    </row>
    <row r="974" spans="1:8" x14ac:dyDescent="0.25">
      <c r="A974" s="22">
        <v>41895.097222222219</v>
      </c>
      <c r="B974">
        <v>448.5</v>
      </c>
      <c r="C974">
        <v>94.2</v>
      </c>
      <c r="D974">
        <v>9.9</v>
      </c>
      <c r="E974">
        <v>5.8</v>
      </c>
      <c r="G974">
        <v>13</v>
      </c>
      <c r="H974" s="23">
        <f t="shared" si="51"/>
        <v>2</v>
      </c>
    </row>
    <row r="975" spans="1:8" x14ac:dyDescent="0.25">
      <c r="A975" s="22">
        <v>41895.100694444445</v>
      </c>
      <c r="B975">
        <v>446.2</v>
      </c>
      <c r="C975">
        <v>94.2</v>
      </c>
      <c r="D975">
        <v>9.9</v>
      </c>
      <c r="E975">
        <v>5.8</v>
      </c>
      <c r="G975">
        <v>13</v>
      </c>
      <c r="H975" s="23">
        <f t="shared" si="51"/>
        <v>2</v>
      </c>
    </row>
    <row r="976" spans="1:8" x14ac:dyDescent="0.25">
      <c r="A976" s="22">
        <v>41895.104166666664</v>
      </c>
      <c r="B976">
        <v>444.4</v>
      </c>
      <c r="C976">
        <v>94.2</v>
      </c>
      <c r="D976">
        <v>9.8000000000000007</v>
      </c>
      <c r="E976">
        <v>5.8</v>
      </c>
      <c r="G976">
        <v>13</v>
      </c>
      <c r="H976" s="23">
        <f t="shared" si="51"/>
        <v>2</v>
      </c>
    </row>
    <row r="977" spans="1:8" x14ac:dyDescent="0.25">
      <c r="A977" s="22">
        <v>41895.107638888891</v>
      </c>
      <c r="B977">
        <v>440.6</v>
      </c>
      <c r="C977">
        <v>94.3</v>
      </c>
      <c r="D977">
        <v>9.8000000000000007</v>
      </c>
      <c r="E977">
        <v>5.8</v>
      </c>
      <c r="G977">
        <v>13</v>
      </c>
      <c r="H977" s="23">
        <f t="shared" si="51"/>
        <v>2</v>
      </c>
    </row>
    <row r="978" spans="1:8" x14ac:dyDescent="0.25">
      <c r="A978" s="22">
        <v>41895.111111111109</v>
      </c>
      <c r="B978">
        <v>437.6</v>
      </c>
      <c r="C978">
        <v>94.3</v>
      </c>
      <c r="D978">
        <v>9.8000000000000007</v>
      </c>
      <c r="E978">
        <v>5.8</v>
      </c>
      <c r="G978">
        <v>13</v>
      </c>
      <c r="H978" s="23">
        <f t="shared" si="51"/>
        <v>2</v>
      </c>
    </row>
    <row r="979" spans="1:8" x14ac:dyDescent="0.25">
      <c r="A979" s="22">
        <v>41895.114583333336</v>
      </c>
      <c r="B979">
        <v>434.5</v>
      </c>
      <c r="C979">
        <v>94.2</v>
      </c>
      <c r="D979">
        <v>9.6999999999999993</v>
      </c>
      <c r="E979">
        <v>5.8</v>
      </c>
      <c r="G979">
        <v>13</v>
      </c>
      <c r="H979" s="23">
        <f t="shared" si="51"/>
        <v>2</v>
      </c>
    </row>
    <row r="980" spans="1:8" x14ac:dyDescent="0.25">
      <c r="A980" s="22">
        <v>41895.118055555555</v>
      </c>
      <c r="B980">
        <v>433</v>
      </c>
      <c r="C980">
        <v>94.1</v>
      </c>
      <c r="D980">
        <v>9.6999999999999993</v>
      </c>
      <c r="E980">
        <v>5.8</v>
      </c>
      <c r="G980">
        <v>13</v>
      </c>
      <c r="H980" s="23">
        <f t="shared" si="51"/>
        <v>2</v>
      </c>
    </row>
    <row r="981" spans="1:8" x14ac:dyDescent="0.25">
      <c r="A981" s="22">
        <v>41895.121527777781</v>
      </c>
      <c r="B981">
        <v>433.2</v>
      </c>
      <c r="C981">
        <v>94.2</v>
      </c>
      <c r="D981">
        <v>9.6999999999999993</v>
      </c>
      <c r="E981">
        <v>5.8</v>
      </c>
      <c r="G981">
        <v>13</v>
      </c>
      <c r="H981" s="23">
        <f t="shared" si="51"/>
        <v>2</v>
      </c>
    </row>
    <row r="982" spans="1:8" x14ac:dyDescent="0.25">
      <c r="A982" s="22">
        <v>41895.125</v>
      </c>
      <c r="B982">
        <v>434.5</v>
      </c>
      <c r="C982">
        <v>94.2</v>
      </c>
      <c r="D982">
        <v>9.8000000000000007</v>
      </c>
      <c r="E982">
        <v>5.8</v>
      </c>
      <c r="G982">
        <v>13</v>
      </c>
      <c r="H982" s="23">
        <f t="shared" si="51"/>
        <v>3</v>
      </c>
    </row>
    <row r="983" spans="1:8" x14ac:dyDescent="0.25">
      <c r="A983" s="22">
        <v>41895.128472222219</v>
      </c>
      <c r="B983">
        <v>434.4</v>
      </c>
      <c r="C983">
        <v>94.2</v>
      </c>
      <c r="D983">
        <v>9.6999999999999993</v>
      </c>
      <c r="E983">
        <v>5.8</v>
      </c>
      <c r="G983">
        <v>13</v>
      </c>
      <c r="H983" s="23">
        <f t="shared" si="51"/>
        <v>3</v>
      </c>
    </row>
    <row r="984" spans="1:8" x14ac:dyDescent="0.25">
      <c r="A984" s="22">
        <v>41895.131944444445</v>
      </c>
      <c r="B984">
        <v>435.2</v>
      </c>
      <c r="C984">
        <v>94.2</v>
      </c>
      <c r="D984">
        <v>9.8000000000000007</v>
      </c>
      <c r="E984">
        <v>5.8</v>
      </c>
      <c r="G984">
        <v>13</v>
      </c>
      <c r="H984" s="23">
        <f t="shared" si="51"/>
        <v>3</v>
      </c>
    </row>
    <row r="985" spans="1:8" x14ac:dyDescent="0.25">
      <c r="A985" s="22">
        <v>41895.135416666664</v>
      </c>
      <c r="B985">
        <v>433.4</v>
      </c>
      <c r="C985">
        <v>94.2</v>
      </c>
      <c r="D985">
        <v>9.6999999999999993</v>
      </c>
      <c r="E985">
        <v>5.8</v>
      </c>
      <c r="G985">
        <v>13</v>
      </c>
      <c r="H985" s="23">
        <f t="shared" si="51"/>
        <v>3</v>
      </c>
    </row>
    <row r="986" spans="1:8" x14ac:dyDescent="0.25">
      <c r="A986" s="22">
        <v>41895.138888888891</v>
      </c>
      <c r="B986">
        <v>431</v>
      </c>
      <c r="C986">
        <v>94.2</v>
      </c>
      <c r="D986">
        <v>9.6999999999999993</v>
      </c>
      <c r="E986">
        <v>5.8</v>
      </c>
      <c r="G986">
        <v>13</v>
      </c>
      <c r="H986" s="23">
        <f t="shared" si="51"/>
        <v>3</v>
      </c>
    </row>
    <row r="987" spans="1:8" x14ac:dyDescent="0.25">
      <c r="A987" s="22">
        <v>41895.142361111109</v>
      </c>
      <c r="B987">
        <v>430</v>
      </c>
      <c r="C987">
        <v>94.2</v>
      </c>
      <c r="D987">
        <v>9.6999999999999993</v>
      </c>
      <c r="E987">
        <v>5.8</v>
      </c>
      <c r="G987">
        <v>13</v>
      </c>
      <c r="H987" s="23">
        <f t="shared" si="51"/>
        <v>3</v>
      </c>
    </row>
    <row r="988" spans="1:8" x14ac:dyDescent="0.25">
      <c r="A988" s="22">
        <v>41895.145833333336</v>
      </c>
      <c r="B988">
        <v>428.8</v>
      </c>
      <c r="C988">
        <v>94.2</v>
      </c>
      <c r="D988">
        <v>9.6999999999999993</v>
      </c>
      <c r="E988">
        <v>5.8</v>
      </c>
      <c r="G988">
        <v>13</v>
      </c>
      <c r="H988" s="23">
        <f t="shared" si="51"/>
        <v>3</v>
      </c>
    </row>
    <row r="989" spans="1:8" x14ac:dyDescent="0.25">
      <c r="A989" s="22">
        <v>41895.149305555555</v>
      </c>
      <c r="B989">
        <v>427.4</v>
      </c>
      <c r="C989">
        <v>94.1</v>
      </c>
      <c r="D989">
        <v>9.6999999999999993</v>
      </c>
      <c r="E989">
        <v>5.8</v>
      </c>
      <c r="G989">
        <v>13</v>
      </c>
      <c r="H989" s="23">
        <f t="shared" si="51"/>
        <v>3</v>
      </c>
    </row>
    <row r="990" spans="1:8" x14ac:dyDescent="0.25">
      <c r="A990" s="22">
        <v>41895.152777777781</v>
      </c>
      <c r="B990">
        <v>428.1</v>
      </c>
      <c r="C990">
        <v>94.3</v>
      </c>
      <c r="D990">
        <v>9.6999999999999993</v>
      </c>
      <c r="E990">
        <v>5.8</v>
      </c>
      <c r="G990">
        <v>13</v>
      </c>
      <c r="H990" s="23">
        <f t="shared" si="51"/>
        <v>3</v>
      </c>
    </row>
    <row r="991" spans="1:8" x14ac:dyDescent="0.25">
      <c r="A991" s="22">
        <v>41895.15625</v>
      </c>
      <c r="B991">
        <v>428.7</v>
      </c>
      <c r="C991">
        <v>94.3</v>
      </c>
      <c r="D991">
        <v>9.6999999999999993</v>
      </c>
      <c r="E991">
        <v>5.8</v>
      </c>
      <c r="G991">
        <v>13</v>
      </c>
      <c r="H991" s="23">
        <f t="shared" si="51"/>
        <v>3</v>
      </c>
    </row>
    <row r="992" spans="1:8" x14ac:dyDescent="0.25">
      <c r="A992" s="22">
        <v>41895.159722222219</v>
      </c>
      <c r="B992">
        <v>428.4</v>
      </c>
      <c r="C992">
        <v>94.2</v>
      </c>
      <c r="D992">
        <v>9.6999999999999993</v>
      </c>
      <c r="E992">
        <v>5.8</v>
      </c>
      <c r="G992">
        <v>13</v>
      </c>
      <c r="H992" s="23">
        <f t="shared" si="51"/>
        <v>3</v>
      </c>
    </row>
    <row r="993" spans="1:8" x14ac:dyDescent="0.25">
      <c r="A993" s="22">
        <v>41895.163194444445</v>
      </c>
      <c r="B993">
        <v>428.5</v>
      </c>
      <c r="C993">
        <v>94.1</v>
      </c>
      <c r="D993">
        <v>9.6999999999999993</v>
      </c>
      <c r="E993">
        <v>5.8</v>
      </c>
      <c r="G993">
        <v>13</v>
      </c>
      <c r="H993" s="23">
        <f t="shared" si="51"/>
        <v>3</v>
      </c>
    </row>
    <row r="994" spans="1:8" x14ac:dyDescent="0.25">
      <c r="A994" s="22">
        <v>41895.166666666664</v>
      </c>
      <c r="B994">
        <v>428.1</v>
      </c>
      <c r="C994">
        <v>94.3</v>
      </c>
      <c r="D994">
        <v>9.6999999999999993</v>
      </c>
      <c r="E994">
        <v>5.8</v>
      </c>
      <c r="G994">
        <v>13</v>
      </c>
      <c r="H994" s="23">
        <f t="shared" si="51"/>
        <v>4</v>
      </c>
    </row>
    <row r="995" spans="1:8" x14ac:dyDescent="0.25">
      <c r="A995" s="22">
        <v>41895.170138888891</v>
      </c>
      <c r="B995">
        <v>428.2</v>
      </c>
      <c r="C995">
        <v>94.3</v>
      </c>
      <c r="D995">
        <v>9.6999999999999993</v>
      </c>
      <c r="E995">
        <v>5.8</v>
      </c>
      <c r="G995">
        <v>13</v>
      </c>
      <c r="H995" s="23">
        <f t="shared" si="51"/>
        <v>4</v>
      </c>
    </row>
    <row r="996" spans="1:8" x14ac:dyDescent="0.25">
      <c r="A996" s="22">
        <v>41895.173611111109</v>
      </c>
      <c r="B996">
        <v>428.6</v>
      </c>
      <c r="C996">
        <v>94.2</v>
      </c>
      <c r="D996">
        <v>9.6999999999999993</v>
      </c>
      <c r="E996">
        <v>5.8</v>
      </c>
      <c r="G996">
        <v>13</v>
      </c>
      <c r="H996" s="23">
        <f t="shared" si="51"/>
        <v>4</v>
      </c>
    </row>
    <row r="997" spans="1:8" x14ac:dyDescent="0.25">
      <c r="A997" s="22">
        <v>41895.177083333336</v>
      </c>
      <c r="B997">
        <v>425.8</v>
      </c>
      <c r="C997">
        <v>94.2</v>
      </c>
      <c r="D997">
        <v>9.6999999999999993</v>
      </c>
      <c r="E997">
        <v>5.8</v>
      </c>
      <c r="G997">
        <v>13</v>
      </c>
      <c r="H997" s="23">
        <f t="shared" si="51"/>
        <v>4</v>
      </c>
    </row>
    <row r="998" spans="1:8" x14ac:dyDescent="0.25">
      <c r="A998" s="22">
        <v>41895.180555555555</v>
      </c>
      <c r="B998">
        <v>425</v>
      </c>
      <c r="C998">
        <v>94.2</v>
      </c>
      <c r="D998">
        <v>9.6999999999999993</v>
      </c>
      <c r="E998">
        <v>5.8</v>
      </c>
      <c r="G998">
        <v>13</v>
      </c>
      <c r="H998" s="23">
        <f t="shared" si="51"/>
        <v>4</v>
      </c>
    </row>
    <row r="999" spans="1:8" x14ac:dyDescent="0.25">
      <c r="A999" s="22">
        <v>41895.184027777781</v>
      </c>
      <c r="B999">
        <v>424.7</v>
      </c>
      <c r="C999">
        <v>94.2</v>
      </c>
      <c r="D999">
        <v>9.6999999999999993</v>
      </c>
      <c r="E999">
        <v>5.8</v>
      </c>
      <c r="G999">
        <v>13</v>
      </c>
      <c r="H999" s="23">
        <f t="shared" si="51"/>
        <v>4</v>
      </c>
    </row>
    <row r="1000" spans="1:8" x14ac:dyDescent="0.25">
      <c r="A1000" s="22">
        <v>41895.1875</v>
      </c>
      <c r="B1000">
        <v>425.3</v>
      </c>
      <c r="C1000">
        <v>94.2</v>
      </c>
      <c r="D1000">
        <v>9.6999999999999993</v>
      </c>
      <c r="E1000">
        <v>5.8</v>
      </c>
      <c r="G1000">
        <v>13</v>
      </c>
      <c r="H1000" s="23">
        <f t="shared" si="51"/>
        <v>4</v>
      </c>
    </row>
    <row r="1001" spans="1:8" x14ac:dyDescent="0.25">
      <c r="A1001" s="22">
        <v>41895.190972222219</v>
      </c>
      <c r="B1001">
        <v>425.4</v>
      </c>
      <c r="C1001">
        <v>94.2</v>
      </c>
      <c r="D1001">
        <v>9.6999999999999993</v>
      </c>
      <c r="E1001">
        <v>5.8</v>
      </c>
      <c r="G1001">
        <v>13</v>
      </c>
      <c r="H1001" s="23">
        <f t="shared" si="51"/>
        <v>4</v>
      </c>
    </row>
    <row r="1002" spans="1:8" x14ac:dyDescent="0.25">
      <c r="A1002" s="22">
        <v>41895.194444444445</v>
      </c>
      <c r="B1002">
        <v>422.3</v>
      </c>
      <c r="C1002">
        <v>94.1</v>
      </c>
      <c r="D1002">
        <v>9.6</v>
      </c>
      <c r="E1002">
        <v>5.8</v>
      </c>
      <c r="G1002">
        <v>13</v>
      </c>
      <c r="H1002" s="23">
        <f t="shared" si="51"/>
        <v>4</v>
      </c>
    </row>
    <row r="1003" spans="1:8" x14ac:dyDescent="0.25">
      <c r="A1003" s="22">
        <v>41895.197916666664</v>
      </c>
      <c r="B1003">
        <v>419.9</v>
      </c>
      <c r="C1003">
        <v>94.2</v>
      </c>
      <c r="D1003">
        <v>9.6</v>
      </c>
      <c r="E1003">
        <v>5.8</v>
      </c>
      <c r="G1003">
        <v>13</v>
      </c>
      <c r="H1003" s="23">
        <f t="shared" si="51"/>
        <v>4</v>
      </c>
    </row>
    <row r="1004" spans="1:8" x14ac:dyDescent="0.25">
      <c r="A1004" s="22">
        <v>41895.201388888891</v>
      </c>
      <c r="B1004">
        <v>418.8</v>
      </c>
      <c r="C1004">
        <v>94.2</v>
      </c>
      <c r="D1004">
        <v>9.6</v>
      </c>
      <c r="E1004">
        <v>5.8</v>
      </c>
      <c r="G1004">
        <v>13</v>
      </c>
      <c r="H1004" s="23">
        <f t="shared" si="51"/>
        <v>4</v>
      </c>
    </row>
    <row r="1005" spans="1:8" x14ac:dyDescent="0.25">
      <c r="A1005" s="22">
        <v>41895.204861111109</v>
      </c>
      <c r="B1005">
        <v>416.6</v>
      </c>
      <c r="C1005">
        <v>94.2</v>
      </c>
      <c r="D1005">
        <v>9.6</v>
      </c>
      <c r="E1005">
        <v>5.8</v>
      </c>
      <c r="G1005">
        <v>13</v>
      </c>
      <c r="H1005" s="23">
        <f t="shared" si="51"/>
        <v>4</v>
      </c>
    </row>
    <row r="1006" spans="1:8" x14ac:dyDescent="0.25">
      <c r="A1006" s="22">
        <v>41895.208333333336</v>
      </c>
      <c r="B1006">
        <v>417.6</v>
      </c>
      <c r="C1006">
        <v>94.2</v>
      </c>
      <c r="D1006">
        <v>9.6</v>
      </c>
      <c r="E1006">
        <v>5.8</v>
      </c>
      <c r="G1006">
        <v>13</v>
      </c>
      <c r="H1006" s="23">
        <f t="shared" si="51"/>
        <v>5</v>
      </c>
    </row>
    <row r="1007" spans="1:8" x14ac:dyDescent="0.25">
      <c r="A1007" s="22">
        <v>41895.211805555555</v>
      </c>
      <c r="B1007">
        <v>418.2</v>
      </c>
      <c r="C1007">
        <v>94.2</v>
      </c>
      <c r="D1007">
        <v>9.6</v>
      </c>
      <c r="E1007">
        <v>5.8</v>
      </c>
      <c r="G1007">
        <v>13</v>
      </c>
      <c r="H1007" s="23">
        <f t="shared" si="51"/>
        <v>5</v>
      </c>
    </row>
    <row r="1008" spans="1:8" x14ac:dyDescent="0.25">
      <c r="A1008" s="22">
        <v>41895.215277777781</v>
      </c>
      <c r="B1008">
        <v>419.1</v>
      </c>
      <c r="C1008">
        <v>94.2</v>
      </c>
      <c r="D1008">
        <v>9.6</v>
      </c>
      <c r="E1008">
        <v>5.8</v>
      </c>
      <c r="G1008">
        <v>13</v>
      </c>
      <c r="H1008" s="23">
        <f t="shared" si="51"/>
        <v>5</v>
      </c>
    </row>
    <row r="1009" spans="1:8" x14ac:dyDescent="0.25">
      <c r="A1009" s="22">
        <v>41895.21875</v>
      </c>
      <c r="B1009">
        <v>416.7</v>
      </c>
      <c r="C1009">
        <v>94.2</v>
      </c>
      <c r="D1009">
        <v>9.6</v>
      </c>
      <c r="E1009">
        <v>5.8</v>
      </c>
      <c r="G1009">
        <v>13</v>
      </c>
      <c r="H1009" s="23">
        <f t="shared" si="51"/>
        <v>5</v>
      </c>
    </row>
    <row r="1010" spans="1:8" x14ac:dyDescent="0.25">
      <c r="A1010" s="22">
        <v>41895.222222222219</v>
      </c>
      <c r="B1010">
        <v>415.1</v>
      </c>
      <c r="C1010">
        <v>94.2</v>
      </c>
      <c r="D1010">
        <v>9.6</v>
      </c>
      <c r="E1010">
        <v>5.8</v>
      </c>
      <c r="G1010">
        <v>13</v>
      </c>
      <c r="H1010" s="23">
        <f t="shared" si="51"/>
        <v>5</v>
      </c>
    </row>
    <row r="1011" spans="1:8" x14ac:dyDescent="0.25">
      <c r="A1011" s="22">
        <v>41895.225694444445</v>
      </c>
      <c r="B1011">
        <v>413.1</v>
      </c>
      <c r="C1011">
        <v>94.1</v>
      </c>
      <c r="D1011">
        <v>9.6</v>
      </c>
      <c r="E1011">
        <v>5.8</v>
      </c>
      <c r="G1011">
        <v>13</v>
      </c>
      <c r="H1011" s="23">
        <f t="shared" si="51"/>
        <v>5</v>
      </c>
    </row>
    <row r="1012" spans="1:8" x14ac:dyDescent="0.25">
      <c r="A1012" s="22">
        <v>41895.229166666664</v>
      </c>
      <c r="B1012">
        <v>414.8</v>
      </c>
      <c r="C1012">
        <v>94.2</v>
      </c>
      <c r="D1012">
        <v>9.6</v>
      </c>
      <c r="E1012">
        <v>5.8</v>
      </c>
      <c r="G1012">
        <v>13</v>
      </c>
      <c r="H1012" s="23">
        <f t="shared" si="51"/>
        <v>5</v>
      </c>
    </row>
    <row r="1013" spans="1:8" x14ac:dyDescent="0.25">
      <c r="A1013" s="22">
        <v>41895.232638888891</v>
      </c>
      <c r="B1013">
        <v>412.2</v>
      </c>
      <c r="C1013">
        <v>94.2</v>
      </c>
      <c r="D1013">
        <v>9.5</v>
      </c>
      <c r="E1013">
        <v>5.8</v>
      </c>
      <c r="G1013">
        <v>13</v>
      </c>
      <c r="H1013" s="23">
        <f t="shared" si="51"/>
        <v>5</v>
      </c>
    </row>
    <row r="1014" spans="1:8" x14ac:dyDescent="0.25">
      <c r="A1014" s="22">
        <v>41895.236111111109</v>
      </c>
      <c r="B1014">
        <v>412.7</v>
      </c>
      <c r="C1014">
        <v>94.2</v>
      </c>
      <c r="D1014">
        <v>9.6</v>
      </c>
      <c r="E1014">
        <v>5.8</v>
      </c>
      <c r="G1014">
        <v>13</v>
      </c>
      <c r="H1014" s="23">
        <f t="shared" si="51"/>
        <v>5</v>
      </c>
    </row>
    <row r="1015" spans="1:8" x14ac:dyDescent="0.25">
      <c r="A1015" s="22">
        <v>41895.239583333336</v>
      </c>
      <c r="B1015">
        <v>414.4</v>
      </c>
      <c r="C1015">
        <v>94.1</v>
      </c>
      <c r="D1015">
        <v>9.6</v>
      </c>
      <c r="E1015">
        <v>5.8</v>
      </c>
      <c r="G1015">
        <v>13</v>
      </c>
      <c r="H1015" s="23">
        <f t="shared" si="51"/>
        <v>5</v>
      </c>
    </row>
    <row r="1016" spans="1:8" x14ac:dyDescent="0.25">
      <c r="A1016" s="22">
        <v>41895.243055555555</v>
      </c>
      <c r="B1016">
        <v>411.9</v>
      </c>
      <c r="C1016">
        <v>94.3</v>
      </c>
      <c r="D1016">
        <v>9.5</v>
      </c>
      <c r="E1016">
        <v>5.8</v>
      </c>
      <c r="G1016">
        <v>13</v>
      </c>
      <c r="H1016" s="23">
        <f t="shared" si="51"/>
        <v>5</v>
      </c>
    </row>
    <row r="1017" spans="1:8" x14ac:dyDescent="0.25">
      <c r="A1017" s="22">
        <v>41895.246527777781</v>
      </c>
      <c r="B1017">
        <v>409.2</v>
      </c>
      <c r="C1017">
        <v>94.2</v>
      </c>
      <c r="D1017">
        <v>9.5</v>
      </c>
      <c r="E1017">
        <v>5.8</v>
      </c>
      <c r="G1017">
        <v>13</v>
      </c>
      <c r="H1017" s="23">
        <f t="shared" si="51"/>
        <v>5</v>
      </c>
    </row>
    <row r="1018" spans="1:8" x14ac:dyDescent="0.25">
      <c r="A1018" s="22">
        <v>41895.25</v>
      </c>
      <c r="B1018">
        <v>405.5</v>
      </c>
      <c r="C1018">
        <v>94.2</v>
      </c>
      <c r="D1018">
        <v>9.5</v>
      </c>
      <c r="E1018">
        <v>5.8</v>
      </c>
      <c r="G1018">
        <v>13</v>
      </c>
      <c r="H1018" s="23">
        <f t="shared" si="51"/>
        <v>6</v>
      </c>
    </row>
    <row r="1019" spans="1:8" x14ac:dyDescent="0.25">
      <c r="A1019" s="22">
        <v>41895.253472222219</v>
      </c>
      <c r="B1019">
        <v>402.5</v>
      </c>
      <c r="C1019">
        <v>94.1</v>
      </c>
      <c r="D1019">
        <v>9.4</v>
      </c>
      <c r="E1019">
        <v>5.8</v>
      </c>
      <c r="G1019">
        <v>13</v>
      </c>
      <c r="H1019" s="23">
        <f t="shared" si="51"/>
        <v>6</v>
      </c>
    </row>
    <row r="1020" spans="1:8" x14ac:dyDescent="0.25">
      <c r="A1020" s="22">
        <v>41895.256944444445</v>
      </c>
      <c r="B1020">
        <v>403.2</v>
      </c>
      <c r="C1020">
        <v>94.1</v>
      </c>
      <c r="D1020">
        <v>9.5</v>
      </c>
      <c r="E1020">
        <v>5.8</v>
      </c>
      <c r="G1020">
        <v>13</v>
      </c>
      <c r="H1020" s="23">
        <f t="shared" si="51"/>
        <v>6</v>
      </c>
    </row>
    <row r="1021" spans="1:8" x14ac:dyDescent="0.25">
      <c r="A1021" s="22">
        <v>41895.260416666664</v>
      </c>
      <c r="B1021">
        <v>403.5</v>
      </c>
      <c r="C1021">
        <v>94.2</v>
      </c>
      <c r="D1021">
        <v>9.5</v>
      </c>
      <c r="E1021">
        <v>5.8</v>
      </c>
      <c r="G1021">
        <v>13</v>
      </c>
      <c r="H1021" s="23">
        <f t="shared" si="51"/>
        <v>6</v>
      </c>
    </row>
    <row r="1022" spans="1:8" x14ac:dyDescent="0.25">
      <c r="A1022" s="22">
        <v>41895.263888888891</v>
      </c>
      <c r="B1022">
        <v>400.5</v>
      </c>
      <c r="C1022">
        <v>94.2</v>
      </c>
      <c r="D1022">
        <v>9.4</v>
      </c>
      <c r="E1022">
        <v>5.8</v>
      </c>
      <c r="G1022">
        <v>13</v>
      </c>
      <c r="H1022" s="23">
        <f t="shared" si="51"/>
        <v>6</v>
      </c>
    </row>
    <row r="1023" spans="1:8" x14ac:dyDescent="0.25">
      <c r="A1023" s="22">
        <v>41895.267361111109</v>
      </c>
      <c r="B1023">
        <v>400.3</v>
      </c>
      <c r="C1023">
        <v>94.2</v>
      </c>
      <c r="D1023">
        <v>9.4</v>
      </c>
      <c r="E1023">
        <v>5.8</v>
      </c>
      <c r="G1023">
        <v>13</v>
      </c>
      <c r="H1023" s="23">
        <f t="shared" si="51"/>
        <v>6</v>
      </c>
    </row>
    <row r="1024" spans="1:8" x14ac:dyDescent="0.25">
      <c r="A1024" s="22">
        <v>41895.270833333336</v>
      </c>
      <c r="B1024">
        <v>402.2</v>
      </c>
      <c r="C1024">
        <v>94.2</v>
      </c>
      <c r="D1024">
        <v>9.5</v>
      </c>
      <c r="E1024">
        <v>5.8</v>
      </c>
      <c r="G1024">
        <v>13</v>
      </c>
      <c r="H1024" s="23">
        <f t="shared" si="51"/>
        <v>6</v>
      </c>
    </row>
    <row r="1025" spans="1:8" x14ac:dyDescent="0.25">
      <c r="A1025" s="22">
        <v>41895.274305555555</v>
      </c>
      <c r="B1025">
        <v>401.1</v>
      </c>
      <c r="C1025">
        <v>94.1</v>
      </c>
      <c r="D1025">
        <v>9.4</v>
      </c>
      <c r="E1025">
        <v>5.8</v>
      </c>
      <c r="G1025">
        <v>13</v>
      </c>
      <c r="H1025" s="23">
        <f t="shared" si="51"/>
        <v>6</v>
      </c>
    </row>
    <row r="1026" spans="1:8" x14ac:dyDescent="0.25">
      <c r="A1026" s="22">
        <v>41895.277777777781</v>
      </c>
      <c r="B1026">
        <v>399.4</v>
      </c>
      <c r="C1026">
        <v>94.2</v>
      </c>
      <c r="D1026">
        <v>9.4</v>
      </c>
      <c r="E1026">
        <v>5.8</v>
      </c>
      <c r="G1026">
        <v>13</v>
      </c>
      <c r="H1026" s="23">
        <f t="shared" si="51"/>
        <v>6</v>
      </c>
    </row>
    <row r="1027" spans="1:8" x14ac:dyDescent="0.25">
      <c r="A1027" s="22">
        <v>41895.28125</v>
      </c>
      <c r="B1027">
        <v>412.8</v>
      </c>
      <c r="C1027">
        <v>94.2</v>
      </c>
      <c r="D1027">
        <v>9.6</v>
      </c>
      <c r="E1027">
        <v>5.8</v>
      </c>
      <c r="G1027">
        <v>13</v>
      </c>
      <c r="H1027" s="23">
        <f t="shared" si="51"/>
        <v>6</v>
      </c>
    </row>
    <row r="1028" spans="1:8" x14ac:dyDescent="0.25">
      <c r="A1028" s="22">
        <v>41895.284722222219</v>
      </c>
      <c r="B1028">
        <v>390.3</v>
      </c>
      <c r="C1028">
        <v>94.2</v>
      </c>
      <c r="D1028">
        <v>9.3000000000000007</v>
      </c>
      <c r="E1028">
        <v>5.7</v>
      </c>
      <c r="G1028">
        <v>13</v>
      </c>
      <c r="H1028" s="23">
        <f t="shared" si="51"/>
        <v>6</v>
      </c>
    </row>
    <row r="1029" spans="1:8" x14ac:dyDescent="0.25">
      <c r="A1029" s="22">
        <v>41895.288194444445</v>
      </c>
      <c r="B1029">
        <v>377.9</v>
      </c>
      <c r="C1029">
        <v>94.3</v>
      </c>
      <c r="D1029">
        <v>9.1999999999999993</v>
      </c>
      <c r="E1029">
        <v>5.8</v>
      </c>
      <c r="G1029">
        <v>13</v>
      </c>
      <c r="H1029" s="23">
        <f t="shared" si="51"/>
        <v>6</v>
      </c>
    </row>
    <row r="1030" spans="1:8" x14ac:dyDescent="0.25">
      <c r="A1030" s="22">
        <v>41895.291666666664</v>
      </c>
      <c r="B1030">
        <v>377.3</v>
      </c>
      <c r="C1030">
        <v>94.3</v>
      </c>
      <c r="D1030">
        <v>9.1999999999999993</v>
      </c>
      <c r="E1030">
        <v>5.8</v>
      </c>
      <c r="G1030">
        <v>13</v>
      </c>
      <c r="H1030" s="23">
        <f t="shared" ref="H1030:H1093" si="52">+HOUR(A1030)</f>
        <v>7</v>
      </c>
    </row>
    <row r="1031" spans="1:8" x14ac:dyDescent="0.25">
      <c r="A1031" s="22">
        <v>41895.295138888891</v>
      </c>
      <c r="B1031">
        <v>376.3</v>
      </c>
      <c r="C1031">
        <v>94.3</v>
      </c>
      <c r="D1031">
        <v>9.1999999999999993</v>
      </c>
      <c r="E1031">
        <v>5.8</v>
      </c>
      <c r="G1031">
        <v>13</v>
      </c>
      <c r="H1031" s="23">
        <f t="shared" si="52"/>
        <v>7</v>
      </c>
    </row>
    <row r="1032" spans="1:8" x14ac:dyDescent="0.25">
      <c r="A1032" s="22">
        <v>41895.298611111109</v>
      </c>
      <c r="B1032">
        <v>397.6</v>
      </c>
      <c r="C1032">
        <v>94.2</v>
      </c>
      <c r="D1032">
        <v>9.5</v>
      </c>
      <c r="E1032">
        <v>5.8</v>
      </c>
      <c r="G1032">
        <v>13</v>
      </c>
      <c r="H1032" s="23">
        <f t="shared" si="52"/>
        <v>7</v>
      </c>
    </row>
    <row r="1033" spans="1:8" x14ac:dyDescent="0.25">
      <c r="A1033" s="22">
        <v>41895.302083333336</v>
      </c>
      <c r="B1033">
        <v>430.6</v>
      </c>
      <c r="C1033">
        <v>94.2</v>
      </c>
      <c r="D1033">
        <v>9.8000000000000007</v>
      </c>
      <c r="E1033">
        <v>5.9</v>
      </c>
      <c r="G1033">
        <v>13</v>
      </c>
      <c r="H1033" s="23">
        <f t="shared" si="52"/>
        <v>7</v>
      </c>
    </row>
    <row r="1034" spans="1:8" x14ac:dyDescent="0.25">
      <c r="A1034" s="22">
        <v>41895.305555555555</v>
      </c>
      <c r="B1034">
        <v>435</v>
      </c>
      <c r="C1034">
        <v>94.2</v>
      </c>
      <c r="D1034">
        <v>9.8000000000000007</v>
      </c>
      <c r="E1034">
        <v>5.8</v>
      </c>
      <c r="G1034">
        <v>13</v>
      </c>
      <c r="H1034" s="23">
        <f t="shared" si="52"/>
        <v>7</v>
      </c>
    </row>
    <row r="1035" spans="1:8" x14ac:dyDescent="0.25">
      <c r="A1035" s="22">
        <v>41895.309027777781</v>
      </c>
      <c r="B1035">
        <v>439.9</v>
      </c>
      <c r="C1035">
        <v>94.3</v>
      </c>
      <c r="D1035">
        <v>9.8000000000000007</v>
      </c>
      <c r="E1035">
        <v>5.8</v>
      </c>
      <c r="G1035">
        <v>13</v>
      </c>
      <c r="H1035" s="23">
        <f t="shared" si="52"/>
        <v>7</v>
      </c>
    </row>
    <row r="1036" spans="1:8" x14ac:dyDescent="0.25">
      <c r="A1036" s="22">
        <v>41895.3125</v>
      </c>
      <c r="B1036">
        <v>446.7</v>
      </c>
      <c r="C1036">
        <v>94.2</v>
      </c>
      <c r="D1036">
        <v>9.9</v>
      </c>
      <c r="E1036">
        <v>5.8</v>
      </c>
      <c r="G1036">
        <v>13</v>
      </c>
      <c r="H1036" s="23">
        <f t="shared" si="52"/>
        <v>7</v>
      </c>
    </row>
    <row r="1037" spans="1:8" x14ac:dyDescent="0.25">
      <c r="A1037" s="22">
        <v>41895.315972222219</v>
      </c>
      <c r="B1037">
        <v>455.9</v>
      </c>
      <c r="C1037">
        <v>94.2</v>
      </c>
      <c r="D1037">
        <v>10</v>
      </c>
      <c r="E1037">
        <v>5.8</v>
      </c>
      <c r="G1037">
        <v>13</v>
      </c>
      <c r="H1037" s="23">
        <f t="shared" si="52"/>
        <v>7</v>
      </c>
    </row>
    <row r="1038" spans="1:8" x14ac:dyDescent="0.25">
      <c r="A1038" s="22">
        <v>41895.319444444445</v>
      </c>
      <c r="B1038">
        <v>461.7</v>
      </c>
      <c r="C1038">
        <v>94.2</v>
      </c>
      <c r="D1038">
        <v>10</v>
      </c>
      <c r="E1038">
        <v>5.8</v>
      </c>
      <c r="G1038">
        <v>13</v>
      </c>
      <c r="H1038" s="23">
        <f t="shared" si="52"/>
        <v>7</v>
      </c>
    </row>
    <row r="1039" spans="1:8" x14ac:dyDescent="0.25">
      <c r="A1039" s="22">
        <v>41895.322916666664</v>
      </c>
      <c r="B1039">
        <v>463.1</v>
      </c>
      <c r="C1039">
        <v>94.3</v>
      </c>
      <c r="D1039">
        <v>10</v>
      </c>
      <c r="E1039">
        <v>5.8</v>
      </c>
      <c r="G1039">
        <v>13</v>
      </c>
      <c r="H1039" s="23">
        <f t="shared" si="52"/>
        <v>7</v>
      </c>
    </row>
    <row r="1040" spans="1:8" x14ac:dyDescent="0.25">
      <c r="A1040" s="22">
        <v>41895.326388888891</v>
      </c>
      <c r="B1040">
        <v>462</v>
      </c>
      <c r="C1040">
        <v>94.2</v>
      </c>
      <c r="D1040">
        <v>10.1</v>
      </c>
      <c r="E1040">
        <v>5.8</v>
      </c>
      <c r="G1040">
        <v>13</v>
      </c>
      <c r="H1040" s="23">
        <f t="shared" si="52"/>
        <v>7</v>
      </c>
    </row>
    <row r="1041" spans="1:8" x14ac:dyDescent="0.25">
      <c r="A1041" s="22">
        <v>41895.329861111109</v>
      </c>
      <c r="B1041">
        <v>461.6</v>
      </c>
      <c r="C1041">
        <v>94.2</v>
      </c>
      <c r="D1041">
        <v>10</v>
      </c>
      <c r="E1041">
        <v>5.8</v>
      </c>
      <c r="G1041">
        <v>13</v>
      </c>
      <c r="H1041" s="23">
        <f t="shared" si="52"/>
        <v>7</v>
      </c>
    </row>
    <row r="1042" spans="1:8" x14ac:dyDescent="0.25">
      <c r="A1042" s="22">
        <v>41895.333333333336</v>
      </c>
      <c r="B1042">
        <v>463.3</v>
      </c>
      <c r="C1042">
        <v>94.2</v>
      </c>
      <c r="D1042">
        <v>10.1</v>
      </c>
      <c r="E1042">
        <v>5.8</v>
      </c>
      <c r="G1042">
        <v>13</v>
      </c>
      <c r="H1042" s="23">
        <f t="shared" si="52"/>
        <v>8</v>
      </c>
    </row>
    <row r="1043" spans="1:8" x14ac:dyDescent="0.25">
      <c r="A1043" s="22">
        <v>41895.336805555555</v>
      </c>
      <c r="B1043">
        <v>466.8</v>
      </c>
      <c r="C1043">
        <v>94.3</v>
      </c>
      <c r="D1043">
        <v>10.1</v>
      </c>
      <c r="E1043">
        <v>5.9</v>
      </c>
      <c r="G1043">
        <v>13</v>
      </c>
      <c r="H1043" s="23">
        <f t="shared" si="52"/>
        <v>8</v>
      </c>
    </row>
    <row r="1044" spans="1:8" x14ac:dyDescent="0.25">
      <c r="A1044" s="22">
        <v>41895.340277777781</v>
      </c>
      <c r="B1044">
        <v>464.6</v>
      </c>
      <c r="C1044">
        <v>94.2</v>
      </c>
      <c r="D1044">
        <v>10.1</v>
      </c>
      <c r="E1044">
        <v>5.9</v>
      </c>
      <c r="G1044">
        <v>13</v>
      </c>
      <c r="H1044" s="23">
        <f t="shared" si="52"/>
        <v>8</v>
      </c>
    </row>
    <row r="1045" spans="1:8" x14ac:dyDescent="0.25">
      <c r="A1045" s="22">
        <v>41895.34375</v>
      </c>
      <c r="B1045">
        <v>465.1</v>
      </c>
      <c r="C1045">
        <v>94.2</v>
      </c>
      <c r="D1045">
        <v>10.1</v>
      </c>
      <c r="E1045">
        <v>5.9</v>
      </c>
      <c r="G1045">
        <v>13</v>
      </c>
      <c r="H1045" s="23">
        <f t="shared" si="52"/>
        <v>8</v>
      </c>
    </row>
    <row r="1046" spans="1:8" x14ac:dyDescent="0.25">
      <c r="A1046" s="22">
        <v>41895.347222222219</v>
      </c>
      <c r="B1046">
        <v>464.7</v>
      </c>
      <c r="C1046">
        <v>94.2</v>
      </c>
      <c r="D1046">
        <v>10.1</v>
      </c>
      <c r="E1046">
        <v>5.9</v>
      </c>
      <c r="G1046">
        <v>13</v>
      </c>
      <c r="H1046" s="23">
        <f t="shared" si="52"/>
        <v>8</v>
      </c>
    </row>
    <row r="1047" spans="1:8" x14ac:dyDescent="0.25">
      <c r="A1047" s="22">
        <v>41895.350694444445</v>
      </c>
      <c r="B1047">
        <v>464.2</v>
      </c>
      <c r="C1047">
        <v>94.2</v>
      </c>
      <c r="D1047">
        <v>10.1</v>
      </c>
      <c r="E1047">
        <v>5.8</v>
      </c>
      <c r="G1047">
        <v>13</v>
      </c>
      <c r="H1047" s="23">
        <f t="shared" si="52"/>
        <v>8</v>
      </c>
    </row>
    <row r="1048" spans="1:8" x14ac:dyDescent="0.25">
      <c r="A1048" s="22">
        <v>41895.354166666664</v>
      </c>
      <c r="B1048">
        <v>463.9</v>
      </c>
      <c r="C1048">
        <v>94.3</v>
      </c>
      <c r="D1048">
        <v>10</v>
      </c>
      <c r="E1048">
        <v>5.8</v>
      </c>
      <c r="G1048">
        <v>13</v>
      </c>
      <c r="H1048" s="23">
        <f t="shared" si="52"/>
        <v>8</v>
      </c>
    </row>
    <row r="1049" spans="1:8" x14ac:dyDescent="0.25">
      <c r="A1049" s="22">
        <v>41895.357638888891</v>
      </c>
      <c r="B1049">
        <v>462.8</v>
      </c>
      <c r="C1049">
        <v>94.2</v>
      </c>
      <c r="D1049">
        <v>10</v>
      </c>
      <c r="E1049">
        <v>5.8</v>
      </c>
      <c r="G1049">
        <v>13</v>
      </c>
      <c r="H1049" s="23">
        <f t="shared" si="52"/>
        <v>8</v>
      </c>
    </row>
    <row r="1050" spans="1:8" x14ac:dyDescent="0.25">
      <c r="A1050" s="22">
        <v>41895.361111111109</v>
      </c>
      <c r="B1050">
        <v>465</v>
      </c>
      <c r="C1050">
        <v>94.2</v>
      </c>
      <c r="D1050">
        <v>10.1</v>
      </c>
      <c r="E1050">
        <v>5.8</v>
      </c>
      <c r="G1050">
        <v>13</v>
      </c>
      <c r="H1050" s="23">
        <f t="shared" si="52"/>
        <v>8</v>
      </c>
    </row>
    <row r="1051" spans="1:8" x14ac:dyDescent="0.25">
      <c r="A1051" s="22">
        <v>41895.364583333336</v>
      </c>
      <c r="B1051">
        <v>466.7</v>
      </c>
      <c r="C1051">
        <v>94.2</v>
      </c>
      <c r="D1051">
        <v>10.1</v>
      </c>
      <c r="E1051">
        <v>5.8</v>
      </c>
      <c r="G1051">
        <v>13</v>
      </c>
      <c r="H1051" s="23">
        <f t="shared" si="52"/>
        <v>8</v>
      </c>
    </row>
    <row r="1052" spans="1:8" x14ac:dyDescent="0.25">
      <c r="A1052" s="22">
        <v>41895.368055555555</v>
      </c>
      <c r="B1052">
        <v>467.4</v>
      </c>
      <c r="C1052">
        <v>94.3</v>
      </c>
      <c r="D1052">
        <v>10.1</v>
      </c>
      <c r="E1052">
        <v>5.9</v>
      </c>
      <c r="G1052">
        <v>13</v>
      </c>
      <c r="H1052" s="23">
        <f t="shared" si="52"/>
        <v>8</v>
      </c>
    </row>
    <row r="1053" spans="1:8" x14ac:dyDescent="0.25">
      <c r="A1053" s="22">
        <v>41895.371527777781</v>
      </c>
      <c r="B1053">
        <v>467</v>
      </c>
      <c r="C1053">
        <v>94.3</v>
      </c>
      <c r="D1053">
        <v>10.1</v>
      </c>
      <c r="E1053">
        <v>5.9</v>
      </c>
      <c r="G1053">
        <v>13</v>
      </c>
      <c r="H1053" s="23">
        <f t="shared" si="52"/>
        <v>8</v>
      </c>
    </row>
    <row r="1054" spans="1:8" x14ac:dyDescent="0.25">
      <c r="A1054" s="22">
        <v>41895.375</v>
      </c>
      <c r="B1054">
        <v>465.1</v>
      </c>
      <c r="C1054">
        <v>94.2</v>
      </c>
      <c r="D1054">
        <v>10.1</v>
      </c>
      <c r="E1054">
        <v>5.9</v>
      </c>
      <c r="G1054">
        <v>13</v>
      </c>
      <c r="H1054" s="23">
        <f t="shared" si="52"/>
        <v>9</v>
      </c>
    </row>
    <row r="1055" spans="1:8" x14ac:dyDescent="0.25">
      <c r="A1055" s="22">
        <v>41895.378472222219</v>
      </c>
      <c r="B1055">
        <v>465.3</v>
      </c>
      <c r="C1055">
        <v>94.2</v>
      </c>
      <c r="D1055">
        <v>10.1</v>
      </c>
      <c r="E1055">
        <v>5.9</v>
      </c>
      <c r="G1055">
        <v>13</v>
      </c>
      <c r="H1055" s="23">
        <f t="shared" si="52"/>
        <v>9</v>
      </c>
    </row>
    <row r="1056" spans="1:8" x14ac:dyDescent="0.25">
      <c r="A1056" s="22">
        <v>41895.381944444445</v>
      </c>
      <c r="B1056">
        <v>464.7</v>
      </c>
      <c r="C1056">
        <v>94.2</v>
      </c>
      <c r="D1056">
        <v>10.1</v>
      </c>
      <c r="E1056">
        <v>5.9</v>
      </c>
      <c r="G1056">
        <v>13</v>
      </c>
      <c r="H1056" s="23">
        <f t="shared" si="52"/>
        <v>9</v>
      </c>
    </row>
    <row r="1057" spans="1:8" x14ac:dyDescent="0.25">
      <c r="A1057" s="22">
        <v>41895.385416666664</v>
      </c>
      <c r="B1057">
        <v>464.7</v>
      </c>
      <c r="C1057">
        <v>94.4</v>
      </c>
      <c r="D1057">
        <v>10.199999999999999</v>
      </c>
      <c r="E1057">
        <v>5.9</v>
      </c>
      <c r="G1057">
        <v>13</v>
      </c>
      <c r="H1057" s="23">
        <f t="shared" si="52"/>
        <v>9</v>
      </c>
    </row>
    <row r="1058" spans="1:8" x14ac:dyDescent="0.25">
      <c r="A1058" s="22">
        <v>41895.388888888891</v>
      </c>
      <c r="B1058">
        <v>464.8</v>
      </c>
      <c r="C1058">
        <v>94.2</v>
      </c>
      <c r="D1058">
        <v>10.199999999999999</v>
      </c>
      <c r="E1058">
        <v>6</v>
      </c>
      <c r="G1058">
        <v>13</v>
      </c>
      <c r="H1058" s="23">
        <f t="shared" si="52"/>
        <v>9</v>
      </c>
    </row>
    <row r="1059" spans="1:8" x14ac:dyDescent="0.25">
      <c r="A1059" s="22">
        <v>41895.392361111109</v>
      </c>
      <c r="B1059">
        <v>464.5</v>
      </c>
      <c r="C1059">
        <v>94.2</v>
      </c>
      <c r="D1059">
        <v>10.199999999999999</v>
      </c>
      <c r="E1059">
        <v>6</v>
      </c>
      <c r="G1059">
        <v>13</v>
      </c>
      <c r="H1059" s="23">
        <f t="shared" si="52"/>
        <v>9</v>
      </c>
    </row>
    <row r="1060" spans="1:8" x14ac:dyDescent="0.25">
      <c r="A1060" s="22">
        <v>41895.395833333336</v>
      </c>
      <c r="B1060">
        <v>462.2</v>
      </c>
      <c r="C1060">
        <v>94.2</v>
      </c>
      <c r="D1060">
        <v>10.199999999999999</v>
      </c>
      <c r="E1060">
        <v>6</v>
      </c>
      <c r="G1060">
        <v>13</v>
      </c>
      <c r="H1060" s="23">
        <f t="shared" si="52"/>
        <v>9</v>
      </c>
    </row>
    <row r="1061" spans="1:8" x14ac:dyDescent="0.25">
      <c r="A1061" s="22">
        <v>41895.399305555555</v>
      </c>
      <c r="B1061">
        <v>461.8</v>
      </c>
      <c r="C1061">
        <v>94.2</v>
      </c>
      <c r="D1061">
        <v>10.199999999999999</v>
      </c>
      <c r="E1061">
        <v>6</v>
      </c>
      <c r="G1061">
        <v>13</v>
      </c>
      <c r="H1061" s="23">
        <f t="shared" si="52"/>
        <v>9</v>
      </c>
    </row>
    <row r="1062" spans="1:8" x14ac:dyDescent="0.25">
      <c r="A1062" s="22">
        <v>41895.402777777781</v>
      </c>
      <c r="B1062">
        <v>462.8</v>
      </c>
      <c r="C1062">
        <v>94.2</v>
      </c>
      <c r="D1062">
        <v>10.199999999999999</v>
      </c>
      <c r="E1062">
        <v>6</v>
      </c>
      <c r="G1062">
        <v>13</v>
      </c>
      <c r="H1062" s="23">
        <f t="shared" si="52"/>
        <v>9</v>
      </c>
    </row>
    <row r="1063" spans="1:8" x14ac:dyDescent="0.25">
      <c r="A1063" s="22">
        <v>41895.40625</v>
      </c>
      <c r="B1063">
        <v>463.4</v>
      </c>
      <c r="C1063">
        <v>94.1</v>
      </c>
      <c r="D1063">
        <v>10.3</v>
      </c>
      <c r="E1063">
        <v>6</v>
      </c>
      <c r="G1063">
        <v>13</v>
      </c>
      <c r="H1063" s="23">
        <f t="shared" si="52"/>
        <v>9</v>
      </c>
    </row>
    <row r="1064" spans="1:8" x14ac:dyDescent="0.25">
      <c r="A1064" s="22">
        <v>41895.409722222219</v>
      </c>
      <c r="B1064">
        <v>463.8</v>
      </c>
      <c r="C1064">
        <v>94.2</v>
      </c>
      <c r="D1064">
        <v>10.3</v>
      </c>
      <c r="E1064">
        <v>6.1</v>
      </c>
      <c r="G1064">
        <v>13</v>
      </c>
      <c r="H1064" s="23">
        <f t="shared" si="52"/>
        <v>9</v>
      </c>
    </row>
    <row r="1065" spans="1:8" x14ac:dyDescent="0.25">
      <c r="A1065" s="22">
        <v>41895.413194444445</v>
      </c>
      <c r="B1065">
        <v>461.4</v>
      </c>
      <c r="C1065">
        <v>94.3</v>
      </c>
      <c r="D1065">
        <v>10.3</v>
      </c>
      <c r="E1065">
        <v>6.1</v>
      </c>
      <c r="G1065">
        <v>13</v>
      </c>
      <c r="H1065" s="23">
        <f t="shared" si="52"/>
        <v>9</v>
      </c>
    </row>
    <row r="1066" spans="1:8" x14ac:dyDescent="0.25">
      <c r="A1066" s="22">
        <v>41895.416666666664</v>
      </c>
      <c r="B1066">
        <v>462.4</v>
      </c>
      <c r="C1066">
        <v>94.3</v>
      </c>
      <c r="D1066">
        <v>10.4</v>
      </c>
      <c r="E1066">
        <v>6.1</v>
      </c>
      <c r="G1066">
        <v>13</v>
      </c>
      <c r="H1066" s="23">
        <f t="shared" si="52"/>
        <v>10</v>
      </c>
    </row>
    <row r="1067" spans="1:8" x14ac:dyDescent="0.25">
      <c r="A1067" s="22">
        <v>41895.420138888891</v>
      </c>
      <c r="B1067">
        <v>463.3</v>
      </c>
      <c r="C1067">
        <v>94.2</v>
      </c>
      <c r="D1067">
        <v>10.4</v>
      </c>
      <c r="E1067">
        <v>6.1</v>
      </c>
      <c r="G1067">
        <v>13</v>
      </c>
      <c r="H1067" s="23">
        <f t="shared" si="52"/>
        <v>10</v>
      </c>
    </row>
    <row r="1068" spans="1:8" x14ac:dyDescent="0.25">
      <c r="A1068" s="22">
        <v>41895.423611111109</v>
      </c>
      <c r="B1068">
        <v>464.6</v>
      </c>
      <c r="C1068">
        <v>94.3</v>
      </c>
      <c r="D1068">
        <v>10.4</v>
      </c>
      <c r="E1068">
        <v>6.2</v>
      </c>
      <c r="G1068">
        <v>13</v>
      </c>
      <c r="H1068" s="23">
        <f t="shared" si="52"/>
        <v>10</v>
      </c>
    </row>
    <row r="1069" spans="1:8" x14ac:dyDescent="0.25">
      <c r="A1069" s="22">
        <v>41895.427083333336</v>
      </c>
      <c r="B1069">
        <v>464.5</v>
      </c>
      <c r="C1069">
        <v>94.4</v>
      </c>
      <c r="D1069">
        <v>10.4</v>
      </c>
      <c r="E1069">
        <v>6.2</v>
      </c>
      <c r="G1069">
        <v>13</v>
      </c>
      <c r="H1069" s="23">
        <f t="shared" si="52"/>
        <v>10</v>
      </c>
    </row>
    <row r="1070" spans="1:8" x14ac:dyDescent="0.25">
      <c r="A1070" s="22">
        <v>41895.430555555555</v>
      </c>
      <c r="B1070">
        <v>464.9</v>
      </c>
      <c r="C1070">
        <v>94.3</v>
      </c>
      <c r="D1070">
        <v>10.5</v>
      </c>
      <c r="E1070">
        <v>6.2</v>
      </c>
      <c r="G1070">
        <v>13</v>
      </c>
      <c r="H1070" s="23">
        <f t="shared" si="52"/>
        <v>10</v>
      </c>
    </row>
    <row r="1071" spans="1:8" x14ac:dyDescent="0.25">
      <c r="A1071" s="22">
        <v>41895.434027777781</v>
      </c>
      <c r="B1071">
        <v>466.2</v>
      </c>
      <c r="C1071">
        <v>94.2</v>
      </c>
      <c r="D1071">
        <v>10.5</v>
      </c>
      <c r="E1071">
        <v>6.2</v>
      </c>
      <c r="G1071">
        <v>13</v>
      </c>
      <c r="H1071" s="23">
        <f t="shared" si="52"/>
        <v>10</v>
      </c>
    </row>
    <row r="1072" spans="1:8" x14ac:dyDescent="0.25">
      <c r="A1072" s="22">
        <v>41895.4375</v>
      </c>
      <c r="B1072">
        <v>462.8</v>
      </c>
      <c r="C1072">
        <v>94.3</v>
      </c>
      <c r="D1072">
        <v>10.5</v>
      </c>
      <c r="E1072">
        <v>6.3</v>
      </c>
      <c r="G1072">
        <v>13</v>
      </c>
      <c r="H1072" s="23">
        <f t="shared" si="52"/>
        <v>10</v>
      </c>
    </row>
    <row r="1073" spans="1:8" x14ac:dyDescent="0.25">
      <c r="A1073" s="22">
        <v>41895.440972222219</v>
      </c>
      <c r="B1073">
        <v>457.7</v>
      </c>
      <c r="C1073">
        <v>94.2</v>
      </c>
      <c r="D1073">
        <v>10.199999999999999</v>
      </c>
      <c r="E1073">
        <v>6</v>
      </c>
      <c r="G1073">
        <v>13</v>
      </c>
      <c r="H1073" s="23">
        <f t="shared" si="52"/>
        <v>10</v>
      </c>
    </row>
    <row r="1074" spans="1:8" x14ac:dyDescent="0.25">
      <c r="A1074" s="22">
        <v>41895.444444444445</v>
      </c>
      <c r="B1074">
        <v>459.7</v>
      </c>
      <c r="C1074">
        <v>94.2</v>
      </c>
      <c r="D1074">
        <v>10.1</v>
      </c>
      <c r="E1074">
        <v>5.9</v>
      </c>
      <c r="G1074">
        <v>13</v>
      </c>
      <c r="H1074" s="23">
        <f t="shared" si="52"/>
        <v>10</v>
      </c>
    </row>
    <row r="1075" spans="1:8" x14ac:dyDescent="0.25">
      <c r="A1075" s="22">
        <v>41895.447916666664</v>
      </c>
      <c r="B1075">
        <v>459.1</v>
      </c>
      <c r="C1075">
        <v>94.3</v>
      </c>
      <c r="D1075">
        <v>10</v>
      </c>
      <c r="E1075">
        <v>5.9</v>
      </c>
      <c r="G1075">
        <v>13</v>
      </c>
      <c r="H1075" s="23">
        <f t="shared" si="52"/>
        <v>10</v>
      </c>
    </row>
    <row r="1076" spans="1:8" x14ac:dyDescent="0.25">
      <c r="A1076" s="22">
        <v>41895.451388888891</v>
      </c>
      <c r="B1076">
        <v>451</v>
      </c>
      <c r="C1076">
        <v>94.2</v>
      </c>
      <c r="D1076">
        <v>9.9</v>
      </c>
      <c r="E1076">
        <v>5.8</v>
      </c>
      <c r="G1076">
        <v>13</v>
      </c>
      <c r="H1076" s="23">
        <f t="shared" si="52"/>
        <v>10</v>
      </c>
    </row>
    <row r="1077" spans="1:8" x14ac:dyDescent="0.25">
      <c r="A1077" s="22">
        <v>41895.454861111109</v>
      </c>
      <c r="B1077">
        <v>444.2</v>
      </c>
      <c r="C1077">
        <v>94.2</v>
      </c>
      <c r="D1077">
        <v>9.8000000000000007</v>
      </c>
      <c r="E1077">
        <v>5.8</v>
      </c>
      <c r="G1077">
        <v>13</v>
      </c>
      <c r="H1077" s="23">
        <f t="shared" si="52"/>
        <v>10</v>
      </c>
    </row>
    <row r="1078" spans="1:8" x14ac:dyDescent="0.25">
      <c r="A1078" s="22">
        <v>41895.458333333336</v>
      </c>
      <c r="B1078">
        <v>435.8</v>
      </c>
      <c r="C1078">
        <v>94.2</v>
      </c>
      <c r="D1078">
        <v>9.6999999999999993</v>
      </c>
      <c r="E1078">
        <v>5.8</v>
      </c>
      <c r="G1078">
        <v>13</v>
      </c>
      <c r="H1078" s="23">
        <f t="shared" si="52"/>
        <v>11</v>
      </c>
    </row>
    <row r="1079" spans="1:8" x14ac:dyDescent="0.25">
      <c r="A1079" s="22">
        <v>41895.461805555555</v>
      </c>
      <c r="B1079">
        <v>426.8</v>
      </c>
      <c r="C1079">
        <v>94.1</v>
      </c>
      <c r="D1079">
        <v>9.6999999999999993</v>
      </c>
      <c r="E1079">
        <v>5.8</v>
      </c>
      <c r="G1079">
        <v>13</v>
      </c>
      <c r="H1079" s="23">
        <f t="shared" si="52"/>
        <v>11</v>
      </c>
    </row>
    <row r="1080" spans="1:8" x14ac:dyDescent="0.25">
      <c r="A1080" s="22">
        <v>41895.465277777781</v>
      </c>
      <c r="B1080">
        <v>419.5</v>
      </c>
      <c r="C1080">
        <v>94.1</v>
      </c>
      <c r="D1080">
        <v>9.6</v>
      </c>
      <c r="E1080">
        <v>5.8</v>
      </c>
      <c r="G1080">
        <v>13</v>
      </c>
      <c r="H1080" s="23">
        <f t="shared" si="52"/>
        <v>11</v>
      </c>
    </row>
    <row r="1081" spans="1:8" x14ac:dyDescent="0.25">
      <c r="A1081" s="22">
        <v>41895.46875</v>
      </c>
      <c r="B1081">
        <v>415</v>
      </c>
      <c r="C1081">
        <v>94.1</v>
      </c>
      <c r="D1081">
        <v>9.6</v>
      </c>
      <c r="E1081">
        <v>5.8</v>
      </c>
      <c r="G1081">
        <v>13</v>
      </c>
      <c r="H1081" s="23">
        <f t="shared" si="52"/>
        <v>11</v>
      </c>
    </row>
    <row r="1082" spans="1:8" x14ac:dyDescent="0.25">
      <c r="A1082" s="22">
        <v>41895.472222222219</v>
      </c>
      <c r="B1082">
        <v>419.2</v>
      </c>
      <c r="C1082">
        <v>94.2</v>
      </c>
      <c r="D1082">
        <v>9.6</v>
      </c>
      <c r="E1082">
        <v>5.8</v>
      </c>
      <c r="G1082">
        <v>13</v>
      </c>
      <c r="H1082" s="23">
        <f t="shared" si="52"/>
        <v>11</v>
      </c>
    </row>
    <row r="1083" spans="1:8" x14ac:dyDescent="0.25">
      <c r="A1083" s="22">
        <v>41895.475694444445</v>
      </c>
      <c r="B1083">
        <v>419.9</v>
      </c>
      <c r="C1083">
        <v>94.2</v>
      </c>
      <c r="D1083">
        <v>9.6</v>
      </c>
      <c r="E1083">
        <v>5.8</v>
      </c>
      <c r="G1083">
        <v>13</v>
      </c>
      <c r="H1083" s="23">
        <f t="shared" si="52"/>
        <v>11</v>
      </c>
    </row>
    <row r="1084" spans="1:8" x14ac:dyDescent="0.25">
      <c r="A1084" s="22">
        <v>41895.479166666664</v>
      </c>
      <c r="B1084">
        <v>418.1</v>
      </c>
      <c r="C1084">
        <v>94.1</v>
      </c>
      <c r="D1084">
        <v>9.6</v>
      </c>
      <c r="E1084">
        <v>5.8</v>
      </c>
      <c r="G1084">
        <v>13</v>
      </c>
      <c r="H1084" s="23">
        <f t="shared" si="52"/>
        <v>11</v>
      </c>
    </row>
    <row r="1085" spans="1:8" x14ac:dyDescent="0.25">
      <c r="A1085" s="22">
        <v>41895.482638888891</v>
      </c>
      <c r="B1085">
        <v>417.5</v>
      </c>
      <c r="C1085">
        <v>94.2</v>
      </c>
      <c r="D1085">
        <v>9.6</v>
      </c>
      <c r="E1085">
        <v>5.8</v>
      </c>
      <c r="G1085">
        <v>13</v>
      </c>
      <c r="H1085" s="23">
        <f t="shared" si="52"/>
        <v>11</v>
      </c>
    </row>
    <row r="1086" spans="1:8" x14ac:dyDescent="0.25">
      <c r="A1086" s="22">
        <v>41895.486111111109</v>
      </c>
      <c r="B1086">
        <v>420.8</v>
      </c>
      <c r="C1086">
        <v>94.2</v>
      </c>
      <c r="D1086">
        <v>9.6</v>
      </c>
      <c r="E1086">
        <v>5.8</v>
      </c>
      <c r="G1086">
        <v>13</v>
      </c>
      <c r="H1086" s="23">
        <f t="shared" si="52"/>
        <v>11</v>
      </c>
    </row>
    <row r="1087" spans="1:8" x14ac:dyDescent="0.25">
      <c r="A1087" s="22">
        <v>41895.489583333336</v>
      </c>
      <c r="B1087">
        <v>422.5</v>
      </c>
      <c r="C1087">
        <v>94.2</v>
      </c>
      <c r="D1087">
        <v>9.6</v>
      </c>
      <c r="E1087">
        <v>5.8</v>
      </c>
      <c r="G1087">
        <v>13</v>
      </c>
      <c r="H1087" s="23">
        <f t="shared" si="52"/>
        <v>11</v>
      </c>
    </row>
    <row r="1088" spans="1:8" x14ac:dyDescent="0.25">
      <c r="A1088" s="22">
        <v>41895.493055555555</v>
      </c>
      <c r="B1088">
        <v>421.5</v>
      </c>
      <c r="C1088">
        <v>94.2</v>
      </c>
      <c r="D1088">
        <v>9.6</v>
      </c>
      <c r="E1088">
        <v>5.8</v>
      </c>
      <c r="G1088">
        <v>13</v>
      </c>
      <c r="H1088" s="23">
        <f t="shared" si="52"/>
        <v>11</v>
      </c>
    </row>
    <row r="1089" spans="1:8" x14ac:dyDescent="0.25">
      <c r="A1089" s="22">
        <v>41895.496527777781</v>
      </c>
      <c r="B1089">
        <v>419.8</v>
      </c>
      <c r="C1089">
        <v>94.1</v>
      </c>
      <c r="D1089">
        <v>9.6</v>
      </c>
      <c r="E1089">
        <v>5.8</v>
      </c>
      <c r="G1089">
        <v>13</v>
      </c>
      <c r="H1089" s="23">
        <f t="shared" si="52"/>
        <v>11</v>
      </c>
    </row>
    <row r="1090" spans="1:8" x14ac:dyDescent="0.25">
      <c r="A1090" s="22">
        <v>41895.5</v>
      </c>
      <c r="B1090">
        <v>417</v>
      </c>
      <c r="C1090">
        <v>94.2</v>
      </c>
      <c r="D1090">
        <v>9.6</v>
      </c>
      <c r="E1090">
        <v>5.8</v>
      </c>
      <c r="G1090">
        <v>13</v>
      </c>
      <c r="H1090" s="23">
        <f t="shared" si="52"/>
        <v>12</v>
      </c>
    </row>
    <row r="1091" spans="1:8" x14ac:dyDescent="0.25">
      <c r="A1091" s="22">
        <v>41895.503472222219</v>
      </c>
      <c r="B1091">
        <v>416.8</v>
      </c>
      <c r="C1091">
        <v>94.2</v>
      </c>
      <c r="D1091">
        <v>9.6</v>
      </c>
      <c r="E1091">
        <v>5.8</v>
      </c>
      <c r="G1091">
        <v>13</v>
      </c>
      <c r="H1091" s="23">
        <f t="shared" si="52"/>
        <v>12</v>
      </c>
    </row>
    <row r="1092" spans="1:8" x14ac:dyDescent="0.25">
      <c r="A1092" s="22">
        <v>41895.506944444445</v>
      </c>
      <c r="B1092">
        <v>417.9</v>
      </c>
      <c r="C1092">
        <v>94.2</v>
      </c>
      <c r="D1092">
        <v>9.6</v>
      </c>
      <c r="E1092">
        <v>5.8</v>
      </c>
      <c r="G1092">
        <v>13</v>
      </c>
      <c r="H1092" s="23">
        <f t="shared" si="52"/>
        <v>12</v>
      </c>
    </row>
    <row r="1093" spans="1:8" x14ac:dyDescent="0.25">
      <c r="A1093" s="22">
        <v>41895.510416666664</v>
      </c>
      <c r="B1093">
        <v>418.9</v>
      </c>
      <c r="C1093">
        <v>94.2</v>
      </c>
      <c r="D1093">
        <v>9.6</v>
      </c>
      <c r="E1093">
        <v>5.8</v>
      </c>
      <c r="G1093">
        <v>13</v>
      </c>
      <c r="H1093" s="23">
        <f t="shared" si="52"/>
        <v>12</v>
      </c>
    </row>
    <row r="1094" spans="1:8" x14ac:dyDescent="0.25">
      <c r="A1094" s="22">
        <v>41895.513888888891</v>
      </c>
      <c r="B1094">
        <v>420</v>
      </c>
      <c r="C1094">
        <v>94.1</v>
      </c>
      <c r="D1094">
        <v>9.6</v>
      </c>
      <c r="E1094">
        <v>5.8</v>
      </c>
      <c r="G1094">
        <v>13</v>
      </c>
      <c r="H1094" s="23">
        <f t="shared" ref="H1094:H1157" si="53">+HOUR(A1094)</f>
        <v>12</v>
      </c>
    </row>
    <row r="1095" spans="1:8" x14ac:dyDescent="0.25">
      <c r="A1095" s="22">
        <v>41895.517361111109</v>
      </c>
      <c r="B1095">
        <v>421.4</v>
      </c>
      <c r="C1095">
        <v>94.2</v>
      </c>
      <c r="D1095">
        <v>9.6</v>
      </c>
      <c r="E1095">
        <v>5.8</v>
      </c>
      <c r="G1095">
        <v>13</v>
      </c>
      <c r="H1095" s="23">
        <f t="shared" si="53"/>
        <v>12</v>
      </c>
    </row>
    <row r="1096" spans="1:8" x14ac:dyDescent="0.25">
      <c r="A1096" s="22">
        <v>41895.520833333336</v>
      </c>
      <c r="B1096">
        <v>442.7</v>
      </c>
      <c r="C1096">
        <v>94.2</v>
      </c>
      <c r="D1096">
        <v>9.9</v>
      </c>
      <c r="E1096">
        <v>5.8</v>
      </c>
      <c r="G1096">
        <v>13</v>
      </c>
      <c r="H1096" s="23">
        <f t="shared" si="53"/>
        <v>12</v>
      </c>
    </row>
    <row r="1097" spans="1:8" x14ac:dyDescent="0.25">
      <c r="A1097" s="22">
        <v>41895.524305555555</v>
      </c>
      <c r="B1097">
        <v>464.6</v>
      </c>
      <c r="C1097">
        <v>94.2</v>
      </c>
      <c r="D1097">
        <v>10.199999999999999</v>
      </c>
      <c r="E1097">
        <v>6</v>
      </c>
      <c r="G1097">
        <v>13</v>
      </c>
      <c r="H1097" s="23">
        <f t="shared" si="53"/>
        <v>12</v>
      </c>
    </row>
    <row r="1098" spans="1:8" x14ac:dyDescent="0.25">
      <c r="A1098" s="22">
        <v>41895.527777777781</v>
      </c>
      <c r="B1098">
        <v>464.3</v>
      </c>
      <c r="C1098">
        <v>94.2</v>
      </c>
      <c r="D1098">
        <v>10.4</v>
      </c>
      <c r="E1098">
        <v>6.2</v>
      </c>
      <c r="G1098">
        <v>13</v>
      </c>
      <c r="H1098" s="23">
        <f t="shared" si="53"/>
        <v>12</v>
      </c>
    </row>
    <row r="1099" spans="1:8" x14ac:dyDescent="0.25">
      <c r="A1099" s="22">
        <v>41895.53125</v>
      </c>
      <c r="B1099">
        <v>466</v>
      </c>
      <c r="C1099">
        <v>94.4</v>
      </c>
      <c r="D1099">
        <v>10.4</v>
      </c>
      <c r="E1099">
        <v>6.2</v>
      </c>
      <c r="G1099">
        <v>13</v>
      </c>
      <c r="H1099" s="23">
        <f t="shared" si="53"/>
        <v>12</v>
      </c>
    </row>
    <row r="1100" spans="1:8" x14ac:dyDescent="0.25">
      <c r="A1100" s="22">
        <v>41895.534722222219</v>
      </c>
      <c r="B1100">
        <v>464</v>
      </c>
      <c r="C1100">
        <v>94.3</v>
      </c>
      <c r="D1100">
        <v>10.4</v>
      </c>
      <c r="E1100">
        <v>6.2</v>
      </c>
      <c r="G1100">
        <v>13</v>
      </c>
      <c r="H1100" s="23">
        <f t="shared" si="53"/>
        <v>12</v>
      </c>
    </row>
    <row r="1101" spans="1:8" x14ac:dyDescent="0.25">
      <c r="A1101" s="22">
        <v>41895.538194444445</v>
      </c>
      <c r="B1101">
        <v>463.9</v>
      </c>
      <c r="C1101">
        <v>94.3</v>
      </c>
      <c r="D1101">
        <v>10.5</v>
      </c>
      <c r="E1101">
        <v>6.3</v>
      </c>
      <c r="G1101">
        <v>13</v>
      </c>
      <c r="H1101" s="23">
        <f t="shared" si="53"/>
        <v>12</v>
      </c>
    </row>
    <row r="1102" spans="1:8" x14ac:dyDescent="0.25">
      <c r="A1102" s="22">
        <v>41895.541666666664</v>
      </c>
      <c r="B1102">
        <v>463.7</v>
      </c>
      <c r="C1102">
        <v>94.3</v>
      </c>
      <c r="D1102">
        <v>10.6</v>
      </c>
      <c r="E1102">
        <v>6.4</v>
      </c>
      <c r="G1102">
        <v>13</v>
      </c>
      <c r="H1102" s="23">
        <f t="shared" si="53"/>
        <v>13</v>
      </c>
    </row>
    <row r="1103" spans="1:8" x14ac:dyDescent="0.25">
      <c r="A1103" s="22">
        <v>41895.545138888891</v>
      </c>
      <c r="B1103">
        <v>465.1</v>
      </c>
      <c r="C1103">
        <v>94.3</v>
      </c>
      <c r="D1103">
        <v>10.7</v>
      </c>
      <c r="E1103">
        <v>6.4</v>
      </c>
      <c r="G1103">
        <v>13</v>
      </c>
      <c r="H1103" s="23">
        <f t="shared" si="53"/>
        <v>13</v>
      </c>
    </row>
    <row r="1104" spans="1:8" x14ac:dyDescent="0.25">
      <c r="A1104" s="22">
        <v>41895.548611111109</v>
      </c>
      <c r="B1104">
        <v>465.3</v>
      </c>
      <c r="C1104">
        <v>94.3</v>
      </c>
      <c r="D1104">
        <v>10.7</v>
      </c>
      <c r="E1104">
        <v>6.5</v>
      </c>
      <c r="G1104">
        <v>13</v>
      </c>
      <c r="H1104" s="23">
        <f t="shared" si="53"/>
        <v>13</v>
      </c>
    </row>
    <row r="1105" spans="1:8" x14ac:dyDescent="0.25">
      <c r="A1105" s="22">
        <v>41895.552083333336</v>
      </c>
      <c r="B1105">
        <v>467.4</v>
      </c>
      <c r="C1105">
        <v>94.4</v>
      </c>
      <c r="D1105">
        <v>10.7</v>
      </c>
      <c r="E1105">
        <v>6.5</v>
      </c>
      <c r="G1105">
        <v>13</v>
      </c>
      <c r="H1105" s="23">
        <f t="shared" si="53"/>
        <v>13</v>
      </c>
    </row>
    <row r="1106" spans="1:8" x14ac:dyDescent="0.25">
      <c r="A1106" s="22">
        <v>41895.555555555555</v>
      </c>
      <c r="B1106">
        <v>468.8</v>
      </c>
      <c r="C1106">
        <v>94.4</v>
      </c>
      <c r="D1106">
        <v>10.8</v>
      </c>
      <c r="E1106">
        <v>6.6</v>
      </c>
      <c r="G1106">
        <v>13</v>
      </c>
      <c r="H1106" s="23">
        <f t="shared" si="53"/>
        <v>13</v>
      </c>
    </row>
    <row r="1107" spans="1:8" x14ac:dyDescent="0.25">
      <c r="A1107" s="22">
        <v>41895.559027777781</v>
      </c>
      <c r="B1107">
        <v>468.7</v>
      </c>
      <c r="C1107">
        <v>94.3</v>
      </c>
      <c r="D1107">
        <v>10.9</v>
      </c>
      <c r="E1107">
        <v>6.6</v>
      </c>
      <c r="G1107">
        <v>13</v>
      </c>
      <c r="H1107" s="23">
        <f t="shared" si="53"/>
        <v>13</v>
      </c>
    </row>
    <row r="1108" spans="1:8" x14ac:dyDescent="0.25">
      <c r="A1108" s="22">
        <v>41895.5625</v>
      </c>
      <c r="B1108">
        <v>469.6</v>
      </c>
      <c r="C1108">
        <v>94.4</v>
      </c>
      <c r="D1108">
        <v>10.9</v>
      </c>
      <c r="E1108">
        <v>6.6</v>
      </c>
      <c r="G1108">
        <v>13</v>
      </c>
      <c r="H1108" s="23">
        <f t="shared" si="53"/>
        <v>13</v>
      </c>
    </row>
    <row r="1109" spans="1:8" x14ac:dyDescent="0.25">
      <c r="A1109" s="22">
        <v>41895.565972222219</v>
      </c>
      <c r="B1109">
        <v>468</v>
      </c>
      <c r="C1109">
        <v>94.4</v>
      </c>
      <c r="D1109">
        <v>11</v>
      </c>
      <c r="E1109">
        <v>6.7</v>
      </c>
      <c r="G1109">
        <v>13</v>
      </c>
      <c r="H1109" s="23">
        <f t="shared" si="53"/>
        <v>13</v>
      </c>
    </row>
    <row r="1110" spans="1:8" x14ac:dyDescent="0.25">
      <c r="A1110" s="22">
        <v>41895.569444444445</v>
      </c>
      <c r="B1110">
        <v>469.2</v>
      </c>
      <c r="C1110">
        <v>94.4</v>
      </c>
      <c r="D1110">
        <v>11</v>
      </c>
      <c r="E1110">
        <v>6.8</v>
      </c>
      <c r="G1110">
        <v>13</v>
      </c>
      <c r="H1110" s="23">
        <f t="shared" si="53"/>
        <v>13</v>
      </c>
    </row>
    <row r="1111" spans="1:8" x14ac:dyDescent="0.25">
      <c r="A1111" s="22">
        <v>41895.572916666664</v>
      </c>
      <c r="B1111">
        <v>469.3</v>
      </c>
      <c r="C1111">
        <v>94.4</v>
      </c>
      <c r="D1111">
        <v>11.1</v>
      </c>
      <c r="E1111">
        <v>6.8</v>
      </c>
      <c r="G1111">
        <v>13</v>
      </c>
      <c r="H1111" s="23">
        <f t="shared" si="53"/>
        <v>13</v>
      </c>
    </row>
    <row r="1112" spans="1:8" x14ac:dyDescent="0.25">
      <c r="A1112" s="22">
        <v>41895.576388888891</v>
      </c>
      <c r="B1112">
        <v>469.8</v>
      </c>
      <c r="C1112">
        <v>94.4</v>
      </c>
      <c r="D1112">
        <v>11.1</v>
      </c>
      <c r="E1112">
        <v>6.8</v>
      </c>
      <c r="G1112">
        <v>13</v>
      </c>
      <c r="H1112" s="23">
        <f t="shared" si="53"/>
        <v>13</v>
      </c>
    </row>
    <row r="1113" spans="1:8" x14ac:dyDescent="0.25">
      <c r="A1113" s="22">
        <v>41895.579861111109</v>
      </c>
      <c r="B1113">
        <v>469.6</v>
      </c>
      <c r="C1113">
        <v>94.4</v>
      </c>
      <c r="D1113">
        <v>11.1</v>
      </c>
      <c r="E1113">
        <v>6.9</v>
      </c>
      <c r="G1113">
        <v>13</v>
      </c>
      <c r="H1113" s="23">
        <f t="shared" si="53"/>
        <v>13</v>
      </c>
    </row>
    <row r="1114" spans="1:8" x14ac:dyDescent="0.25">
      <c r="A1114" s="22">
        <v>41895.583333333336</v>
      </c>
      <c r="B1114">
        <v>469.5</v>
      </c>
      <c r="C1114">
        <v>94.4</v>
      </c>
      <c r="D1114">
        <v>11.2</v>
      </c>
      <c r="E1114">
        <v>6.9</v>
      </c>
      <c r="G1114">
        <v>13</v>
      </c>
      <c r="H1114" s="23">
        <f t="shared" si="53"/>
        <v>14</v>
      </c>
    </row>
    <row r="1115" spans="1:8" x14ac:dyDescent="0.25">
      <c r="A1115" s="22">
        <v>41895.586805555555</v>
      </c>
      <c r="B1115">
        <v>469.9</v>
      </c>
      <c r="C1115">
        <v>94.3</v>
      </c>
      <c r="D1115">
        <v>11.2</v>
      </c>
      <c r="E1115">
        <v>7</v>
      </c>
      <c r="G1115">
        <v>13</v>
      </c>
      <c r="H1115" s="23">
        <f t="shared" si="53"/>
        <v>14</v>
      </c>
    </row>
    <row r="1116" spans="1:8" x14ac:dyDescent="0.25">
      <c r="A1116" s="22">
        <v>41895.590277777781</v>
      </c>
      <c r="B1116">
        <v>470.9</v>
      </c>
      <c r="C1116">
        <v>94.4</v>
      </c>
      <c r="D1116">
        <v>11.3</v>
      </c>
      <c r="E1116">
        <v>7</v>
      </c>
      <c r="G1116">
        <v>13</v>
      </c>
      <c r="H1116" s="23">
        <f t="shared" si="53"/>
        <v>14</v>
      </c>
    </row>
    <row r="1117" spans="1:8" x14ac:dyDescent="0.25">
      <c r="A1117" s="22">
        <v>41895.59375</v>
      </c>
      <c r="B1117">
        <v>472.9</v>
      </c>
      <c r="C1117">
        <v>94.4</v>
      </c>
      <c r="D1117">
        <v>11.3</v>
      </c>
      <c r="E1117">
        <v>7</v>
      </c>
      <c r="G1117">
        <v>13</v>
      </c>
      <c r="H1117" s="23">
        <f t="shared" si="53"/>
        <v>14</v>
      </c>
    </row>
    <row r="1118" spans="1:8" x14ac:dyDescent="0.25">
      <c r="A1118" s="22">
        <v>41895.597222222219</v>
      </c>
      <c r="B1118">
        <v>472.9</v>
      </c>
      <c r="C1118">
        <v>94.5</v>
      </c>
      <c r="D1118">
        <v>11.4</v>
      </c>
      <c r="E1118">
        <v>7.1</v>
      </c>
      <c r="G1118">
        <v>13</v>
      </c>
      <c r="H1118" s="23">
        <f t="shared" si="53"/>
        <v>14</v>
      </c>
    </row>
    <row r="1119" spans="1:8" x14ac:dyDescent="0.25">
      <c r="A1119" s="22">
        <v>41895.600694444445</v>
      </c>
      <c r="B1119">
        <v>472.3</v>
      </c>
      <c r="C1119">
        <v>94.4</v>
      </c>
      <c r="D1119">
        <v>11.4</v>
      </c>
      <c r="E1119">
        <v>7.1</v>
      </c>
      <c r="G1119">
        <v>13</v>
      </c>
      <c r="H1119" s="23">
        <f t="shared" si="53"/>
        <v>14</v>
      </c>
    </row>
    <row r="1120" spans="1:8" x14ac:dyDescent="0.25">
      <c r="A1120" s="22">
        <v>41895.604166666664</v>
      </c>
      <c r="B1120">
        <v>471.3</v>
      </c>
      <c r="C1120">
        <v>94.4</v>
      </c>
      <c r="D1120">
        <v>11.5</v>
      </c>
      <c r="E1120">
        <v>7.2</v>
      </c>
      <c r="G1120">
        <v>13</v>
      </c>
      <c r="H1120" s="23">
        <f t="shared" si="53"/>
        <v>14</v>
      </c>
    </row>
    <row r="1121" spans="1:8" x14ac:dyDescent="0.25">
      <c r="A1121" s="22">
        <v>41895.607638888891</v>
      </c>
      <c r="B1121">
        <v>472.2</v>
      </c>
      <c r="C1121">
        <v>94.4</v>
      </c>
      <c r="D1121">
        <v>11.5</v>
      </c>
      <c r="E1121">
        <v>7.2</v>
      </c>
      <c r="G1121">
        <v>13</v>
      </c>
      <c r="H1121" s="23">
        <f t="shared" si="53"/>
        <v>14</v>
      </c>
    </row>
    <row r="1122" spans="1:8" x14ac:dyDescent="0.25">
      <c r="A1122" s="22">
        <v>41895.611111111109</v>
      </c>
      <c r="B1122">
        <v>471.8</v>
      </c>
      <c r="C1122">
        <v>94.5</v>
      </c>
      <c r="D1122">
        <v>11.5</v>
      </c>
      <c r="E1122">
        <v>7.2</v>
      </c>
      <c r="G1122">
        <v>13</v>
      </c>
      <c r="H1122" s="23">
        <f t="shared" si="53"/>
        <v>14</v>
      </c>
    </row>
    <row r="1123" spans="1:8" x14ac:dyDescent="0.25">
      <c r="A1123" s="22">
        <v>41895.614583333336</v>
      </c>
      <c r="B1123">
        <v>473.8</v>
      </c>
      <c r="C1123">
        <v>94.5</v>
      </c>
      <c r="D1123">
        <v>11.5</v>
      </c>
      <c r="E1123">
        <v>7.2</v>
      </c>
      <c r="G1123">
        <v>13</v>
      </c>
      <c r="H1123" s="23">
        <f t="shared" si="53"/>
        <v>14</v>
      </c>
    </row>
    <row r="1124" spans="1:8" x14ac:dyDescent="0.25">
      <c r="A1124" s="22">
        <v>41895.618055555555</v>
      </c>
      <c r="B1124">
        <v>473.3</v>
      </c>
      <c r="C1124">
        <v>94.3</v>
      </c>
      <c r="D1124">
        <v>11.6</v>
      </c>
      <c r="E1124">
        <v>7.3</v>
      </c>
      <c r="G1124">
        <v>13</v>
      </c>
      <c r="H1124" s="23">
        <f t="shared" si="53"/>
        <v>14</v>
      </c>
    </row>
    <row r="1125" spans="1:8" x14ac:dyDescent="0.25">
      <c r="A1125" s="22">
        <v>41895.621527777781</v>
      </c>
      <c r="B1125">
        <v>470</v>
      </c>
      <c r="C1125">
        <v>94.5</v>
      </c>
      <c r="D1125">
        <v>11.6</v>
      </c>
      <c r="E1125">
        <v>7.3</v>
      </c>
      <c r="G1125">
        <v>13</v>
      </c>
      <c r="H1125" s="23">
        <f t="shared" si="53"/>
        <v>14</v>
      </c>
    </row>
    <row r="1126" spans="1:8" x14ac:dyDescent="0.25">
      <c r="A1126" s="22">
        <v>41895.625</v>
      </c>
      <c r="B1126">
        <v>472.3</v>
      </c>
      <c r="C1126">
        <v>94.5</v>
      </c>
      <c r="D1126">
        <v>11.6</v>
      </c>
      <c r="E1126">
        <v>7.3</v>
      </c>
      <c r="G1126">
        <v>13</v>
      </c>
      <c r="H1126" s="23">
        <f t="shared" si="53"/>
        <v>15</v>
      </c>
    </row>
    <row r="1127" spans="1:8" x14ac:dyDescent="0.25">
      <c r="A1127" s="22">
        <v>41895.628472222219</v>
      </c>
      <c r="B1127">
        <v>473.6</v>
      </c>
      <c r="C1127">
        <v>94.5</v>
      </c>
      <c r="D1127">
        <v>11.6</v>
      </c>
      <c r="E1127">
        <v>7.3</v>
      </c>
      <c r="G1127">
        <v>13</v>
      </c>
      <c r="H1127" s="23">
        <f t="shared" si="53"/>
        <v>15</v>
      </c>
    </row>
    <row r="1128" spans="1:8" x14ac:dyDescent="0.25">
      <c r="A1128" s="22">
        <v>41895.631944444445</v>
      </c>
      <c r="B1128">
        <v>473.5</v>
      </c>
      <c r="C1128">
        <v>94.4</v>
      </c>
      <c r="D1128">
        <v>11.7</v>
      </c>
      <c r="E1128">
        <v>7.4</v>
      </c>
      <c r="G1128">
        <v>13</v>
      </c>
      <c r="H1128" s="23">
        <f t="shared" si="53"/>
        <v>15</v>
      </c>
    </row>
    <row r="1129" spans="1:8" x14ac:dyDescent="0.25">
      <c r="A1129" s="22">
        <v>41895.635416666664</v>
      </c>
      <c r="B1129">
        <v>473.1</v>
      </c>
      <c r="C1129">
        <v>94.5</v>
      </c>
      <c r="D1129">
        <v>11.7</v>
      </c>
      <c r="E1129">
        <v>7.4</v>
      </c>
      <c r="G1129">
        <v>13</v>
      </c>
      <c r="H1129" s="23">
        <f t="shared" si="53"/>
        <v>15</v>
      </c>
    </row>
    <row r="1130" spans="1:8" x14ac:dyDescent="0.25">
      <c r="A1130" s="22">
        <v>41895.638888888891</v>
      </c>
      <c r="B1130">
        <v>475.9</v>
      </c>
      <c r="C1130">
        <v>94.5</v>
      </c>
      <c r="D1130">
        <v>11.7</v>
      </c>
      <c r="E1130">
        <v>7.4</v>
      </c>
      <c r="G1130">
        <v>13</v>
      </c>
      <c r="H1130" s="23">
        <f t="shared" si="53"/>
        <v>15</v>
      </c>
    </row>
    <row r="1131" spans="1:8" x14ac:dyDescent="0.25">
      <c r="A1131" s="22">
        <v>41895.642361111109</v>
      </c>
      <c r="B1131">
        <v>474.6</v>
      </c>
      <c r="C1131">
        <v>94.4</v>
      </c>
      <c r="D1131">
        <v>11.7</v>
      </c>
      <c r="E1131">
        <v>7.4</v>
      </c>
      <c r="G1131">
        <v>13</v>
      </c>
      <c r="H1131" s="23">
        <f t="shared" si="53"/>
        <v>15</v>
      </c>
    </row>
    <row r="1132" spans="1:8" x14ac:dyDescent="0.25">
      <c r="A1132" s="22">
        <v>41895.645833333336</v>
      </c>
      <c r="B1132">
        <v>468</v>
      </c>
      <c r="C1132">
        <v>94.4</v>
      </c>
      <c r="D1132">
        <v>11.5</v>
      </c>
      <c r="E1132">
        <v>7.2</v>
      </c>
      <c r="G1132">
        <v>13</v>
      </c>
      <c r="H1132" s="23">
        <f t="shared" si="53"/>
        <v>15</v>
      </c>
    </row>
    <row r="1133" spans="1:8" x14ac:dyDescent="0.25">
      <c r="A1133" s="22">
        <v>41895.649305555555</v>
      </c>
      <c r="B1133">
        <v>466.2</v>
      </c>
      <c r="C1133">
        <v>94.3</v>
      </c>
      <c r="D1133">
        <v>11.2</v>
      </c>
      <c r="E1133">
        <v>7</v>
      </c>
      <c r="G1133">
        <v>13</v>
      </c>
      <c r="H1133" s="23">
        <f t="shared" si="53"/>
        <v>15</v>
      </c>
    </row>
    <row r="1134" spans="1:8" x14ac:dyDescent="0.25">
      <c r="A1134" s="22">
        <v>41895.652777777781</v>
      </c>
      <c r="B1134">
        <v>467.5</v>
      </c>
      <c r="C1134">
        <v>94.4</v>
      </c>
      <c r="D1134">
        <v>11.2</v>
      </c>
      <c r="E1134">
        <v>6.9</v>
      </c>
      <c r="G1134">
        <v>13</v>
      </c>
      <c r="H1134" s="23">
        <f t="shared" si="53"/>
        <v>15</v>
      </c>
    </row>
    <row r="1135" spans="1:8" x14ac:dyDescent="0.25">
      <c r="A1135" s="22">
        <v>41895.65625</v>
      </c>
      <c r="B1135">
        <v>465</v>
      </c>
      <c r="C1135">
        <v>94.4</v>
      </c>
      <c r="D1135">
        <v>11.2</v>
      </c>
      <c r="E1135">
        <v>7</v>
      </c>
      <c r="G1135">
        <v>13</v>
      </c>
      <c r="H1135" s="23">
        <f t="shared" si="53"/>
        <v>15</v>
      </c>
    </row>
    <row r="1136" spans="1:8" x14ac:dyDescent="0.25">
      <c r="A1136" s="22">
        <v>41895.659722222219</v>
      </c>
      <c r="B1136">
        <v>465.8</v>
      </c>
      <c r="C1136">
        <v>94.5</v>
      </c>
      <c r="D1136">
        <v>11.2</v>
      </c>
      <c r="E1136">
        <v>6.9</v>
      </c>
      <c r="G1136">
        <v>13</v>
      </c>
      <c r="H1136" s="23">
        <f t="shared" si="53"/>
        <v>15</v>
      </c>
    </row>
    <row r="1137" spans="1:8" x14ac:dyDescent="0.25">
      <c r="A1137" s="22">
        <v>41895.663194444445</v>
      </c>
      <c r="B1137">
        <v>464.5</v>
      </c>
      <c r="C1137">
        <v>94.4</v>
      </c>
      <c r="D1137">
        <v>11.1</v>
      </c>
      <c r="E1137">
        <v>6.9</v>
      </c>
      <c r="G1137">
        <v>13</v>
      </c>
      <c r="H1137" s="23">
        <f t="shared" si="53"/>
        <v>15</v>
      </c>
    </row>
    <row r="1138" spans="1:8" x14ac:dyDescent="0.25">
      <c r="A1138" s="22">
        <v>41895.666666666664</v>
      </c>
      <c r="B1138">
        <v>464.5</v>
      </c>
      <c r="C1138">
        <v>94.4</v>
      </c>
      <c r="D1138">
        <v>11.1</v>
      </c>
      <c r="E1138">
        <v>6.8</v>
      </c>
      <c r="G1138">
        <v>13</v>
      </c>
      <c r="H1138" s="23">
        <f t="shared" si="53"/>
        <v>16</v>
      </c>
    </row>
    <row r="1139" spans="1:8" x14ac:dyDescent="0.25">
      <c r="A1139" s="22">
        <v>41895.670138888891</v>
      </c>
      <c r="B1139">
        <v>464.5</v>
      </c>
      <c r="C1139">
        <v>94.4</v>
      </c>
      <c r="D1139">
        <v>11</v>
      </c>
      <c r="E1139">
        <v>6.8</v>
      </c>
      <c r="G1139">
        <v>13</v>
      </c>
      <c r="H1139" s="23">
        <f t="shared" si="53"/>
        <v>16</v>
      </c>
    </row>
    <row r="1140" spans="1:8" x14ac:dyDescent="0.25">
      <c r="A1140" s="22">
        <v>41895.673611111109</v>
      </c>
      <c r="B1140">
        <v>465.7</v>
      </c>
      <c r="C1140">
        <v>94.3</v>
      </c>
      <c r="D1140">
        <v>11</v>
      </c>
      <c r="E1140">
        <v>6.7</v>
      </c>
      <c r="G1140">
        <v>13</v>
      </c>
      <c r="H1140" s="23">
        <f t="shared" si="53"/>
        <v>16</v>
      </c>
    </row>
    <row r="1141" spans="1:8" x14ac:dyDescent="0.25">
      <c r="A1141" s="22">
        <v>41895.677083333336</v>
      </c>
      <c r="B1141">
        <v>467.6</v>
      </c>
      <c r="C1141">
        <v>94.2</v>
      </c>
      <c r="D1141">
        <v>11</v>
      </c>
      <c r="E1141">
        <v>6.7</v>
      </c>
      <c r="G1141">
        <v>13</v>
      </c>
      <c r="H1141" s="23">
        <f t="shared" si="53"/>
        <v>16</v>
      </c>
    </row>
    <row r="1142" spans="1:8" x14ac:dyDescent="0.25">
      <c r="A1142" s="22">
        <v>41895.680555555555</v>
      </c>
      <c r="B1142">
        <v>467.6</v>
      </c>
      <c r="C1142">
        <v>94.3</v>
      </c>
      <c r="D1142">
        <v>11</v>
      </c>
      <c r="E1142">
        <v>6.7</v>
      </c>
      <c r="G1142">
        <v>13</v>
      </c>
      <c r="H1142" s="23">
        <f t="shared" si="53"/>
        <v>16</v>
      </c>
    </row>
    <row r="1143" spans="1:8" x14ac:dyDescent="0.25">
      <c r="A1143" s="22">
        <v>41895.684027777781</v>
      </c>
      <c r="B1143">
        <v>469</v>
      </c>
      <c r="C1143">
        <v>94.4</v>
      </c>
      <c r="D1143">
        <v>10.9</v>
      </c>
      <c r="E1143">
        <v>6.7</v>
      </c>
      <c r="G1143">
        <v>13</v>
      </c>
      <c r="H1143" s="23">
        <f t="shared" si="53"/>
        <v>16</v>
      </c>
    </row>
    <row r="1144" spans="1:8" x14ac:dyDescent="0.25">
      <c r="A1144" s="22">
        <v>41895.6875</v>
      </c>
      <c r="B1144">
        <v>468.1</v>
      </c>
      <c r="C1144">
        <v>94.3</v>
      </c>
      <c r="D1144">
        <v>10.9</v>
      </c>
      <c r="E1144">
        <v>6.6</v>
      </c>
      <c r="G1144">
        <v>13</v>
      </c>
      <c r="H1144" s="23">
        <f t="shared" si="53"/>
        <v>16</v>
      </c>
    </row>
    <row r="1145" spans="1:8" x14ac:dyDescent="0.25">
      <c r="A1145" s="22">
        <v>41895.690972222219</v>
      </c>
      <c r="B1145">
        <v>467.2</v>
      </c>
      <c r="C1145">
        <v>94.3</v>
      </c>
      <c r="D1145">
        <v>10.9</v>
      </c>
      <c r="E1145">
        <v>6.6</v>
      </c>
      <c r="G1145">
        <v>13</v>
      </c>
      <c r="H1145" s="23">
        <f t="shared" si="53"/>
        <v>16</v>
      </c>
    </row>
    <row r="1146" spans="1:8" x14ac:dyDescent="0.25">
      <c r="A1146" s="22">
        <v>41895.694444444445</v>
      </c>
      <c r="B1146">
        <v>467.2</v>
      </c>
      <c r="C1146">
        <v>94.2</v>
      </c>
      <c r="D1146">
        <v>10.8</v>
      </c>
      <c r="E1146">
        <v>6.5</v>
      </c>
      <c r="G1146">
        <v>13</v>
      </c>
      <c r="H1146" s="23">
        <f t="shared" si="53"/>
        <v>16</v>
      </c>
    </row>
    <row r="1147" spans="1:8" x14ac:dyDescent="0.25">
      <c r="A1147" s="22">
        <v>41895.697916666664</v>
      </c>
      <c r="B1147">
        <v>466.5</v>
      </c>
      <c r="C1147">
        <v>94.3</v>
      </c>
      <c r="D1147">
        <v>10.8</v>
      </c>
      <c r="E1147">
        <v>6.5</v>
      </c>
      <c r="G1147">
        <v>13</v>
      </c>
      <c r="H1147" s="23">
        <f t="shared" si="53"/>
        <v>16</v>
      </c>
    </row>
    <row r="1148" spans="1:8" x14ac:dyDescent="0.25">
      <c r="A1148" s="22">
        <v>41895.701388888891</v>
      </c>
      <c r="B1148">
        <v>466.7</v>
      </c>
      <c r="C1148">
        <v>94.3</v>
      </c>
      <c r="D1148">
        <v>10.7</v>
      </c>
      <c r="E1148">
        <v>6.5</v>
      </c>
      <c r="G1148">
        <v>13</v>
      </c>
      <c r="H1148" s="23">
        <f t="shared" si="53"/>
        <v>16</v>
      </c>
    </row>
    <row r="1149" spans="1:8" x14ac:dyDescent="0.25">
      <c r="A1149" s="22">
        <v>41895.704861111109</v>
      </c>
      <c r="B1149">
        <v>465.3</v>
      </c>
      <c r="C1149">
        <v>94.2</v>
      </c>
      <c r="D1149">
        <v>10.7</v>
      </c>
      <c r="E1149">
        <v>6.4</v>
      </c>
      <c r="G1149">
        <v>13</v>
      </c>
      <c r="H1149" s="23">
        <f t="shared" si="53"/>
        <v>16</v>
      </c>
    </row>
    <row r="1150" spans="1:8" x14ac:dyDescent="0.25">
      <c r="A1150" s="22">
        <v>41895.708333333336</v>
      </c>
      <c r="B1150">
        <v>464.9</v>
      </c>
      <c r="C1150">
        <v>94.3</v>
      </c>
      <c r="D1150">
        <v>10.6</v>
      </c>
      <c r="E1150">
        <v>6.4</v>
      </c>
      <c r="G1150">
        <v>13</v>
      </c>
      <c r="H1150" s="23">
        <f t="shared" si="53"/>
        <v>17</v>
      </c>
    </row>
    <row r="1151" spans="1:8" x14ac:dyDescent="0.25">
      <c r="A1151" s="22">
        <v>41895.711805555555</v>
      </c>
      <c r="B1151">
        <v>464.8</v>
      </c>
      <c r="C1151">
        <v>94.2</v>
      </c>
      <c r="D1151">
        <v>10.6</v>
      </c>
      <c r="E1151">
        <v>6.4</v>
      </c>
      <c r="G1151">
        <v>13</v>
      </c>
      <c r="H1151" s="23">
        <f t="shared" si="53"/>
        <v>17</v>
      </c>
    </row>
    <row r="1152" spans="1:8" x14ac:dyDescent="0.25">
      <c r="A1152" s="22">
        <v>41895.715277777781</v>
      </c>
      <c r="B1152">
        <v>467.9</v>
      </c>
      <c r="C1152">
        <v>94.4</v>
      </c>
      <c r="D1152">
        <v>10.6</v>
      </c>
      <c r="E1152">
        <v>6.3</v>
      </c>
      <c r="G1152">
        <v>13</v>
      </c>
      <c r="H1152" s="23">
        <f t="shared" si="53"/>
        <v>17</v>
      </c>
    </row>
    <row r="1153" spans="1:8" x14ac:dyDescent="0.25">
      <c r="A1153" s="22">
        <v>41895.71875</v>
      </c>
      <c r="B1153">
        <v>462.8</v>
      </c>
      <c r="C1153">
        <v>94.2</v>
      </c>
      <c r="D1153">
        <v>10.5</v>
      </c>
      <c r="E1153">
        <v>6.3</v>
      </c>
      <c r="G1153">
        <v>13</v>
      </c>
      <c r="H1153" s="23">
        <f t="shared" si="53"/>
        <v>17</v>
      </c>
    </row>
    <row r="1154" spans="1:8" x14ac:dyDescent="0.25">
      <c r="A1154" s="22">
        <v>41895.722222222219</v>
      </c>
      <c r="B1154">
        <v>465.6</v>
      </c>
      <c r="C1154">
        <v>94.3</v>
      </c>
      <c r="D1154">
        <v>10.5</v>
      </c>
      <c r="E1154">
        <v>6.3</v>
      </c>
      <c r="G1154">
        <v>13</v>
      </c>
      <c r="H1154" s="23">
        <f t="shared" si="53"/>
        <v>17</v>
      </c>
    </row>
    <row r="1155" spans="1:8" x14ac:dyDescent="0.25">
      <c r="A1155" s="22">
        <v>41895.725694444445</v>
      </c>
      <c r="B1155">
        <v>465.8</v>
      </c>
      <c r="C1155">
        <v>94.2</v>
      </c>
      <c r="D1155">
        <v>10.5</v>
      </c>
      <c r="E1155">
        <v>6.3</v>
      </c>
      <c r="G1155">
        <v>13</v>
      </c>
      <c r="H1155" s="23">
        <f t="shared" si="53"/>
        <v>17</v>
      </c>
    </row>
    <row r="1156" spans="1:8" x14ac:dyDescent="0.25">
      <c r="A1156" s="22">
        <v>41895.729166666664</v>
      </c>
      <c r="B1156">
        <v>467</v>
      </c>
      <c r="C1156">
        <v>94.3</v>
      </c>
      <c r="D1156">
        <v>10.5</v>
      </c>
      <c r="E1156">
        <v>6.2</v>
      </c>
      <c r="G1156">
        <v>13</v>
      </c>
      <c r="H1156" s="23">
        <f t="shared" si="53"/>
        <v>17</v>
      </c>
    </row>
    <row r="1157" spans="1:8" x14ac:dyDescent="0.25">
      <c r="A1157" s="22">
        <v>41895.732638888891</v>
      </c>
      <c r="B1157">
        <v>465.9</v>
      </c>
      <c r="C1157">
        <v>94.2</v>
      </c>
      <c r="D1157">
        <v>10.5</v>
      </c>
      <c r="E1157">
        <v>6.2</v>
      </c>
      <c r="G1157">
        <v>13</v>
      </c>
      <c r="H1157" s="23">
        <f t="shared" si="53"/>
        <v>17</v>
      </c>
    </row>
    <row r="1158" spans="1:8" x14ac:dyDescent="0.25">
      <c r="A1158" s="22">
        <v>41895.736111111109</v>
      </c>
      <c r="B1158">
        <v>463.1</v>
      </c>
      <c r="C1158">
        <v>94.2</v>
      </c>
      <c r="D1158">
        <v>10.5</v>
      </c>
      <c r="E1158">
        <v>6.2</v>
      </c>
      <c r="G1158">
        <v>13</v>
      </c>
      <c r="H1158" s="23">
        <f t="shared" ref="H1158:H1221" si="54">+HOUR(A1158)</f>
        <v>17</v>
      </c>
    </row>
    <row r="1159" spans="1:8" x14ac:dyDescent="0.25">
      <c r="A1159" s="22">
        <v>41895.739583333336</v>
      </c>
      <c r="B1159">
        <v>464.7</v>
      </c>
      <c r="C1159">
        <v>94.3</v>
      </c>
      <c r="D1159">
        <v>10.4</v>
      </c>
      <c r="E1159">
        <v>6.2</v>
      </c>
      <c r="G1159">
        <v>13</v>
      </c>
      <c r="H1159" s="23">
        <f t="shared" si="54"/>
        <v>17</v>
      </c>
    </row>
    <row r="1160" spans="1:8" x14ac:dyDescent="0.25">
      <c r="A1160" s="22">
        <v>41895.743055555555</v>
      </c>
      <c r="B1160">
        <v>471.8</v>
      </c>
      <c r="C1160">
        <v>94.2</v>
      </c>
      <c r="D1160">
        <v>10.7</v>
      </c>
      <c r="E1160">
        <v>6.4</v>
      </c>
      <c r="G1160">
        <v>13</v>
      </c>
      <c r="H1160" s="23">
        <f t="shared" si="54"/>
        <v>17</v>
      </c>
    </row>
    <row r="1161" spans="1:8" x14ac:dyDescent="0.25">
      <c r="A1161" s="22">
        <v>41895.746527777781</v>
      </c>
      <c r="B1161">
        <v>471.6</v>
      </c>
      <c r="C1161">
        <v>94.4</v>
      </c>
      <c r="D1161">
        <v>11.1</v>
      </c>
      <c r="E1161">
        <v>6.9</v>
      </c>
      <c r="G1161">
        <v>13</v>
      </c>
      <c r="H1161" s="23">
        <f t="shared" si="54"/>
        <v>17</v>
      </c>
    </row>
    <row r="1162" spans="1:8" x14ac:dyDescent="0.25">
      <c r="A1162" s="22">
        <v>41895.75</v>
      </c>
      <c r="B1162">
        <v>471.5</v>
      </c>
      <c r="C1162">
        <v>94.3</v>
      </c>
      <c r="D1162">
        <v>11.2</v>
      </c>
      <c r="E1162">
        <v>7</v>
      </c>
      <c r="G1162">
        <v>13</v>
      </c>
      <c r="H1162" s="23">
        <f t="shared" si="54"/>
        <v>18</v>
      </c>
    </row>
    <row r="1163" spans="1:8" x14ac:dyDescent="0.25">
      <c r="A1163" s="22">
        <v>41895.753472222219</v>
      </c>
      <c r="B1163">
        <v>471.9</v>
      </c>
      <c r="C1163">
        <v>94.4</v>
      </c>
      <c r="D1163">
        <v>11.3</v>
      </c>
      <c r="E1163">
        <v>7</v>
      </c>
      <c r="G1163">
        <v>13</v>
      </c>
      <c r="H1163" s="23">
        <f t="shared" si="54"/>
        <v>18</v>
      </c>
    </row>
    <row r="1164" spans="1:8" x14ac:dyDescent="0.25">
      <c r="A1164" s="22">
        <v>41895.756944444445</v>
      </c>
      <c r="B1164">
        <v>475.6</v>
      </c>
      <c r="C1164">
        <v>94.4</v>
      </c>
      <c r="D1164">
        <v>11.3</v>
      </c>
      <c r="E1164">
        <v>7</v>
      </c>
      <c r="G1164">
        <v>13</v>
      </c>
      <c r="H1164" s="23">
        <f t="shared" si="54"/>
        <v>18</v>
      </c>
    </row>
    <row r="1165" spans="1:8" x14ac:dyDescent="0.25">
      <c r="A1165" s="22">
        <v>41895.760416666664</v>
      </c>
      <c r="B1165">
        <v>476.3</v>
      </c>
      <c r="C1165">
        <v>94.4</v>
      </c>
      <c r="D1165">
        <v>11.4</v>
      </c>
      <c r="E1165">
        <v>7.1</v>
      </c>
      <c r="G1165">
        <v>13</v>
      </c>
      <c r="H1165" s="23">
        <f t="shared" si="54"/>
        <v>18</v>
      </c>
    </row>
    <row r="1166" spans="1:8" x14ac:dyDescent="0.25">
      <c r="A1166" s="22">
        <v>41895.763888888891</v>
      </c>
      <c r="B1166">
        <v>479</v>
      </c>
      <c r="C1166">
        <v>94.5</v>
      </c>
      <c r="D1166">
        <v>11.6</v>
      </c>
      <c r="E1166">
        <v>7.2</v>
      </c>
      <c r="G1166">
        <v>13</v>
      </c>
      <c r="H1166" s="23">
        <f t="shared" si="54"/>
        <v>18</v>
      </c>
    </row>
    <row r="1167" spans="1:8" x14ac:dyDescent="0.25">
      <c r="A1167" s="22">
        <v>41895.767361111109</v>
      </c>
      <c r="B1167">
        <v>477.8</v>
      </c>
      <c r="C1167">
        <v>94.4</v>
      </c>
      <c r="D1167">
        <v>11.6</v>
      </c>
      <c r="E1167">
        <v>7.3</v>
      </c>
      <c r="G1167">
        <v>13</v>
      </c>
      <c r="H1167" s="23">
        <f t="shared" si="54"/>
        <v>18</v>
      </c>
    </row>
    <row r="1168" spans="1:8" x14ac:dyDescent="0.25">
      <c r="A1168" s="22">
        <v>41895.770833333336</v>
      </c>
      <c r="B1168">
        <v>475.8</v>
      </c>
      <c r="C1168">
        <v>94.4</v>
      </c>
      <c r="D1168">
        <v>11.6</v>
      </c>
      <c r="E1168">
        <v>7.3</v>
      </c>
      <c r="G1168">
        <v>13</v>
      </c>
      <c r="H1168" s="23">
        <f t="shared" si="54"/>
        <v>18</v>
      </c>
    </row>
    <row r="1169" spans="1:8" x14ac:dyDescent="0.25">
      <c r="A1169" s="22">
        <v>41895.774305555555</v>
      </c>
      <c r="B1169">
        <v>477.9</v>
      </c>
      <c r="C1169">
        <v>94.5</v>
      </c>
      <c r="D1169">
        <v>11.7</v>
      </c>
      <c r="E1169">
        <v>7.4</v>
      </c>
      <c r="G1169">
        <v>13</v>
      </c>
      <c r="H1169" s="23">
        <f t="shared" si="54"/>
        <v>18</v>
      </c>
    </row>
    <row r="1170" spans="1:8" x14ac:dyDescent="0.25">
      <c r="A1170" s="22">
        <v>41895.777777777781</v>
      </c>
      <c r="B1170">
        <v>484.6</v>
      </c>
      <c r="C1170">
        <v>94.5</v>
      </c>
      <c r="D1170">
        <v>11.9</v>
      </c>
      <c r="E1170">
        <v>7.5</v>
      </c>
      <c r="G1170">
        <v>13</v>
      </c>
      <c r="H1170" s="23">
        <f t="shared" si="54"/>
        <v>18</v>
      </c>
    </row>
    <row r="1171" spans="1:8" x14ac:dyDescent="0.25">
      <c r="A1171" s="22">
        <v>41895.78125</v>
      </c>
      <c r="B1171">
        <v>478.8</v>
      </c>
      <c r="C1171">
        <v>94.5</v>
      </c>
      <c r="D1171">
        <v>12.2</v>
      </c>
      <c r="E1171">
        <v>7.8</v>
      </c>
      <c r="G1171">
        <v>13</v>
      </c>
      <c r="H1171" s="23">
        <f t="shared" si="54"/>
        <v>18</v>
      </c>
    </row>
    <row r="1172" spans="1:8" x14ac:dyDescent="0.25">
      <c r="A1172" s="22">
        <v>41895.784722222219</v>
      </c>
      <c r="B1172">
        <v>478.8</v>
      </c>
      <c r="C1172">
        <v>94.4</v>
      </c>
      <c r="D1172">
        <v>12.1</v>
      </c>
      <c r="E1172">
        <v>7.7</v>
      </c>
      <c r="G1172">
        <v>13</v>
      </c>
      <c r="H1172" s="23">
        <f t="shared" si="54"/>
        <v>18</v>
      </c>
    </row>
    <row r="1173" spans="1:8" x14ac:dyDescent="0.25">
      <c r="A1173" s="22">
        <v>41895.788194444445</v>
      </c>
      <c r="B1173">
        <v>481.8</v>
      </c>
      <c r="C1173">
        <v>94.5</v>
      </c>
      <c r="D1173">
        <v>12.1</v>
      </c>
      <c r="E1173">
        <v>7.7</v>
      </c>
      <c r="G1173">
        <v>13</v>
      </c>
      <c r="H1173" s="23">
        <f t="shared" si="54"/>
        <v>18</v>
      </c>
    </row>
    <row r="1174" spans="1:8" x14ac:dyDescent="0.25">
      <c r="A1174" s="22">
        <v>41895.791666666664</v>
      </c>
      <c r="B1174">
        <v>482.1</v>
      </c>
      <c r="C1174">
        <v>94.6</v>
      </c>
      <c r="D1174">
        <v>12.2</v>
      </c>
      <c r="E1174">
        <v>7.8</v>
      </c>
      <c r="G1174">
        <v>13</v>
      </c>
      <c r="H1174" s="23">
        <f t="shared" si="54"/>
        <v>19</v>
      </c>
    </row>
    <row r="1175" spans="1:8" x14ac:dyDescent="0.25">
      <c r="A1175" s="22">
        <v>41895.795138888891</v>
      </c>
      <c r="B1175">
        <v>485</v>
      </c>
      <c r="C1175">
        <v>94.6</v>
      </c>
      <c r="D1175">
        <v>12.3</v>
      </c>
      <c r="E1175">
        <v>7.9</v>
      </c>
      <c r="G1175">
        <v>13</v>
      </c>
      <c r="H1175" s="23">
        <f t="shared" si="54"/>
        <v>19</v>
      </c>
    </row>
    <row r="1176" spans="1:8" x14ac:dyDescent="0.25">
      <c r="A1176" s="22">
        <v>41895.798611111109</v>
      </c>
      <c r="B1176">
        <v>485.5</v>
      </c>
      <c r="C1176">
        <v>94.5</v>
      </c>
      <c r="D1176">
        <v>12.4</v>
      </c>
      <c r="E1176">
        <v>8</v>
      </c>
      <c r="G1176">
        <v>13</v>
      </c>
      <c r="H1176" s="23">
        <f t="shared" si="54"/>
        <v>19</v>
      </c>
    </row>
    <row r="1177" spans="1:8" x14ac:dyDescent="0.25">
      <c r="A1177" s="22">
        <v>41895.802083333336</v>
      </c>
      <c r="B1177">
        <v>486.4</v>
      </c>
      <c r="C1177">
        <v>94.6</v>
      </c>
      <c r="D1177">
        <v>12.5</v>
      </c>
      <c r="E1177">
        <v>8.1</v>
      </c>
      <c r="G1177">
        <v>13</v>
      </c>
      <c r="H1177" s="23">
        <f t="shared" si="54"/>
        <v>19</v>
      </c>
    </row>
    <row r="1178" spans="1:8" x14ac:dyDescent="0.25">
      <c r="A1178" s="22">
        <v>41895.805555555555</v>
      </c>
      <c r="B1178">
        <v>487.4</v>
      </c>
      <c r="C1178">
        <v>94.6</v>
      </c>
      <c r="D1178">
        <v>12.6</v>
      </c>
      <c r="E1178">
        <v>8.1</v>
      </c>
      <c r="G1178">
        <v>13</v>
      </c>
      <c r="H1178" s="23">
        <f t="shared" si="54"/>
        <v>19</v>
      </c>
    </row>
    <row r="1179" spans="1:8" x14ac:dyDescent="0.25">
      <c r="A1179" s="22">
        <v>41895.809027777781</v>
      </c>
      <c r="B1179">
        <v>489</v>
      </c>
      <c r="C1179">
        <v>94.7</v>
      </c>
      <c r="D1179">
        <v>12.6</v>
      </c>
      <c r="E1179">
        <v>8.1999999999999993</v>
      </c>
      <c r="G1179">
        <v>13</v>
      </c>
      <c r="H1179" s="23">
        <f t="shared" si="54"/>
        <v>19</v>
      </c>
    </row>
    <row r="1180" spans="1:8" x14ac:dyDescent="0.25">
      <c r="A1180" s="22">
        <v>41895.8125</v>
      </c>
      <c r="B1180">
        <v>490.6</v>
      </c>
      <c r="C1180">
        <v>94.6</v>
      </c>
      <c r="D1180">
        <v>12.7</v>
      </c>
      <c r="E1180">
        <v>8.3000000000000007</v>
      </c>
      <c r="G1180">
        <v>13</v>
      </c>
      <c r="H1180" s="23">
        <f t="shared" si="54"/>
        <v>19</v>
      </c>
    </row>
    <row r="1181" spans="1:8" x14ac:dyDescent="0.25">
      <c r="A1181" s="22">
        <v>41895.815972222219</v>
      </c>
      <c r="B1181">
        <v>488.1</v>
      </c>
      <c r="C1181">
        <v>94.6</v>
      </c>
      <c r="D1181">
        <v>12.8</v>
      </c>
      <c r="E1181">
        <v>8.3000000000000007</v>
      </c>
      <c r="G1181">
        <v>13</v>
      </c>
      <c r="H1181" s="23">
        <f t="shared" si="54"/>
        <v>19</v>
      </c>
    </row>
    <row r="1182" spans="1:8" x14ac:dyDescent="0.25">
      <c r="A1182" s="22">
        <v>41895.819444444445</v>
      </c>
      <c r="B1182">
        <v>490.4</v>
      </c>
      <c r="C1182">
        <v>94.6</v>
      </c>
      <c r="D1182">
        <v>12.8</v>
      </c>
      <c r="E1182">
        <v>8.4</v>
      </c>
      <c r="G1182">
        <v>13</v>
      </c>
      <c r="H1182" s="23">
        <f t="shared" si="54"/>
        <v>19</v>
      </c>
    </row>
    <row r="1183" spans="1:8" x14ac:dyDescent="0.25">
      <c r="A1183" s="22">
        <v>41895.822916666664</v>
      </c>
      <c r="B1183">
        <v>490.4</v>
      </c>
      <c r="C1183">
        <v>94.6</v>
      </c>
      <c r="D1183">
        <v>12.9</v>
      </c>
      <c r="E1183">
        <v>8.4</v>
      </c>
      <c r="G1183">
        <v>13</v>
      </c>
      <c r="H1183" s="23">
        <f t="shared" si="54"/>
        <v>19</v>
      </c>
    </row>
    <row r="1184" spans="1:8" x14ac:dyDescent="0.25">
      <c r="A1184" s="22">
        <v>41895.826388888891</v>
      </c>
      <c r="B1184">
        <v>489.7</v>
      </c>
      <c r="C1184">
        <v>94.5</v>
      </c>
      <c r="D1184">
        <v>12.9</v>
      </c>
      <c r="E1184">
        <v>8.5</v>
      </c>
      <c r="G1184">
        <v>13</v>
      </c>
      <c r="H1184" s="23">
        <f t="shared" si="54"/>
        <v>19</v>
      </c>
    </row>
    <row r="1185" spans="1:8" x14ac:dyDescent="0.25">
      <c r="A1185" s="22">
        <v>41895.829861111109</v>
      </c>
      <c r="B1185">
        <v>488.7</v>
      </c>
      <c r="C1185">
        <v>94.6</v>
      </c>
      <c r="D1185">
        <v>13</v>
      </c>
      <c r="E1185">
        <v>8.5</v>
      </c>
      <c r="G1185">
        <v>13</v>
      </c>
      <c r="H1185" s="23">
        <f t="shared" si="54"/>
        <v>19</v>
      </c>
    </row>
    <row r="1186" spans="1:8" x14ac:dyDescent="0.25">
      <c r="A1186" s="22">
        <v>41895.833333333336</v>
      </c>
      <c r="B1186">
        <v>490</v>
      </c>
      <c r="C1186">
        <v>94.6</v>
      </c>
      <c r="D1186">
        <v>13</v>
      </c>
      <c r="E1186">
        <v>8.6</v>
      </c>
      <c r="G1186">
        <v>13</v>
      </c>
      <c r="H1186" s="23">
        <f t="shared" si="54"/>
        <v>20</v>
      </c>
    </row>
    <row r="1187" spans="1:8" x14ac:dyDescent="0.25">
      <c r="A1187" s="22">
        <v>41895.836805555555</v>
      </c>
      <c r="B1187">
        <v>492.1</v>
      </c>
      <c r="C1187">
        <v>94.7</v>
      </c>
      <c r="D1187">
        <v>13</v>
      </c>
      <c r="E1187">
        <v>8.6</v>
      </c>
      <c r="G1187">
        <v>13</v>
      </c>
      <c r="H1187" s="23">
        <f t="shared" si="54"/>
        <v>20</v>
      </c>
    </row>
    <row r="1188" spans="1:8" x14ac:dyDescent="0.25">
      <c r="A1188" s="22">
        <v>41895.840277777781</v>
      </c>
      <c r="B1188">
        <v>494.4</v>
      </c>
      <c r="C1188">
        <v>94.7</v>
      </c>
      <c r="D1188">
        <v>13.1</v>
      </c>
      <c r="E1188">
        <v>8.6</v>
      </c>
      <c r="G1188">
        <v>13</v>
      </c>
      <c r="H1188" s="23">
        <f t="shared" si="54"/>
        <v>20</v>
      </c>
    </row>
    <row r="1189" spans="1:8" x14ac:dyDescent="0.25">
      <c r="A1189" s="22">
        <v>41895.84375</v>
      </c>
      <c r="B1189">
        <v>489</v>
      </c>
      <c r="C1189">
        <v>94.6</v>
      </c>
      <c r="D1189">
        <v>13.1</v>
      </c>
      <c r="E1189">
        <v>8.6</v>
      </c>
      <c r="G1189">
        <v>13</v>
      </c>
      <c r="H1189" s="23">
        <f t="shared" si="54"/>
        <v>20</v>
      </c>
    </row>
    <row r="1190" spans="1:8" x14ac:dyDescent="0.25">
      <c r="A1190" s="22">
        <v>41895.847222222219</v>
      </c>
      <c r="B1190">
        <v>490.9</v>
      </c>
      <c r="C1190">
        <v>94.7</v>
      </c>
      <c r="D1190">
        <v>13.1</v>
      </c>
      <c r="E1190">
        <v>8.6999999999999993</v>
      </c>
      <c r="G1190">
        <v>13</v>
      </c>
      <c r="H1190" s="23">
        <f t="shared" si="54"/>
        <v>20</v>
      </c>
    </row>
    <row r="1191" spans="1:8" x14ac:dyDescent="0.25">
      <c r="A1191" s="22">
        <v>41895.850694444445</v>
      </c>
      <c r="B1191">
        <v>489.1</v>
      </c>
      <c r="C1191">
        <v>94.7</v>
      </c>
      <c r="D1191">
        <v>13.2</v>
      </c>
      <c r="E1191">
        <v>8.6999999999999993</v>
      </c>
      <c r="G1191">
        <v>13</v>
      </c>
      <c r="H1191" s="23">
        <f t="shared" si="54"/>
        <v>20</v>
      </c>
    </row>
    <row r="1192" spans="1:8" x14ac:dyDescent="0.25">
      <c r="A1192" s="22">
        <v>41895.854166666664</v>
      </c>
      <c r="B1192">
        <v>488.8</v>
      </c>
      <c r="C1192">
        <v>94.7</v>
      </c>
      <c r="D1192">
        <v>13.2</v>
      </c>
      <c r="E1192">
        <v>8.8000000000000007</v>
      </c>
      <c r="G1192">
        <v>13</v>
      </c>
      <c r="H1192" s="23">
        <f t="shared" si="54"/>
        <v>20</v>
      </c>
    </row>
    <row r="1193" spans="1:8" x14ac:dyDescent="0.25">
      <c r="A1193" s="22">
        <v>41895.857638888891</v>
      </c>
      <c r="B1193">
        <v>491.9</v>
      </c>
      <c r="C1193">
        <v>94.6</v>
      </c>
      <c r="D1193">
        <v>13.2</v>
      </c>
      <c r="E1193">
        <v>8.8000000000000007</v>
      </c>
      <c r="G1193">
        <v>13</v>
      </c>
      <c r="H1193" s="23">
        <f t="shared" si="54"/>
        <v>20</v>
      </c>
    </row>
    <row r="1194" spans="1:8" x14ac:dyDescent="0.25">
      <c r="A1194" s="22">
        <v>41895.861111111109</v>
      </c>
      <c r="B1194">
        <v>493.4</v>
      </c>
      <c r="C1194">
        <v>94.6</v>
      </c>
      <c r="D1194">
        <v>13.3</v>
      </c>
      <c r="E1194">
        <v>8.8000000000000007</v>
      </c>
      <c r="G1194">
        <v>13</v>
      </c>
      <c r="H1194" s="23">
        <f t="shared" si="54"/>
        <v>20</v>
      </c>
    </row>
    <row r="1195" spans="1:8" x14ac:dyDescent="0.25">
      <c r="A1195" s="22">
        <v>41895.864583333336</v>
      </c>
      <c r="B1195">
        <v>493.2</v>
      </c>
      <c r="C1195">
        <v>94.7</v>
      </c>
      <c r="D1195">
        <v>13.3</v>
      </c>
      <c r="E1195">
        <v>8.8000000000000007</v>
      </c>
      <c r="G1195">
        <v>13</v>
      </c>
      <c r="H1195" s="23">
        <f t="shared" si="54"/>
        <v>20</v>
      </c>
    </row>
    <row r="1196" spans="1:8" x14ac:dyDescent="0.25">
      <c r="A1196" s="22">
        <v>41895.868055555555</v>
      </c>
      <c r="B1196">
        <v>493.2</v>
      </c>
      <c r="C1196">
        <v>94.7</v>
      </c>
      <c r="D1196">
        <v>13.3</v>
      </c>
      <c r="E1196">
        <v>8.9</v>
      </c>
      <c r="G1196">
        <v>13</v>
      </c>
      <c r="H1196" s="23">
        <f t="shared" si="54"/>
        <v>20</v>
      </c>
    </row>
    <row r="1197" spans="1:8" x14ac:dyDescent="0.25">
      <c r="A1197" s="22">
        <v>41895.871527777781</v>
      </c>
      <c r="B1197">
        <v>493.9</v>
      </c>
      <c r="C1197">
        <v>94.6</v>
      </c>
      <c r="D1197">
        <v>13.4</v>
      </c>
      <c r="E1197">
        <v>8.9</v>
      </c>
      <c r="G1197">
        <v>13</v>
      </c>
      <c r="H1197" s="23">
        <f t="shared" si="54"/>
        <v>20</v>
      </c>
    </row>
    <row r="1198" spans="1:8" x14ac:dyDescent="0.25">
      <c r="A1198" s="22">
        <v>41895.875</v>
      </c>
      <c r="B1198">
        <v>491.9</v>
      </c>
      <c r="C1198">
        <v>94.7</v>
      </c>
      <c r="D1198">
        <v>13.4</v>
      </c>
      <c r="E1198">
        <v>8.9</v>
      </c>
      <c r="G1198">
        <v>13</v>
      </c>
      <c r="H1198" s="23">
        <f t="shared" si="54"/>
        <v>21</v>
      </c>
    </row>
    <row r="1199" spans="1:8" x14ac:dyDescent="0.25">
      <c r="A1199" s="22">
        <v>41895.878472222219</v>
      </c>
      <c r="B1199">
        <v>489.9</v>
      </c>
      <c r="C1199">
        <v>94.7</v>
      </c>
      <c r="D1199">
        <v>13.4</v>
      </c>
      <c r="E1199">
        <v>9</v>
      </c>
      <c r="G1199">
        <v>13</v>
      </c>
      <c r="H1199" s="23">
        <f t="shared" si="54"/>
        <v>21</v>
      </c>
    </row>
    <row r="1200" spans="1:8" x14ac:dyDescent="0.25">
      <c r="A1200" s="22">
        <v>41895.881944444445</v>
      </c>
      <c r="B1200">
        <v>490.9</v>
      </c>
      <c r="C1200">
        <v>94.8</v>
      </c>
      <c r="D1200">
        <v>13.4</v>
      </c>
      <c r="E1200">
        <v>9</v>
      </c>
      <c r="G1200">
        <v>13</v>
      </c>
      <c r="H1200" s="23">
        <f t="shared" si="54"/>
        <v>21</v>
      </c>
    </row>
    <row r="1201" spans="1:8" x14ac:dyDescent="0.25">
      <c r="A1201" s="22">
        <v>41895.885416666664</v>
      </c>
      <c r="B1201">
        <v>494.8</v>
      </c>
      <c r="C1201">
        <v>94.7</v>
      </c>
      <c r="D1201">
        <v>13.4</v>
      </c>
      <c r="E1201">
        <v>8.9</v>
      </c>
      <c r="G1201">
        <v>13</v>
      </c>
      <c r="H1201" s="23">
        <f t="shared" si="54"/>
        <v>21</v>
      </c>
    </row>
    <row r="1202" spans="1:8" x14ac:dyDescent="0.25">
      <c r="A1202" s="22">
        <v>41895.888888888891</v>
      </c>
      <c r="B1202">
        <v>491</v>
      </c>
      <c r="C1202">
        <v>94.6</v>
      </c>
      <c r="D1202">
        <v>13.4</v>
      </c>
      <c r="E1202">
        <v>9</v>
      </c>
      <c r="G1202">
        <v>13</v>
      </c>
      <c r="H1202" s="23">
        <f t="shared" si="54"/>
        <v>21</v>
      </c>
    </row>
    <row r="1203" spans="1:8" x14ac:dyDescent="0.25">
      <c r="A1203" s="22">
        <v>41895.892361111109</v>
      </c>
      <c r="B1203">
        <v>491.3</v>
      </c>
      <c r="C1203">
        <v>94.7</v>
      </c>
      <c r="D1203">
        <v>13.4</v>
      </c>
      <c r="E1203">
        <v>9</v>
      </c>
      <c r="G1203">
        <v>13</v>
      </c>
      <c r="H1203" s="23">
        <f t="shared" si="54"/>
        <v>21</v>
      </c>
    </row>
    <row r="1204" spans="1:8" x14ac:dyDescent="0.25">
      <c r="A1204" s="22">
        <v>41895.895833333336</v>
      </c>
      <c r="B1204">
        <v>492.9</v>
      </c>
      <c r="C1204">
        <v>94.7</v>
      </c>
      <c r="D1204">
        <v>13.5</v>
      </c>
      <c r="E1204">
        <v>9</v>
      </c>
      <c r="G1204">
        <v>13</v>
      </c>
      <c r="H1204" s="23">
        <f t="shared" si="54"/>
        <v>21</v>
      </c>
    </row>
    <row r="1205" spans="1:8" x14ac:dyDescent="0.25">
      <c r="A1205" s="22">
        <v>41895.899305555555</v>
      </c>
      <c r="B1205">
        <v>493.7</v>
      </c>
      <c r="C1205">
        <v>94.7</v>
      </c>
      <c r="D1205">
        <v>13.5</v>
      </c>
      <c r="E1205">
        <v>9</v>
      </c>
      <c r="G1205">
        <v>13</v>
      </c>
      <c r="H1205" s="23">
        <f t="shared" si="54"/>
        <v>21</v>
      </c>
    </row>
    <row r="1206" spans="1:8" x14ac:dyDescent="0.25">
      <c r="A1206" s="22">
        <v>41895.902777777781</v>
      </c>
      <c r="B1206">
        <v>494.2</v>
      </c>
      <c r="C1206">
        <v>94.7</v>
      </c>
      <c r="D1206">
        <v>13.5</v>
      </c>
      <c r="E1206">
        <v>9</v>
      </c>
      <c r="G1206">
        <v>13</v>
      </c>
      <c r="H1206" s="23">
        <f t="shared" si="54"/>
        <v>21</v>
      </c>
    </row>
    <row r="1207" spans="1:8" x14ac:dyDescent="0.25">
      <c r="A1207" s="22">
        <v>41895.90625</v>
      </c>
      <c r="B1207">
        <v>495.4</v>
      </c>
      <c r="C1207">
        <v>94.7</v>
      </c>
      <c r="D1207">
        <v>13.5</v>
      </c>
      <c r="E1207">
        <v>9</v>
      </c>
      <c r="G1207">
        <v>13</v>
      </c>
      <c r="H1207" s="23">
        <f t="shared" si="54"/>
        <v>21</v>
      </c>
    </row>
    <row r="1208" spans="1:8" x14ac:dyDescent="0.25">
      <c r="A1208" s="22">
        <v>41895.909722222219</v>
      </c>
      <c r="B1208">
        <v>495.4</v>
      </c>
      <c r="C1208">
        <v>94.7</v>
      </c>
      <c r="D1208">
        <v>13.5</v>
      </c>
      <c r="E1208">
        <v>9</v>
      </c>
      <c r="G1208">
        <v>13</v>
      </c>
      <c r="H1208" s="23">
        <f t="shared" si="54"/>
        <v>21</v>
      </c>
    </row>
    <row r="1209" spans="1:8" x14ac:dyDescent="0.25">
      <c r="A1209" s="22">
        <v>41895.913194444445</v>
      </c>
      <c r="B1209">
        <v>494.8</v>
      </c>
      <c r="C1209">
        <v>94.8</v>
      </c>
      <c r="D1209">
        <v>13.5</v>
      </c>
      <c r="E1209">
        <v>9</v>
      </c>
      <c r="G1209">
        <v>13</v>
      </c>
      <c r="H1209" s="23">
        <f t="shared" si="54"/>
        <v>21</v>
      </c>
    </row>
    <row r="1210" spans="1:8" x14ac:dyDescent="0.25">
      <c r="A1210" s="22">
        <v>41895.916666666664</v>
      </c>
      <c r="B1210">
        <v>494.2</v>
      </c>
      <c r="C1210">
        <v>94.7</v>
      </c>
      <c r="D1210">
        <v>13.5</v>
      </c>
      <c r="E1210">
        <v>9</v>
      </c>
      <c r="G1210">
        <v>13</v>
      </c>
      <c r="H1210" s="23">
        <f t="shared" si="54"/>
        <v>22</v>
      </c>
    </row>
    <row r="1211" spans="1:8" x14ac:dyDescent="0.25">
      <c r="A1211" s="22">
        <v>41895.920138888891</v>
      </c>
      <c r="B1211">
        <v>494.5</v>
      </c>
      <c r="C1211">
        <v>94.6</v>
      </c>
      <c r="D1211">
        <v>13.5</v>
      </c>
      <c r="E1211">
        <v>9</v>
      </c>
      <c r="G1211">
        <v>13</v>
      </c>
      <c r="H1211" s="23">
        <f t="shared" si="54"/>
        <v>22</v>
      </c>
    </row>
    <row r="1212" spans="1:8" x14ac:dyDescent="0.25">
      <c r="A1212" s="22">
        <v>41895.923611111109</v>
      </c>
      <c r="B1212">
        <v>494.6</v>
      </c>
      <c r="C1212">
        <v>94.7</v>
      </c>
      <c r="D1212">
        <v>13.5</v>
      </c>
      <c r="E1212">
        <v>9</v>
      </c>
      <c r="G1212">
        <v>13</v>
      </c>
      <c r="H1212" s="23">
        <f t="shared" si="54"/>
        <v>22</v>
      </c>
    </row>
    <row r="1213" spans="1:8" x14ac:dyDescent="0.25">
      <c r="A1213" s="22">
        <v>41895.927083333336</v>
      </c>
      <c r="B1213">
        <v>493.1</v>
      </c>
      <c r="C1213">
        <v>94.7</v>
      </c>
      <c r="D1213">
        <v>13.5</v>
      </c>
      <c r="E1213">
        <v>9</v>
      </c>
      <c r="G1213">
        <v>13</v>
      </c>
      <c r="H1213" s="23">
        <f t="shared" si="54"/>
        <v>22</v>
      </c>
    </row>
    <row r="1214" spans="1:8" x14ac:dyDescent="0.25">
      <c r="A1214" s="22">
        <v>41895.930555555555</v>
      </c>
      <c r="B1214">
        <v>490.4</v>
      </c>
      <c r="C1214">
        <v>94.8</v>
      </c>
      <c r="D1214">
        <v>13.5</v>
      </c>
      <c r="E1214">
        <v>9.1</v>
      </c>
      <c r="G1214">
        <v>13</v>
      </c>
      <c r="H1214" s="23">
        <f t="shared" si="54"/>
        <v>22</v>
      </c>
    </row>
    <row r="1215" spans="1:8" x14ac:dyDescent="0.25">
      <c r="A1215" s="22">
        <v>41895.934027777781</v>
      </c>
      <c r="B1215">
        <v>490</v>
      </c>
      <c r="C1215">
        <v>94.7</v>
      </c>
      <c r="D1215">
        <v>13.5</v>
      </c>
      <c r="E1215">
        <v>9.1</v>
      </c>
      <c r="G1215">
        <v>13</v>
      </c>
      <c r="H1215" s="23">
        <f t="shared" si="54"/>
        <v>22</v>
      </c>
    </row>
    <row r="1216" spans="1:8" x14ac:dyDescent="0.25">
      <c r="A1216" s="22">
        <v>41895.9375</v>
      </c>
      <c r="B1216">
        <v>492.1</v>
      </c>
      <c r="C1216">
        <v>94.7</v>
      </c>
      <c r="D1216">
        <v>13.5</v>
      </c>
      <c r="E1216">
        <v>9.1</v>
      </c>
      <c r="G1216">
        <v>13</v>
      </c>
      <c r="H1216" s="23">
        <f t="shared" si="54"/>
        <v>22</v>
      </c>
    </row>
    <row r="1217" spans="1:8" x14ac:dyDescent="0.25">
      <c r="A1217" s="22">
        <v>41895.940972222219</v>
      </c>
      <c r="B1217">
        <v>491</v>
      </c>
      <c r="C1217">
        <v>94.7</v>
      </c>
      <c r="D1217">
        <v>13.5</v>
      </c>
      <c r="E1217">
        <v>9</v>
      </c>
      <c r="G1217">
        <v>13</v>
      </c>
      <c r="H1217" s="23">
        <f t="shared" si="54"/>
        <v>22</v>
      </c>
    </row>
    <row r="1218" spans="1:8" x14ac:dyDescent="0.25">
      <c r="A1218" s="22">
        <v>41895.944444444445</v>
      </c>
      <c r="B1218">
        <v>495.3</v>
      </c>
      <c r="C1218">
        <v>94.7</v>
      </c>
      <c r="D1218">
        <v>13.4</v>
      </c>
      <c r="E1218">
        <v>8.9</v>
      </c>
      <c r="G1218">
        <v>13</v>
      </c>
      <c r="H1218" s="23">
        <f t="shared" si="54"/>
        <v>22</v>
      </c>
    </row>
    <row r="1219" spans="1:8" x14ac:dyDescent="0.25">
      <c r="A1219" s="22">
        <v>41895.947916666664</v>
      </c>
      <c r="B1219">
        <v>491.8</v>
      </c>
      <c r="C1219">
        <v>94.7</v>
      </c>
      <c r="D1219">
        <v>13.6</v>
      </c>
      <c r="E1219">
        <v>9.1</v>
      </c>
      <c r="G1219">
        <v>13</v>
      </c>
      <c r="H1219" s="23">
        <f t="shared" si="54"/>
        <v>22</v>
      </c>
    </row>
    <row r="1220" spans="1:8" x14ac:dyDescent="0.25">
      <c r="A1220" s="22">
        <v>41895.951388888891</v>
      </c>
      <c r="B1220">
        <v>489.1</v>
      </c>
      <c r="C1220">
        <v>94.6</v>
      </c>
      <c r="D1220">
        <v>13.3</v>
      </c>
      <c r="E1220">
        <v>8.8000000000000007</v>
      </c>
      <c r="G1220">
        <v>13</v>
      </c>
      <c r="H1220" s="23">
        <f t="shared" si="54"/>
        <v>22</v>
      </c>
    </row>
    <row r="1221" spans="1:8" x14ac:dyDescent="0.25">
      <c r="A1221" s="22">
        <v>41895.954861111109</v>
      </c>
      <c r="B1221">
        <v>492.4</v>
      </c>
      <c r="C1221">
        <v>94.7</v>
      </c>
      <c r="D1221">
        <v>13.2</v>
      </c>
      <c r="E1221">
        <v>8.6999999999999993</v>
      </c>
      <c r="G1221">
        <v>13</v>
      </c>
      <c r="H1221" s="23">
        <f t="shared" si="54"/>
        <v>22</v>
      </c>
    </row>
    <row r="1222" spans="1:8" x14ac:dyDescent="0.25">
      <c r="A1222" s="22">
        <v>41895.958333333336</v>
      </c>
      <c r="B1222">
        <v>491.1</v>
      </c>
      <c r="C1222">
        <v>94.8</v>
      </c>
      <c r="D1222">
        <v>13.1</v>
      </c>
      <c r="E1222">
        <v>8.6999999999999993</v>
      </c>
      <c r="G1222">
        <v>13</v>
      </c>
      <c r="H1222" s="23">
        <f t="shared" ref="H1222:H1285" si="55">+HOUR(A1222)</f>
        <v>23</v>
      </c>
    </row>
    <row r="1223" spans="1:8" x14ac:dyDescent="0.25">
      <c r="A1223" s="22">
        <v>41895.961805555555</v>
      </c>
      <c r="B1223">
        <v>490.9</v>
      </c>
      <c r="C1223">
        <v>94.6</v>
      </c>
      <c r="D1223">
        <v>13.1</v>
      </c>
      <c r="E1223">
        <v>8.6</v>
      </c>
      <c r="G1223">
        <v>13</v>
      </c>
      <c r="H1223" s="23">
        <f t="shared" si="55"/>
        <v>23</v>
      </c>
    </row>
    <row r="1224" spans="1:8" x14ac:dyDescent="0.25">
      <c r="A1224" s="22">
        <v>41895.965277777781</v>
      </c>
      <c r="B1224">
        <v>490.5</v>
      </c>
      <c r="C1224">
        <v>94.6</v>
      </c>
      <c r="D1224">
        <v>13</v>
      </c>
      <c r="E1224">
        <v>8.6</v>
      </c>
      <c r="G1224">
        <v>13</v>
      </c>
      <c r="H1224" s="23">
        <f t="shared" si="55"/>
        <v>23</v>
      </c>
    </row>
    <row r="1225" spans="1:8" x14ac:dyDescent="0.25">
      <c r="A1225" s="22">
        <v>41895.96875</v>
      </c>
      <c r="B1225">
        <v>488.6</v>
      </c>
      <c r="C1225">
        <v>94.7</v>
      </c>
      <c r="D1225">
        <v>12.9</v>
      </c>
      <c r="E1225">
        <v>8.5</v>
      </c>
      <c r="G1225">
        <v>13</v>
      </c>
      <c r="H1225" s="23">
        <f t="shared" si="55"/>
        <v>23</v>
      </c>
    </row>
    <row r="1226" spans="1:8" x14ac:dyDescent="0.25">
      <c r="A1226" s="22">
        <v>41895.972222222219</v>
      </c>
      <c r="B1226">
        <v>488.1</v>
      </c>
      <c r="C1226">
        <v>94.6</v>
      </c>
      <c r="D1226">
        <v>12.8</v>
      </c>
      <c r="E1226">
        <v>8.4</v>
      </c>
      <c r="G1226">
        <v>13</v>
      </c>
      <c r="H1226" s="23">
        <f t="shared" si="55"/>
        <v>23</v>
      </c>
    </row>
    <row r="1227" spans="1:8" x14ac:dyDescent="0.25">
      <c r="A1227" s="22">
        <v>41895.975694444445</v>
      </c>
      <c r="B1227">
        <v>489.7</v>
      </c>
      <c r="C1227">
        <v>94.7</v>
      </c>
      <c r="D1227">
        <v>12.8</v>
      </c>
      <c r="E1227">
        <v>8.3000000000000007</v>
      </c>
      <c r="G1227">
        <v>13</v>
      </c>
      <c r="H1227" s="23">
        <f t="shared" si="55"/>
        <v>23</v>
      </c>
    </row>
    <row r="1228" spans="1:8" x14ac:dyDescent="0.25">
      <c r="A1228" s="22">
        <v>41895.979166666664</v>
      </c>
      <c r="B1228">
        <v>489.3</v>
      </c>
      <c r="C1228">
        <v>94.6</v>
      </c>
      <c r="D1228">
        <v>12.7</v>
      </c>
      <c r="E1228">
        <v>8.3000000000000007</v>
      </c>
      <c r="G1228">
        <v>13</v>
      </c>
      <c r="H1228" s="23">
        <f t="shared" si="55"/>
        <v>23</v>
      </c>
    </row>
    <row r="1229" spans="1:8" x14ac:dyDescent="0.25">
      <c r="A1229" s="22">
        <v>41895.982638888891</v>
      </c>
      <c r="B1229">
        <v>488.9</v>
      </c>
      <c r="C1229">
        <v>94.5</v>
      </c>
      <c r="D1229">
        <v>12.7</v>
      </c>
      <c r="E1229">
        <v>8.3000000000000007</v>
      </c>
      <c r="G1229">
        <v>13</v>
      </c>
      <c r="H1229" s="23">
        <f t="shared" si="55"/>
        <v>23</v>
      </c>
    </row>
    <row r="1230" spans="1:8" x14ac:dyDescent="0.25">
      <c r="A1230" s="22">
        <v>41895.986111111109</v>
      </c>
      <c r="B1230">
        <v>488.7</v>
      </c>
      <c r="C1230">
        <v>94.6</v>
      </c>
      <c r="D1230">
        <v>12.6</v>
      </c>
      <c r="E1230">
        <v>8.1999999999999993</v>
      </c>
      <c r="G1230">
        <v>13</v>
      </c>
      <c r="H1230" s="23">
        <f t="shared" si="55"/>
        <v>23</v>
      </c>
    </row>
    <row r="1231" spans="1:8" x14ac:dyDescent="0.25">
      <c r="A1231" s="22">
        <v>41895.989583333336</v>
      </c>
      <c r="B1231">
        <v>488.6</v>
      </c>
      <c r="C1231">
        <v>94.6</v>
      </c>
      <c r="D1231">
        <v>12.6</v>
      </c>
      <c r="E1231">
        <v>8.1</v>
      </c>
      <c r="G1231">
        <v>13</v>
      </c>
      <c r="H1231" s="23">
        <f t="shared" si="55"/>
        <v>23</v>
      </c>
    </row>
    <row r="1232" spans="1:8" x14ac:dyDescent="0.25">
      <c r="A1232" s="22">
        <v>41895.993055555555</v>
      </c>
      <c r="B1232">
        <v>490</v>
      </c>
      <c r="C1232">
        <v>94.6</v>
      </c>
      <c r="D1232">
        <v>12.5</v>
      </c>
      <c r="E1232">
        <v>8.1</v>
      </c>
      <c r="G1232">
        <v>13</v>
      </c>
      <c r="H1232" s="23">
        <f t="shared" si="55"/>
        <v>23</v>
      </c>
    </row>
    <row r="1233" spans="1:8" x14ac:dyDescent="0.25">
      <c r="A1233" s="22">
        <v>41895.996527777781</v>
      </c>
      <c r="B1233">
        <v>489.5</v>
      </c>
      <c r="C1233">
        <v>94.5</v>
      </c>
      <c r="D1233">
        <v>12.5</v>
      </c>
      <c r="E1233">
        <v>8</v>
      </c>
      <c r="G1233">
        <v>13</v>
      </c>
      <c r="H1233" s="23">
        <f t="shared" si="55"/>
        <v>23</v>
      </c>
    </row>
    <row r="1234" spans="1:8" x14ac:dyDescent="0.25">
      <c r="A1234" s="22">
        <v>41896</v>
      </c>
      <c r="B1234">
        <v>489.6</v>
      </c>
      <c r="C1234">
        <v>94.5</v>
      </c>
      <c r="D1234">
        <v>12.4</v>
      </c>
      <c r="E1234">
        <v>8</v>
      </c>
      <c r="G1234">
        <v>14</v>
      </c>
      <c r="H1234" s="23">
        <f t="shared" si="55"/>
        <v>0</v>
      </c>
    </row>
    <row r="1235" spans="1:8" x14ac:dyDescent="0.25">
      <c r="A1235" s="22">
        <v>41896.003472222219</v>
      </c>
      <c r="B1235">
        <v>489.6</v>
      </c>
      <c r="C1235">
        <v>94.5</v>
      </c>
      <c r="D1235">
        <v>12.4</v>
      </c>
      <c r="E1235">
        <v>8</v>
      </c>
      <c r="G1235">
        <v>14</v>
      </c>
      <c r="H1235" s="23">
        <f t="shared" si="55"/>
        <v>0</v>
      </c>
    </row>
    <row r="1236" spans="1:8" x14ac:dyDescent="0.25">
      <c r="A1236" s="22">
        <v>41896.006944444445</v>
      </c>
      <c r="B1236">
        <v>489.3</v>
      </c>
      <c r="C1236">
        <v>94.6</v>
      </c>
      <c r="D1236">
        <v>12.3</v>
      </c>
      <c r="E1236">
        <v>7.9</v>
      </c>
      <c r="G1236">
        <v>14</v>
      </c>
      <c r="H1236" s="23">
        <f t="shared" si="55"/>
        <v>0</v>
      </c>
    </row>
    <row r="1237" spans="1:8" x14ac:dyDescent="0.25">
      <c r="A1237" s="22">
        <v>41896.010416666664</v>
      </c>
      <c r="B1237">
        <v>489.2</v>
      </c>
      <c r="C1237">
        <v>94.5</v>
      </c>
      <c r="D1237">
        <v>12.3</v>
      </c>
      <c r="E1237">
        <v>7.9</v>
      </c>
      <c r="G1237">
        <v>14</v>
      </c>
      <c r="H1237" s="23">
        <f t="shared" si="55"/>
        <v>0</v>
      </c>
    </row>
    <row r="1238" spans="1:8" x14ac:dyDescent="0.25">
      <c r="A1238" s="22">
        <v>41896.013888888891</v>
      </c>
      <c r="B1238">
        <v>488.7</v>
      </c>
      <c r="C1238">
        <v>94.5</v>
      </c>
      <c r="D1238">
        <v>12.3</v>
      </c>
      <c r="E1238">
        <v>7.8</v>
      </c>
      <c r="G1238">
        <v>14</v>
      </c>
      <c r="H1238" s="23">
        <f t="shared" si="55"/>
        <v>0</v>
      </c>
    </row>
    <row r="1239" spans="1:8" x14ac:dyDescent="0.25">
      <c r="A1239" s="22">
        <v>41896.017361111109</v>
      </c>
      <c r="B1239">
        <v>487.8</v>
      </c>
      <c r="C1239">
        <v>94.6</v>
      </c>
      <c r="D1239">
        <v>12.2</v>
      </c>
      <c r="E1239">
        <v>7.8</v>
      </c>
      <c r="G1239">
        <v>14</v>
      </c>
      <c r="H1239" s="23">
        <f t="shared" si="55"/>
        <v>0</v>
      </c>
    </row>
    <row r="1240" spans="1:8" x14ac:dyDescent="0.25">
      <c r="A1240" s="22">
        <v>41896.020833333336</v>
      </c>
      <c r="B1240">
        <v>487.4</v>
      </c>
      <c r="C1240">
        <v>94.5</v>
      </c>
      <c r="D1240">
        <v>12.2</v>
      </c>
      <c r="E1240">
        <v>7.8</v>
      </c>
      <c r="G1240">
        <v>14</v>
      </c>
      <c r="H1240" s="23">
        <f t="shared" si="55"/>
        <v>0</v>
      </c>
    </row>
    <row r="1241" spans="1:8" x14ac:dyDescent="0.25">
      <c r="A1241" s="22">
        <v>41896.024305555555</v>
      </c>
      <c r="B1241">
        <v>486.1</v>
      </c>
      <c r="C1241">
        <v>94.5</v>
      </c>
      <c r="D1241">
        <v>12.2</v>
      </c>
      <c r="E1241">
        <v>7.7</v>
      </c>
      <c r="G1241">
        <v>14</v>
      </c>
      <c r="H1241" s="23">
        <f t="shared" si="55"/>
        <v>0</v>
      </c>
    </row>
    <row r="1242" spans="1:8" x14ac:dyDescent="0.25">
      <c r="A1242" s="22">
        <v>41896.027777777781</v>
      </c>
      <c r="B1242">
        <v>487</v>
      </c>
      <c r="C1242">
        <v>94.4</v>
      </c>
      <c r="D1242">
        <v>12.1</v>
      </c>
      <c r="E1242">
        <v>7.7</v>
      </c>
      <c r="G1242">
        <v>14</v>
      </c>
      <c r="H1242" s="23">
        <f t="shared" si="55"/>
        <v>0</v>
      </c>
    </row>
    <row r="1243" spans="1:8" x14ac:dyDescent="0.25">
      <c r="A1243" s="22">
        <v>41896.03125</v>
      </c>
      <c r="B1243">
        <v>486.4</v>
      </c>
      <c r="C1243">
        <v>94.4</v>
      </c>
      <c r="D1243">
        <v>12.1</v>
      </c>
      <c r="E1243">
        <v>7.7</v>
      </c>
      <c r="G1243">
        <v>14</v>
      </c>
      <c r="H1243" s="23">
        <f t="shared" si="55"/>
        <v>0</v>
      </c>
    </row>
    <row r="1244" spans="1:8" x14ac:dyDescent="0.25">
      <c r="A1244" s="22">
        <v>41896.034722222219</v>
      </c>
      <c r="B1244">
        <v>486.4</v>
      </c>
      <c r="C1244">
        <v>94.5</v>
      </c>
      <c r="D1244">
        <v>12</v>
      </c>
      <c r="E1244">
        <v>7.6</v>
      </c>
      <c r="G1244">
        <v>14</v>
      </c>
      <c r="H1244" s="23">
        <f t="shared" si="55"/>
        <v>0</v>
      </c>
    </row>
    <row r="1245" spans="1:8" x14ac:dyDescent="0.25">
      <c r="A1245" s="22">
        <v>41896.038194444445</v>
      </c>
      <c r="B1245">
        <v>486.4</v>
      </c>
      <c r="C1245">
        <v>94.4</v>
      </c>
      <c r="D1245">
        <v>12</v>
      </c>
      <c r="E1245">
        <v>7.6</v>
      </c>
      <c r="G1245">
        <v>14</v>
      </c>
      <c r="H1245" s="23">
        <f t="shared" si="55"/>
        <v>0</v>
      </c>
    </row>
    <row r="1246" spans="1:8" x14ac:dyDescent="0.25">
      <c r="A1246" s="22">
        <v>41896.041666666664</v>
      </c>
      <c r="B1246">
        <v>484.2</v>
      </c>
      <c r="C1246">
        <v>94.3</v>
      </c>
      <c r="D1246">
        <v>12</v>
      </c>
      <c r="E1246">
        <v>7.6</v>
      </c>
      <c r="G1246">
        <v>14</v>
      </c>
      <c r="H1246" s="23">
        <f t="shared" si="55"/>
        <v>1</v>
      </c>
    </row>
    <row r="1247" spans="1:8" x14ac:dyDescent="0.25">
      <c r="A1247" s="22">
        <v>41896.045138888891</v>
      </c>
      <c r="B1247">
        <v>484.3</v>
      </c>
      <c r="C1247">
        <v>94.3</v>
      </c>
      <c r="D1247">
        <v>11.9</v>
      </c>
      <c r="E1247">
        <v>7.5</v>
      </c>
      <c r="G1247">
        <v>14</v>
      </c>
      <c r="H1247" s="23">
        <f t="shared" si="55"/>
        <v>1</v>
      </c>
    </row>
    <row r="1248" spans="1:8" x14ac:dyDescent="0.25">
      <c r="A1248" s="22">
        <v>41896.048611111109</v>
      </c>
      <c r="B1248">
        <v>485.2</v>
      </c>
      <c r="C1248">
        <v>94.5</v>
      </c>
      <c r="D1248">
        <v>11.9</v>
      </c>
      <c r="E1248">
        <v>7.5</v>
      </c>
      <c r="G1248">
        <v>14</v>
      </c>
      <c r="H1248" s="23">
        <f t="shared" si="55"/>
        <v>1</v>
      </c>
    </row>
    <row r="1249" spans="1:8" x14ac:dyDescent="0.25">
      <c r="A1249" s="22">
        <v>41896.052083333336</v>
      </c>
      <c r="B1249">
        <v>483.4</v>
      </c>
      <c r="C1249">
        <v>94.4</v>
      </c>
      <c r="D1249">
        <v>11.9</v>
      </c>
      <c r="E1249">
        <v>7.5</v>
      </c>
      <c r="G1249">
        <v>14</v>
      </c>
      <c r="H1249" s="23">
        <f t="shared" si="55"/>
        <v>1</v>
      </c>
    </row>
    <row r="1250" spans="1:8" x14ac:dyDescent="0.25">
      <c r="A1250" s="22">
        <v>41896.055555555555</v>
      </c>
      <c r="B1250">
        <v>482.2</v>
      </c>
      <c r="C1250">
        <v>94.4</v>
      </c>
      <c r="D1250">
        <v>11.8</v>
      </c>
      <c r="E1250">
        <v>7.4</v>
      </c>
      <c r="G1250">
        <v>14</v>
      </c>
      <c r="H1250" s="23">
        <f t="shared" si="55"/>
        <v>1</v>
      </c>
    </row>
    <row r="1251" spans="1:8" x14ac:dyDescent="0.25">
      <c r="A1251" s="22">
        <v>41896.059027777781</v>
      </c>
      <c r="B1251">
        <v>481.5</v>
      </c>
      <c r="C1251">
        <v>94.4</v>
      </c>
      <c r="D1251">
        <v>11.8</v>
      </c>
      <c r="E1251">
        <v>7.4</v>
      </c>
      <c r="G1251">
        <v>14</v>
      </c>
      <c r="H1251" s="23">
        <f t="shared" si="55"/>
        <v>1</v>
      </c>
    </row>
    <row r="1252" spans="1:8" x14ac:dyDescent="0.25">
      <c r="A1252" s="22">
        <v>41896.0625</v>
      </c>
      <c r="B1252">
        <v>481.1</v>
      </c>
      <c r="C1252">
        <v>94.4</v>
      </c>
      <c r="D1252">
        <v>11.8</v>
      </c>
      <c r="E1252">
        <v>7.4</v>
      </c>
      <c r="G1252">
        <v>14</v>
      </c>
      <c r="H1252" s="23">
        <f t="shared" si="55"/>
        <v>1</v>
      </c>
    </row>
    <row r="1253" spans="1:8" x14ac:dyDescent="0.25">
      <c r="A1253" s="22">
        <v>41896.065972222219</v>
      </c>
      <c r="B1253">
        <v>479.5</v>
      </c>
      <c r="C1253">
        <v>94.5</v>
      </c>
      <c r="D1253">
        <v>11.8</v>
      </c>
      <c r="E1253">
        <v>7.4</v>
      </c>
      <c r="G1253">
        <v>14</v>
      </c>
      <c r="H1253" s="23">
        <f t="shared" si="55"/>
        <v>1</v>
      </c>
    </row>
    <row r="1254" spans="1:8" x14ac:dyDescent="0.25">
      <c r="A1254" s="22">
        <v>41896.069444444445</v>
      </c>
      <c r="B1254">
        <v>478</v>
      </c>
      <c r="C1254">
        <v>94.3</v>
      </c>
      <c r="D1254">
        <v>11.7</v>
      </c>
      <c r="E1254">
        <v>7.4</v>
      </c>
      <c r="G1254">
        <v>14</v>
      </c>
      <c r="H1254" s="23">
        <f t="shared" si="55"/>
        <v>1</v>
      </c>
    </row>
    <row r="1255" spans="1:8" x14ac:dyDescent="0.25">
      <c r="A1255" s="22">
        <v>41896.072916666664</v>
      </c>
      <c r="B1255">
        <v>477.9</v>
      </c>
      <c r="C1255">
        <v>94.3</v>
      </c>
      <c r="D1255">
        <v>11.7</v>
      </c>
      <c r="E1255">
        <v>7.3</v>
      </c>
      <c r="G1255">
        <v>14</v>
      </c>
      <c r="H1255" s="23">
        <f t="shared" si="55"/>
        <v>1</v>
      </c>
    </row>
    <row r="1256" spans="1:8" x14ac:dyDescent="0.25">
      <c r="A1256" s="22">
        <v>41896.076388888891</v>
      </c>
      <c r="B1256">
        <v>478</v>
      </c>
      <c r="C1256">
        <v>94.4</v>
      </c>
      <c r="D1256">
        <v>11.6</v>
      </c>
      <c r="E1256">
        <v>7.3</v>
      </c>
      <c r="G1256">
        <v>14</v>
      </c>
      <c r="H1256" s="23">
        <f t="shared" si="55"/>
        <v>1</v>
      </c>
    </row>
    <row r="1257" spans="1:8" x14ac:dyDescent="0.25">
      <c r="A1257" s="22">
        <v>41896.079861111109</v>
      </c>
      <c r="B1257">
        <v>477.8</v>
      </c>
      <c r="C1257">
        <v>94.4</v>
      </c>
      <c r="D1257">
        <v>11.6</v>
      </c>
      <c r="E1257">
        <v>7.2</v>
      </c>
      <c r="G1257">
        <v>14</v>
      </c>
      <c r="H1257" s="23">
        <f t="shared" si="55"/>
        <v>1</v>
      </c>
    </row>
    <row r="1258" spans="1:8" x14ac:dyDescent="0.25">
      <c r="A1258" s="22">
        <v>41896.083333333336</v>
      </c>
      <c r="B1258">
        <v>477.5</v>
      </c>
      <c r="C1258">
        <v>94.4</v>
      </c>
      <c r="D1258">
        <v>11.5</v>
      </c>
      <c r="E1258">
        <v>7.2</v>
      </c>
      <c r="G1258">
        <v>14</v>
      </c>
      <c r="H1258" s="23">
        <f t="shared" si="55"/>
        <v>2</v>
      </c>
    </row>
    <row r="1259" spans="1:8" x14ac:dyDescent="0.25">
      <c r="A1259" s="22">
        <v>41896.086805555555</v>
      </c>
      <c r="B1259">
        <v>478.8</v>
      </c>
      <c r="C1259">
        <v>94.3</v>
      </c>
      <c r="D1259">
        <v>11.5</v>
      </c>
      <c r="E1259">
        <v>7.1</v>
      </c>
      <c r="G1259">
        <v>14</v>
      </c>
      <c r="H1259" s="23">
        <f t="shared" si="55"/>
        <v>2</v>
      </c>
    </row>
    <row r="1260" spans="1:8" x14ac:dyDescent="0.25">
      <c r="A1260" s="22">
        <v>41896.090277777781</v>
      </c>
      <c r="B1260">
        <v>477.9</v>
      </c>
      <c r="C1260">
        <v>94.3</v>
      </c>
      <c r="D1260">
        <v>11.4</v>
      </c>
      <c r="E1260">
        <v>7.1</v>
      </c>
      <c r="G1260">
        <v>14</v>
      </c>
      <c r="H1260" s="23">
        <f t="shared" si="55"/>
        <v>2</v>
      </c>
    </row>
    <row r="1261" spans="1:8" x14ac:dyDescent="0.25">
      <c r="A1261" s="22">
        <v>41896.09375</v>
      </c>
      <c r="B1261">
        <v>478.4</v>
      </c>
      <c r="C1261">
        <v>94.4</v>
      </c>
      <c r="D1261">
        <v>11.4</v>
      </c>
      <c r="E1261">
        <v>7</v>
      </c>
      <c r="G1261">
        <v>14</v>
      </c>
      <c r="H1261" s="23">
        <f t="shared" si="55"/>
        <v>2</v>
      </c>
    </row>
    <row r="1262" spans="1:8" x14ac:dyDescent="0.25">
      <c r="A1262" s="22">
        <v>41896.097222222219</v>
      </c>
      <c r="B1262">
        <v>477.2</v>
      </c>
      <c r="C1262">
        <v>94.4</v>
      </c>
      <c r="D1262">
        <v>11.4</v>
      </c>
      <c r="E1262">
        <v>7</v>
      </c>
      <c r="G1262">
        <v>14</v>
      </c>
      <c r="H1262" s="23">
        <f t="shared" si="55"/>
        <v>2</v>
      </c>
    </row>
    <row r="1263" spans="1:8" x14ac:dyDescent="0.25">
      <c r="A1263" s="22">
        <v>41896.100694444445</v>
      </c>
      <c r="B1263">
        <v>475.9</v>
      </c>
      <c r="C1263">
        <v>94.3</v>
      </c>
      <c r="D1263">
        <v>11.3</v>
      </c>
      <c r="E1263">
        <v>7</v>
      </c>
      <c r="G1263">
        <v>14</v>
      </c>
      <c r="H1263" s="23">
        <f t="shared" si="55"/>
        <v>2</v>
      </c>
    </row>
    <row r="1264" spans="1:8" x14ac:dyDescent="0.25">
      <c r="A1264" s="22">
        <v>41896.104166666664</v>
      </c>
      <c r="B1264">
        <v>475.2</v>
      </c>
      <c r="C1264">
        <v>94.3</v>
      </c>
      <c r="D1264">
        <v>11.3</v>
      </c>
      <c r="E1264">
        <v>7</v>
      </c>
      <c r="G1264">
        <v>14</v>
      </c>
      <c r="H1264" s="23">
        <f t="shared" si="55"/>
        <v>2</v>
      </c>
    </row>
    <row r="1265" spans="1:8" x14ac:dyDescent="0.25">
      <c r="A1265" s="22">
        <v>41896.107638888891</v>
      </c>
      <c r="B1265">
        <v>474.9</v>
      </c>
      <c r="C1265">
        <v>94.4</v>
      </c>
      <c r="D1265">
        <v>11.3</v>
      </c>
      <c r="E1265">
        <v>6.9</v>
      </c>
      <c r="G1265">
        <v>14</v>
      </c>
      <c r="H1265" s="23">
        <f t="shared" si="55"/>
        <v>2</v>
      </c>
    </row>
    <row r="1266" spans="1:8" x14ac:dyDescent="0.25">
      <c r="A1266" s="22">
        <v>41896.111111111109</v>
      </c>
      <c r="B1266">
        <v>476.3</v>
      </c>
      <c r="C1266">
        <v>94.4</v>
      </c>
      <c r="D1266">
        <v>11.2</v>
      </c>
      <c r="E1266">
        <v>6.9</v>
      </c>
      <c r="G1266">
        <v>14</v>
      </c>
      <c r="H1266" s="23">
        <f t="shared" si="55"/>
        <v>2</v>
      </c>
    </row>
    <row r="1267" spans="1:8" x14ac:dyDescent="0.25">
      <c r="A1267" s="22">
        <v>41896.114583333336</v>
      </c>
      <c r="B1267">
        <v>474.4</v>
      </c>
      <c r="C1267">
        <v>94.3</v>
      </c>
      <c r="D1267">
        <v>11.2</v>
      </c>
      <c r="E1267">
        <v>6.9</v>
      </c>
      <c r="G1267">
        <v>14</v>
      </c>
      <c r="H1267" s="23">
        <f t="shared" si="55"/>
        <v>2</v>
      </c>
    </row>
    <row r="1268" spans="1:8" x14ac:dyDescent="0.25">
      <c r="A1268" s="22">
        <v>41896.118055555555</v>
      </c>
      <c r="B1268">
        <v>475.2</v>
      </c>
      <c r="C1268">
        <v>94.3</v>
      </c>
      <c r="D1268">
        <v>11.1</v>
      </c>
      <c r="E1268">
        <v>6.8</v>
      </c>
      <c r="G1268">
        <v>14</v>
      </c>
      <c r="H1268" s="23">
        <f t="shared" si="55"/>
        <v>2</v>
      </c>
    </row>
    <row r="1269" spans="1:8" x14ac:dyDescent="0.25">
      <c r="A1269" s="22">
        <v>41896.121527777781</v>
      </c>
      <c r="B1269">
        <v>475</v>
      </c>
      <c r="C1269">
        <v>94.4</v>
      </c>
      <c r="D1269">
        <v>11.1</v>
      </c>
      <c r="E1269">
        <v>6.8</v>
      </c>
      <c r="G1269">
        <v>14</v>
      </c>
      <c r="H1269" s="23">
        <f t="shared" si="55"/>
        <v>2</v>
      </c>
    </row>
    <row r="1270" spans="1:8" x14ac:dyDescent="0.25">
      <c r="A1270" s="22">
        <v>41896.125</v>
      </c>
      <c r="B1270">
        <v>473.1</v>
      </c>
      <c r="C1270">
        <v>94.3</v>
      </c>
      <c r="D1270">
        <v>11</v>
      </c>
      <c r="E1270">
        <v>6.7</v>
      </c>
      <c r="G1270">
        <v>14</v>
      </c>
      <c r="H1270" s="23">
        <f t="shared" si="55"/>
        <v>3</v>
      </c>
    </row>
    <row r="1271" spans="1:8" x14ac:dyDescent="0.25">
      <c r="A1271" s="22">
        <v>41896.128472222219</v>
      </c>
      <c r="B1271">
        <v>474.5</v>
      </c>
      <c r="C1271">
        <v>94.4</v>
      </c>
      <c r="D1271">
        <v>11</v>
      </c>
      <c r="E1271">
        <v>6.7</v>
      </c>
      <c r="G1271">
        <v>14</v>
      </c>
      <c r="H1271" s="23">
        <f t="shared" si="55"/>
        <v>3</v>
      </c>
    </row>
    <row r="1272" spans="1:8" x14ac:dyDescent="0.25">
      <c r="A1272" s="22">
        <v>41896.131944444445</v>
      </c>
      <c r="B1272">
        <v>472.4</v>
      </c>
      <c r="C1272">
        <v>94.3</v>
      </c>
      <c r="D1272">
        <v>11</v>
      </c>
      <c r="E1272">
        <v>6.7</v>
      </c>
      <c r="G1272">
        <v>14</v>
      </c>
      <c r="H1272" s="23">
        <f t="shared" si="55"/>
        <v>3</v>
      </c>
    </row>
    <row r="1273" spans="1:8" x14ac:dyDescent="0.25">
      <c r="A1273" s="22">
        <v>41896.135416666664</v>
      </c>
      <c r="B1273">
        <v>471.9</v>
      </c>
      <c r="C1273">
        <v>94.2</v>
      </c>
      <c r="D1273">
        <v>10.9</v>
      </c>
      <c r="E1273">
        <v>6.6</v>
      </c>
      <c r="G1273">
        <v>14</v>
      </c>
      <c r="H1273" s="23">
        <f t="shared" si="55"/>
        <v>3</v>
      </c>
    </row>
    <row r="1274" spans="1:8" x14ac:dyDescent="0.25">
      <c r="A1274" s="22">
        <v>41896.138888888891</v>
      </c>
      <c r="B1274">
        <v>472.1</v>
      </c>
      <c r="C1274">
        <v>94.4</v>
      </c>
      <c r="D1274">
        <v>10.9</v>
      </c>
      <c r="E1274">
        <v>6.6</v>
      </c>
      <c r="G1274">
        <v>14</v>
      </c>
      <c r="H1274" s="23">
        <f t="shared" si="55"/>
        <v>3</v>
      </c>
    </row>
    <row r="1275" spans="1:8" x14ac:dyDescent="0.25">
      <c r="A1275" s="22">
        <v>41896.142361111109</v>
      </c>
      <c r="B1275">
        <v>470.6</v>
      </c>
      <c r="C1275">
        <v>94.3</v>
      </c>
      <c r="D1275">
        <v>10.9</v>
      </c>
      <c r="E1275">
        <v>6.6</v>
      </c>
      <c r="G1275">
        <v>14</v>
      </c>
      <c r="H1275" s="23">
        <f t="shared" si="55"/>
        <v>3</v>
      </c>
    </row>
    <row r="1276" spans="1:8" x14ac:dyDescent="0.25">
      <c r="A1276" s="22">
        <v>41896.145833333336</v>
      </c>
      <c r="B1276">
        <v>470.7</v>
      </c>
      <c r="C1276">
        <v>94.2</v>
      </c>
      <c r="D1276">
        <v>10.9</v>
      </c>
      <c r="E1276">
        <v>6.6</v>
      </c>
      <c r="G1276">
        <v>14</v>
      </c>
      <c r="H1276" s="23">
        <f t="shared" si="55"/>
        <v>3</v>
      </c>
    </row>
    <row r="1277" spans="1:8" x14ac:dyDescent="0.25">
      <c r="A1277" s="22">
        <v>41896.149305555555</v>
      </c>
      <c r="B1277">
        <v>470.1</v>
      </c>
      <c r="C1277">
        <v>94.2</v>
      </c>
      <c r="D1277">
        <v>10.8</v>
      </c>
      <c r="E1277">
        <v>6.6</v>
      </c>
      <c r="G1277">
        <v>14</v>
      </c>
      <c r="H1277" s="23">
        <f t="shared" si="55"/>
        <v>3</v>
      </c>
    </row>
    <row r="1278" spans="1:8" x14ac:dyDescent="0.25">
      <c r="A1278" s="22">
        <v>41896.152777777781</v>
      </c>
      <c r="B1278">
        <v>471.7</v>
      </c>
      <c r="C1278">
        <v>94.3</v>
      </c>
      <c r="D1278">
        <v>10.8</v>
      </c>
      <c r="E1278">
        <v>6.5</v>
      </c>
      <c r="G1278">
        <v>14</v>
      </c>
      <c r="H1278" s="23">
        <f t="shared" si="55"/>
        <v>3</v>
      </c>
    </row>
    <row r="1279" spans="1:8" x14ac:dyDescent="0.25">
      <c r="A1279" s="22">
        <v>41896.15625</v>
      </c>
      <c r="B1279">
        <v>471.5</v>
      </c>
      <c r="C1279">
        <v>94.2</v>
      </c>
      <c r="D1279">
        <v>10.8</v>
      </c>
      <c r="E1279">
        <v>6.5</v>
      </c>
      <c r="G1279">
        <v>14</v>
      </c>
      <c r="H1279" s="23">
        <f t="shared" si="55"/>
        <v>3</v>
      </c>
    </row>
    <row r="1280" spans="1:8" x14ac:dyDescent="0.25">
      <c r="A1280" s="22">
        <v>41896.159722222219</v>
      </c>
      <c r="B1280">
        <v>472.8</v>
      </c>
      <c r="C1280">
        <v>94.3</v>
      </c>
      <c r="D1280">
        <v>10.8</v>
      </c>
      <c r="E1280">
        <v>6.5</v>
      </c>
      <c r="G1280">
        <v>14</v>
      </c>
      <c r="H1280" s="23">
        <f t="shared" si="55"/>
        <v>3</v>
      </c>
    </row>
    <row r="1281" spans="1:8" x14ac:dyDescent="0.25">
      <c r="A1281" s="22">
        <v>41896.163194444445</v>
      </c>
      <c r="B1281">
        <v>473.3</v>
      </c>
      <c r="C1281">
        <v>94.2</v>
      </c>
      <c r="D1281">
        <v>10.7</v>
      </c>
      <c r="E1281">
        <v>6.4</v>
      </c>
      <c r="G1281">
        <v>14</v>
      </c>
      <c r="H1281" s="23">
        <f t="shared" si="55"/>
        <v>3</v>
      </c>
    </row>
    <row r="1282" spans="1:8" x14ac:dyDescent="0.25">
      <c r="A1282" s="22">
        <v>41896.166666666664</v>
      </c>
      <c r="B1282">
        <v>473.2</v>
      </c>
      <c r="C1282">
        <v>94.3</v>
      </c>
      <c r="D1282">
        <v>10.7</v>
      </c>
      <c r="E1282">
        <v>6.4</v>
      </c>
      <c r="G1282">
        <v>14</v>
      </c>
      <c r="H1282" s="23">
        <f t="shared" si="55"/>
        <v>4</v>
      </c>
    </row>
    <row r="1283" spans="1:8" x14ac:dyDescent="0.25">
      <c r="A1283" s="22">
        <v>41896.170138888891</v>
      </c>
      <c r="B1283">
        <v>472.3</v>
      </c>
      <c r="C1283">
        <v>94.2</v>
      </c>
      <c r="D1283">
        <v>10.7</v>
      </c>
      <c r="E1283">
        <v>6.4</v>
      </c>
      <c r="G1283">
        <v>14</v>
      </c>
      <c r="H1283" s="23">
        <f t="shared" si="55"/>
        <v>4</v>
      </c>
    </row>
    <row r="1284" spans="1:8" x14ac:dyDescent="0.25">
      <c r="A1284" s="22">
        <v>41896.173611111109</v>
      </c>
      <c r="B1284">
        <v>473.8</v>
      </c>
      <c r="C1284">
        <v>94.3</v>
      </c>
      <c r="D1284">
        <v>10.6</v>
      </c>
      <c r="E1284">
        <v>6.3</v>
      </c>
      <c r="G1284">
        <v>14</v>
      </c>
      <c r="H1284" s="23">
        <f t="shared" si="55"/>
        <v>4</v>
      </c>
    </row>
    <row r="1285" spans="1:8" x14ac:dyDescent="0.25">
      <c r="A1285" s="22">
        <v>41896.177083333336</v>
      </c>
      <c r="B1285">
        <v>474.2</v>
      </c>
      <c r="C1285">
        <v>94.3</v>
      </c>
      <c r="D1285">
        <v>10.6</v>
      </c>
      <c r="E1285">
        <v>6.3</v>
      </c>
      <c r="G1285">
        <v>14</v>
      </c>
      <c r="H1285" s="23">
        <f t="shared" si="55"/>
        <v>4</v>
      </c>
    </row>
    <row r="1286" spans="1:8" x14ac:dyDescent="0.25">
      <c r="A1286" s="22">
        <v>41896.180555555555</v>
      </c>
      <c r="B1286">
        <v>473.2</v>
      </c>
      <c r="C1286">
        <v>94.1</v>
      </c>
      <c r="D1286">
        <v>10.6</v>
      </c>
      <c r="E1286">
        <v>6.3</v>
      </c>
      <c r="G1286">
        <v>14</v>
      </c>
      <c r="H1286" s="23">
        <f t="shared" ref="H1286:H1349" si="56">+HOUR(A1286)</f>
        <v>4</v>
      </c>
    </row>
    <row r="1287" spans="1:8" x14ac:dyDescent="0.25">
      <c r="A1287" s="22">
        <v>41896.184027777781</v>
      </c>
      <c r="B1287">
        <v>472.9</v>
      </c>
      <c r="C1287">
        <v>94.2</v>
      </c>
      <c r="D1287">
        <v>10.5</v>
      </c>
      <c r="E1287">
        <v>6.2</v>
      </c>
      <c r="G1287">
        <v>14</v>
      </c>
      <c r="H1287" s="23">
        <f t="shared" si="56"/>
        <v>4</v>
      </c>
    </row>
    <row r="1288" spans="1:8" x14ac:dyDescent="0.25">
      <c r="A1288" s="22">
        <v>41896.1875</v>
      </c>
      <c r="B1288">
        <v>473.5</v>
      </c>
      <c r="C1288">
        <v>94.3</v>
      </c>
      <c r="D1288">
        <v>10.5</v>
      </c>
      <c r="E1288">
        <v>6.2</v>
      </c>
      <c r="G1288">
        <v>14</v>
      </c>
      <c r="H1288" s="23">
        <f t="shared" si="56"/>
        <v>4</v>
      </c>
    </row>
    <row r="1289" spans="1:8" x14ac:dyDescent="0.25">
      <c r="A1289" s="22">
        <v>41896.190972222219</v>
      </c>
      <c r="B1289">
        <v>476</v>
      </c>
      <c r="C1289">
        <v>94.1</v>
      </c>
      <c r="D1289">
        <v>10.4</v>
      </c>
      <c r="E1289">
        <v>6.1</v>
      </c>
      <c r="G1289">
        <v>14</v>
      </c>
      <c r="H1289" s="23">
        <f t="shared" si="56"/>
        <v>4</v>
      </c>
    </row>
    <row r="1290" spans="1:8" x14ac:dyDescent="0.25">
      <c r="A1290" s="22">
        <v>41896.194444444445</v>
      </c>
      <c r="B1290">
        <v>476.8</v>
      </c>
      <c r="C1290">
        <v>94.2</v>
      </c>
      <c r="D1290">
        <v>10.4</v>
      </c>
      <c r="E1290">
        <v>6.1</v>
      </c>
      <c r="G1290">
        <v>14</v>
      </c>
      <c r="H1290" s="23">
        <f t="shared" si="56"/>
        <v>4</v>
      </c>
    </row>
    <row r="1291" spans="1:8" x14ac:dyDescent="0.25">
      <c r="A1291" s="22">
        <v>41896.197916666664</v>
      </c>
      <c r="B1291">
        <v>475.7</v>
      </c>
      <c r="C1291">
        <v>94.2</v>
      </c>
      <c r="D1291">
        <v>10.4</v>
      </c>
      <c r="E1291">
        <v>6</v>
      </c>
      <c r="G1291">
        <v>14</v>
      </c>
      <c r="H1291" s="23">
        <f t="shared" si="56"/>
        <v>4</v>
      </c>
    </row>
    <row r="1292" spans="1:8" x14ac:dyDescent="0.25">
      <c r="A1292" s="22">
        <v>41896.201388888891</v>
      </c>
      <c r="B1292">
        <v>473.5</v>
      </c>
      <c r="C1292">
        <v>94.3</v>
      </c>
      <c r="D1292">
        <v>10.3</v>
      </c>
      <c r="E1292">
        <v>6</v>
      </c>
      <c r="G1292">
        <v>14</v>
      </c>
      <c r="H1292" s="23">
        <f t="shared" si="56"/>
        <v>4</v>
      </c>
    </row>
    <row r="1293" spans="1:8" x14ac:dyDescent="0.25">
      <c r="A1293" s="22">
        <v>41896.204861111109</v>
      </c>
      <c r="B1293">
        <v>470.9</v>
      </c>
      <c r="C1293">
        <v>94.3</v>
      </c>
      <c r="D1293">
        <v>10.3</v>
      </c>
      <c r="E1293">
        <v>6</v>
      </c>
      <c r="G1293">
        <v>14</v>
      </c>
      <c r="H1293" s="23">
        <f t="shared" si="56"/>
        <v>4</v>
      </c>
    </row>
    <row r="1294" spans="1:8" x14ac:dyDescent="0.25">
      <c r="A1294" s="22">
        <v>41896.208333333336</v>
      </c>
      <c r="B1294">
        <v>468.8</v>
      </c>
      <c r="C1294">
        <v>94.2</v>
      </c>
      <c r="D1294">
        <v>10.199999999999999</v>
      </c>
      <c r="E1294">
        <v>6</v>
      </c>
      <c r="G1294">
        <v>14</v>
      </c>
      <c r="H1294" s="23">
        <f t="shared" si="56"/>
        <v>5</v>
      </c>
    </row>
    <row r="1295" spans="1:8" x14ac:dyDescent="0.25">
      <c r="A1295" s="22">
        <v>41896.211805555555</v>
      </c>
      <c r="B1295">
        <v>467.2</v>
      </c>
      <c r="C1295">
        <v>94.3</v>
      </c>
      <c r="D1295">
        <v>10.199999999999999</v>
      </c>
      <c r="E1295">
        <v>6</v>
      </c>
      <c r="G1295">
        <v>14</v>
      </c>
      <c r="H1295" s="23">
        <f t="shared" si="56"/>
        <v>5</v>
      </c>
    </row>
    <row r="1296" spans="1:8" x14ac:dyDescent="0.25">
      <c r="A1296" s="22">
        <v>41896.215277777781</v>
      </c>
      <c r="B1296">
        <v>467.3</v>
      </c>
      <c r="C1296">
        <v>94.2</v>
      </c>
      <c r="D1296">
        <v>10.199999999999999</v>
      </c>
      <c r="E1296">
        <v>5.9</v>
      </c>
      <c r="G1296">
        <v>14</v>
      </c>
      <c r="H1296" s="23">
        <f t="shared" si="56"/>
        <v>5</v>
      </c>
    </row>
    <row r="1297" spans="1:8" x14ac:dyDescent="0.25">
      <c r="A1297" s="22">
        <v>41896.21875</v>
      </c>
      <c r="B1297">
        <v>467.2</v>
      </c>
      <c r="C1297">
        <v>94.2</v>
      </c>
      <c r="D1297">
        <v>10.199999999999999</v>
      </c>
      <c r="E1297">
        <v>5.9</v>
      </c>
      <c r="G1297">
        <v>14</v>
      </c>
      <c r="H1297" s="23">
        <f t="shared" si="56"/>
        <v>5</v>
      </c>
    </row>
    <row r="1298" spans="1:8" x14ac:dyDescent="0.25">
      <c r="A1298" s="22">
        <v>41896.222222222219</v>
      </c>
      <c r="B1298">
        <v>465.8</v>
      </c>
      <c r="C1298">
        <v>94.1</v>
      </c>
      <c r="D1298">
        <v>10.1</v>
      </c>
      <c r="E1298">
        <v>5.9</v>
      </c>
      <c r="G1298">
        <v>14</v>
      </c>
      <c r="H1298" s="23">
        <f t="shared" si="56"/>
        <v>5</v>
      </c>
    </row>
    <row r="1299" spans="1:8" x14ac:dyDescent="0.25">
      <c r="A1299" s="22">
        <v>41896.225694444445</v>
      </c>
      <c r="B1299">
        <v>463</v>
      </c>
      <c r="C1299">
        <v>94.2</v>
      </c>
      <c r="D1299">
        <v>10.1</v>
      </c>
      <c r="E1299">
        <v>5.9</v>
      </c>
      <c r="G1299">
        <v>14</v>
      </c>
      <c r="H1299" s="23">
        <f t="shared" si="56"/>
        <v>5</v>
      </c>
    </row>
    <row r="1300" spans="1:8" x14ac:dyDescent="0.25">
      <c r="A1300" s="22">
        <v>41896.229166666664</v>
      </c>
      <c r="B1300">
        <v>462.8</v>
      </c>
      <c r="C1300">
        <v>94.2</v>
      </c>
      <c r="D1300">
        <v>10.1</v>
      </c>
      <c r="E1300">
        <v>5.8</v>
      </c>
      <c r="G1300">
        <v>14</v>
      </c>
      <c r="H1300" s="23">
        <f t="shared" si="56"/>
        <v>5</v>
      </c>
    </row>
    <row r="1301" spans="1:8" x14ac:dyDescent="0.25">
      <c r="A1301" s="22">
        <v>41896.232638888891</v>
      </c>
      <c r="B1301">
        <v>462.8</v>
      </c>
      <c r="C1301">
        <v>94.3</v>
      </c>
      <c r="D1301">
        <v>10</v>
      </c>
      <c r="E1301">
        <v>5.8</v>
      </c>
      <c r="G1301">
        <v>14</v>
      </c>
      <c r="H1301" s="23">
        <f t="shared" si="56"/>
        <v>5</v>
      </c>
    </row>
    <row r="1302" spans="1:8" x14ac:dyDescent="0.25">
      <c r="A1302" s="22">
        <v>41896.236111111109</v>
      </c>
      <c r="B1302">
        <v>461.2</v>
      </c>
      <c r="C1302">
        <v>94.1</v>
      </c>
      <c r="D1302">
        <v>10</v>
      </c>
      <c r="E1302">
        <v>5.8</v>
      </c>
      <c r="G1302">
        <v>14</v>
      </c>
      <c r="H1302" s="23">
        <f t="shared" si="56"/>
        <v>5</v>
      </c>
    </row>
    <row r="1303" spans="1:8" x14ac:dyDescent="0.25">
      <c r="A1303" s="22">
        <v>41896.239583333336</v>
      </c>
      <c r="B1303">
        <v>458</v>
      </c>
      <c r="C1303">
        <v>94.1</v>
      </c>
      <c r="D1303">
        <v>10</v>
      </c>
      <c r="E1303">
        <v>5.8</v>
      </c>
      <c r="G1303">
        <v>14</v>
      </c>
      <c r="H1303" s="23">
        <f t="shared" si="56"/>
        <v>5</v>
      </c>
    </row>
    <row r="1304" spans="1:8" x14ac:dyDescent="0.25">
      <c r="A1304" s="22">
        <v>41896.243055555555</v>
      </c>
      <c r="B1304">
        <v>456.5</v>
      </c>
      <c r="C1304">
        <v>94.2</v>
      </c>
      <c r="D1304">
        <v>10</v>
      </c>
      <c r="E1304">
        <v>5.8</v>
      </c>
      <c r="G1304">
        <v>14</v>
      </c>
      <c r="H1304" s="23">
        <f t="shared" si="56"/>
        <v>5</v>
      </c>
    </row>
    <row r="1305" spans="1:8" x14ac:dyDescent="0.25">
      <c r="A1305" s="22">
        <v>41896.246527777781</v>
      </c>
      <c r="B1305">
        <v>453.6</v>
      </c>
      <c r="C1305">
        <v>94.3</v>
      </c>
      <c r="D1305">
        <v>9.9</v>
      </c>
      <c r="E1305">
        <v>5.8</v>
      </c>
      <c r="G1305">
        <v>14</v>
      </c>
      <c r="H1305" s="23">
        <f t="shared" si="56"/>
        <v>5</v>
      </c>
    </row>
    <row r="1306" spans="1:8" x14ac:dyDescent="0.25">
      <c r="A1306" s="22">
        <v>41896.25</v>
      </c>
      <c r="B1306">
        <v>449.4</v>
      </c>
      <c r="C1306">
        <v>94.2</v>
      </c>
      <c r="D1306">
        <v>9.9</v>
      </c>
      <c r="E1306">
        <v>5.8</v>
      </c>
      <c r="G1306">
        <v>14</v>
      </c>
      <c r="H1306" s="23">
        <f t="shared" si="56"/>
        <v>6</v>
      </c>
    </row>
    <row r="1307" spans="1:8" x14ac:dyDescent="0.25">
      <c r="A1307" s="22">
        <v>41896.253472222219</v>
      </c>
      <c r="B1307">
        <v>446</v>
      </c>
      <c r="C1307">
        <v>94.2</v>
      </c>
      <c r="D1307">
        <v>9.9</v>
      </c>
      <c r="E1307">
        <v>5.8</v>
      </c>
      <c r="G1307">
        <v>14</v>
      </c>
      <c r="H1307" s="23">
        <f t="shared" si="56"/>
        <v>6</v>
      </c>
    </row>
    <row r="1308" spans="1:8" x14ac:dyDescent="0.25">
      <c r="A1308" s="22">
        <v>41896.256944444445</v>
      </c>
      <c r="B1308">
        <v>443.2</v>
      </c>
      <c r="C1308">
        <v>94.2</v>
      </c>
      <c r="D1308">
        <v>9.8000000000000007</v>
      </c>
      <c r="E1308">
        <v>5.8</v>
      </c>
      <c r="G1308">
        <v>14</v>
      </c>
      <c r="H1308" s="23">
        <f t="shared" si="56"/>
        <v>6</v>
      </c>
    </row>
    <row r="1309" spans="1:8" x14ac:dyDescent="0.25">
      <c r="A1309" s="22">
        <v>41896.260416666664</v>
      </c>
      <c r="B1309">
        <v>438.9</v>
      </c>
      <c r="C1309">
        <v>94.2</v>
      </c>
      <c r="D1309">
        <v>9.8000000000000007</v>
      </c>
      <c r="E1309">
        <v>5.8</v>
      </c>
      <c r="G1309">
        <v>14</v>
      </c>
      <c r="H1309" s="23">
        <f t="shared" si="56"/>
        <v>6</v>
      </c>
    </row>
    <row r="1310" spans="1:8" x14ac:dyDescent="0.25">
      <c r="A1310" s="22">
        <v>41896.263888888891</v>
      </c>
      <c r="B1310">
        <v>437.1</v>
      </c>
      <c r="C1310">
        <v>94.2</v>
      </c>
      <c r="D1310">
        <v>9.8000000000000007</v>
      </c>
      <c r="E1310">
        <v>5.8</v>
      </c>
      <c r="G1310">
        <v>14</v>
      </c>
      <c r="H1310" s="23">
        <f t="shared" si="56"/>
        <v>6</v>
      </c>
    </row>
    <row r="1311" spans="1:8" x14ac:dyDescent="0.25">
      <c r="A1311" s="22">
        <v>41896.267361111109</v>
      </c>
      <c r="B1311">
        <v>435</v>
      </c>
      <c r="C1311">
        <v>94.1</v>
      </c>
      <c r="D1311">
        <v>9.8000000000000007</v>
      </c>
      <c r="E1311">
        <v>5.8</v>
      </c>
      <c r="G1311">
        <v>14</v>
      </c>
      <c r="H1311" s="23">
        <f t="shared" si="56"/>
        <v>6</v>
      </c>
    </row>
    <row r="1312" spans="1:8" x14ac:dyDescent="0.25">
      <c r="A1312" s="22">
        <v>41896.270833333336</v>
      </c>
      <c r="B1312">
        <v>433.4</v>
      </c>
      <c r="C1312">
        <v>94.1</v>
      </c>
      <c r="D1312">
        <v>9.8000000000000007</v>
      </c>
      <c r="E1312">
        <v>5.8</v>
      </c>
      <c r="G1312">
        <v>14</v>
      </c>
      <c r="H1312" s="23">
        <f t="shared" si="56"/>
        <v>6</v>
      </c>
    </row>
    <row r="1313" spans="1:8" x14ac:dyDescent="0.25">
      <c r="A1313" s="22">
        <v>41896.274305555555</v>
      </c>
      <c r="B1313">
        <v>441.3</v>
      </c>
      <c r="C1313">
        <v>94.3</v>
      </c>
      <c r="D1313">
        <v>9.8000000000000007</v>
      </c>
      <c r="E1313">
        <v>5.8</v>
      </c>
      <c r="G1313">
        <v>14</v>
      </c>
      <c r="H1313" s="23">
        <f t="shared" si="56"/>
        <v>6</v>
      </c>
    </row>
    <row r="1314" spans="1:8" x14ac:dyDescent="0.25">
      <c r="A1314" s="22">
        <v>41896.277777777781</v>
      </c>
      <c r="B1314">
        <v>417.9</v>
      </c>
      <c r="C1314">
        <v>94.3</v>
      </c>
      <c r="D1314">
        <v>9.6</v>
      </c>
      <c r="E1314">
        <v>5.8</v>
      </c>
      <c r="G1314">
        <v>14</v>
      </c>
      <c r="H1314" s="23">
        <f t="shared" si="56"/>
        <v>6</v>
      </c>
    </row>
    <row r="1315" spans="1:8" x14ac:dyDescent="0.25">
      <c r="A1315" s="22">
        <v>41896.28125</v>
      </c>
      <c r="B1315">
        <v>461.1</v>
      </c>
      <c r="C1315">
        <v>94.2</v>
      </c>
      <c r="D1315">
        <v>10.1</v>
      </c>
      <c r="E1315">
        <v>5.9</v>
      </c>
      <c r="G1315">
        <v>14</v>
      </c>
      <c r="H1315" s="23">
        <f t="shared" si="56"/>
        <v>6</v>
      </c>
    </row>
    <row r="1316" spans="1:8" x14ac:dyDescent="0.25">
      <c r="A1316" s="22">
        <v>41896.284722222219</v>
      </c>
      <c r="B1316">
        <v>464</v>
      </c>
      <c r="C1316">
        <v>94.2</v>
      </c>
      <c r="D1316">
        <v>10.199999999999999</v>
      </c>
      <c r="E1316">
        <v>6</v>
      </c>
      <c r="G1316">
        <v>14</v>
      </c>
      <c r="H1316" s="23">
        <f t="shared" si="56"/>
        <v>6</v>
      </c>
    </row>
    <row r="1317" spans="1:8" x14ac:dyDescent="0.25">
      <c r="A1317" s="22">
        <v>41896.288194444445</v>
      </c>
      <c r="B1317">
        <v>467.4</v>
      </c>
      <c r="C1317">
        <v>94.2</v>
      </c>
      <c r="D1317">
        <v>10.199999999999999</v>
      </c>
      <c r="E1317">
        <v>5.9</v>
      </c>
      <c r="G1317">
        <v>14</v>
      </c>
      <c r="H1317" s="23">
        <f t="shared" si="56"/>
        <v>6</v>
      </c>
    </row>
    <row r="1318" spans="1:8" x14ac:dyDescent="0.25">
      <c r="A1318" s="22">
        <v>41896.291666666664</v>
      </c>
      <c r="B1318">
        <v>467.2</v>
      </c>
      <c r="C1318">
        <v>94.3</v>
      </c>
      <c r="D1318">
        <v>10.199999999999999</v>
      </c>
      <c r="E1318">
        <v>6</v>
      </c>
      <c r="G1318">
        <v>14</v>
      </c>
      <c r="H1318" s="23">
        <f t="shared" si="56"/>
        <v>7</v>
      </c>
    </row>
    <row r="1319" spans="1:8" x14ac:dyDescent="0.25">
      <c r="A1319" s="22">
        <v>41896.295138888891</v>
      </c>
      <c r="B1319">
        <v>465.8</v>
      </c>
      <c r="C1319">
        <v>94.1</v>
      </c>
      <c r="D1319">
        <v>10.199999999999999</v>
      </c>
      <c r="E1319">
        <v>6</v>
      </c>
      <c r="G1319">
        <v>14</v>
      </c>
      <c r="H1319" s="23">
        <f t="shared" si="56"/>
        <v>7</v>
      </c>
    </row>
    <row r="1320" spans="1:8" x14ac:dyDescent="0.25">
      <c r="A1320" s="22">
        <v>41896.298611111109</v>
      </c>
      <c r="B1320">
        <v>467.3</v>
      </c>
      <c r="C1320">
        <v>94.2</v>
      </c>
      <c r="D1320">
        <v>10.3</v>
      </c>
      <c r="E1320">
        <v>6</v>
      </c>
      <c r="G1320">
        <v>14</v>
      </c>
      <c r="H1320" s="23">
        <f t="shared" si="56"/>
        <v>7</v>
      </c>
    </row>
    <row r="1321" spans="1:8" x14ac:dyDescent="0.25">
      <c r="A1321" s="22">
        <v>41896.302083333336</v>
      </c>
      <c r="B1321">
        <v>463.6</v>
      </c>
      <c r="C1321">
        <v>94.2</v>
      </c>
      <c r="D1321">
        <v>10.4</v>
      </c>
      <c r="E1321">
        <v>6.1</v>
      </c>
      <c r="G1321">
        <v>14</v>
      </c>
      <c r="H1321" s="23">
        <f t="shared" si="56"/>
        <v>7</v>
      </c>
    </row>
    <row r="1322" spans="1:8" x14ac:dyDescent="0.25">
      <c r="A1322" s="22">
        <v>41896.305555555555</v>
      </c>
      <c r="B1322">
        <v>465.7</v>
      </c>
      <c r="C1322">
        <v>94.3</v>
      </c>
      <c r="D1322">
        <v>10.4</v>
      </c>
      <c r="E1322">
        <v>6.1</v>
      </c>
      <c r="G1322">
        <v>14</v>
      </c>
      <c r="H1322" s="23">
        <f t="shared" si="56"/>
        <v>7</v>
      </c>
    </row>
    <row r="1323" spans="1:8" x14ac:dyDescent="0.25">
      <c r="A1323" s="22">
        <v>41896.309027777781</v>
      </c>
      <c r="B1323">
        <v>467.1</v>
      </c>
      <c r="C1323">
        <v>94.3</v>
      </c>
      <c r="D1323">
        <v>10.4</v>
      </c>
      <c r="E1323">
        <v>6.1</v>
      </c>
      <c r="G1323">
        <v>14</v>
      </c>
      <c r="H1323" s="23">
        <f t="shared" si="56"/>
        <v>7</v>
      </c>
    </row>
    <row r="1324" spans="1:8" x14ac:dyDescent="0.25">
      <c r="A1324" s="22">
        <v>41896.3125</v>
      </c>
      <c r="B1324">
        <v>466.9</v>
      </c>
      <c r="C1324">
        <v>94.3</v>
      </c>
      <c r="D1324">
        <v>10.4</v>
      </c>
      <c r="E1324">
        <v>6.2</v>
      </c>
      <c r="G1324">
        <v>14</v>
      </c>
      <c r="H1324" s="23">
        <f t="shared" si="56"/>
        <v>7</v>
      </c>
    </row>
    <row r="1325" spans="1:8" x14ac:dyDescent="0.25">
      <c r="A1325" s="22">
        <v>41896.315972222219</v>
      </c>
      <c r="B1325">
        <v>467</v>
      </c>
      <c r="C1325">
        <v>94.3</v>
      </c>
      <c r="D1325">
        <v>10.4</v>
      </c>
      <c r="E1325">
        <v>6.2</v>
      </c>
      <c r="G1325">
        <v>14</v>
      </c>
      <c r="H1325" s="23">
        <f t="shared" si="56"/>
        <v>7</v>
      </c>
    </row>
    <row r="1326" spans="1:8" x14ac:dyDescent="0.25">
      <c r="A1326" s="22">
        <v>41896.319444444445</v>
      </c>
      <c r="B1326">
        <v>465.8</v>
      </c>
      <c r="C1326">
        <v>94.3</v>
      </c>
      <c r="D1326">
        <v>10.5</v>
      </c>
      <c r="E1326">
        <v>6.2</v>
      </c>
      <c r="G1326">
        <v>14</v>
      </c>
      <c r="H1326" s="23">
        <f t="shared" si="56"/>
        <v>7</v>
      </c>
    </row>
    <row r="1327" spans="1:8" x14ac:dyDescent="0.25">
      <c r="A1327" s="22">
        <v>41896.322916666664</v>
      </c>
      <c r="B1327">
        <v>465.7</v>
      </c>
      <c r="C1327">
        <v>94.3</v>
      </c>
      <c r="D1327">
        <v>10.5</v>
      </c>
      <c r="E1327">
        <v>6.2</v>
      </c>
      <c r="G1327">
        <v>14</v>
      </c>
      <c r="H1327" s="23">
        <f t="shared" si="56"/>
        <v>7</v>
      </c>
    </row>
    <row r="1328" spans="1:8" x14ac:dyDescent="0.25">
      <c r="A1328" s="22">
        <v>41896.326388888891</v>
      </c>
      <c r="B1328">
        <v>464.7</v>
      </c>
      <c r="C1328">
        <v>94.3</v>
      </c>
      <c r="D1328">
        <v>10.5</v>
      </c>
      <c r="E1328">
        <v>6.3</v>
      </c>
      <c r="G1328">
        <v>14</v>
      </c>
      <c r="H1328" s="23">
        <f t="shared" si="56"/>
        <v>7</v>
      </c>
    </row>
    <row r="1329" spans="1:8" x14ac:dyDescent="0.25">
      <c r="A1329" s="22">
        <v>41896.329861111109</v>
      </c>
      <c r="B1329">
        <v>466.6</v>
      </c>
      <c r="C1329">
        <v>94.2</v>
      </c>
      <c r="D1329">
        <v>10.5</v>
      </c>
      <c r="E1329">
        <v>6.3</v>
      </c>
      <c r="G1329">
        <v>14</v>
      </c>
      <c r="H1329" s="23">
        <f t="shared" si="56"/>
        <v>7</v>
      </c>
    </row>
    <row r="1330" spans="1:8" x14ac:dyDescent="0.25">
      <c r="A1330" s="22">
        <v>41896.333333333336</v>
      </c>
      <c r="B1330">
        <v>466.4</v>
      </c>
      <c r="C1330">
        <v>94.3</v>
      </c>
      <c r="D1330">
        <v>10.6</v>
      </c>
      <c r="E1330">
        <v>6.3</v>
      </c>
      <c r="G1330">
        <v>14</v>
      </c>
      <c r="H1330" s="23">
        <f t="shared" si="56"/>
        <v>8</v>
      </c>
    </row>
    <row r="1331" spans="1:8" x14ac:dyDescent="0.25">
      <c r="A1331" s="22">
        <v>41896.336805555555</v>
      </c>
      <c r="B1331">
        <v>465.4</v>
      </c>
      <c r="C1331">
        <v>94.4</v>
      </c>
      <c r="D1331">
        <v>10.6</v>
      </c>
      <c r="E1331">
        <v>6.4</v>
      </c>
      <c r="G1331">
        <v>14</v>
      </c>
      <c r="H1331" s="23">
        <f t="shared" si="56"/>
        <v>8</v>
      </c>
    </row>
    <row r="1332" spans="1:8" x14ac:dyDescent="0.25">
      <c r="A1332" s="22">
        <v>41896.340277777781</v>
      </c>
      <c r="B1332">
        <v>466</v>
      </c>
      <c r="C1332">
        <v>94.4</v>
      </c>
      <c r="D1332">
        <v>10.7</v>
      </c>
      <c r="E1332">
        <v>6.4</v>
      </c>
      <c r="G1332">
        <v>14</v>
      </c>
      <c r="H1332" s="23">
        <f t="shared" si="56"/>
        <v>8</v>
      </c>
    </row>
    <row r="1333" spans="1:8" x14ac:dyDescent="0.25">
      <c r="A1333" s="22">
        <v>41896.34375</v>
      </c>
      <c r="B1333">
        <v>468.7</v>
      </c>
      <c r="C1333">
        <v>94.3</v>
      </c>
      <c r="D1333">
        <v>10.7</v>
      </c>
      <c r="E1333">
        <v>6.4</v>
      </c>
      <c r="G1333">
        <v>14</v>
      </c>
      <c r="H1333" s="23">
        <f t="shared" si="56"/>
        <v>8</v>
      </c>
    </row>
    <row r="1334" spans="1:8" x14ac:dyDescent="0.25">
      <c r="A1334" s="22">
        <v>41896.347222222219</v>
      </c>
      <c r="B1334">
        <v>468.3</v>
      </c>
      <c r="C1334">
        <v>94.3</v>
      </c>
      <c r="D1334">
        <v>10.7</v>
      </c>
      <c r="E1334">
        <v>6.5</v>
      </c>
      <c r="G1334">
        <v>14</v>
      </c>
      <c r="H1334" s="23">
        <f t="shared" si="56"/>
        <v>8</v>
      </c>
    </row>
    <row r="1335" spans="1:8" x14ac:dyDescent="0.25">
      <c r="A1335" s="22">
        <v>41896.350694444445</v>
      </c>
      <c r="B1335">
        <v>469.6</v>
      </c>
      <c r="C1335">
        <v>94.4</v>
      </c>
      <c r="D1335">
        <v>10.7</v>
      </c>
      <c r="E1335">
        <v>6.5</v>
      </c>
      <c r="G1335">
        <v>14</v>
      </c>
      <c r="H1335" s="23">
        <f t="shared" si="56"/>
        <v>8</v>
      </c>
    </row>
    <row r="1336" spans="1:8" x14ac:dyDescent="0.25">
      <c r="A1336" s="22">
        <v>41896.354166666664</v>
      </c>
      <c r="B1336">
        <v>468.1</v>
      </c>
      <c r="C1336">
        <v>94.3</v>
      </c>
      <c r="D1336">
        <v>10.8</v>
      </c>
      <c r="E1336">
        <v>6.5</v>
      </c>
      <c r="G1336">
        <v>14</v>
      </c>
      <c r="H1336" s="23">
        <f t="shared" si="56"/>
        <v>8</v>
      </c>
    </row>
    <row r="1337" spans="1:8" x14ac:dyDescent="0.25">
      <c r="A1337" s="22">
        <v>41896.357638888891</v>
      </c>
      <c r="B1337">
        <v>466.6</v>
      </c>
      <c r="C1337">
        <v>94.4</v>
      </c>
      <c r="D1337">
        <v>10.8</v>
      </c>
      <c r="E1337">
        <v>6.6</v>
      </c>
      <c r="G1337">
        <v>14</v>
      </c>
      <c r="H1337" s="23">
        <f t="shared" si="56"/>
        <v>8</v>
      </c>
    </row>
    <row r="1338" spans="1:8" x14ac:dyDescent="0.25">
      <c r="A1338" s="22">
        <v>41896.361111111109</v>
      </c>
      <c r="B1338">
        <v>464.6</v>
      </c>
      <c r="C1338">
        <v>94.2</v>
      </c>
      <c r="D1338">
        <v>10.8</v>
      </c>
      <c r="E1338">
        <v>6.6</v>
      </c>
      <c r="G1338">
        <v>14</v>
      </c>
      <c r="H1338" s="23">
        <f t="shared" si="56"/>
        <v>8</v>
      </c>
    </row>
    <row r="1339" spans="1:8" x14ac:dyDescent="0.25">
      <c r="A1339" s="22">
        <v>41896.364583333336</v>
      </c>
      <c r="B1339">
        <v>464.2</v>
      </c>
      <c r="C1339">
        <v>94.4</v>
      </c>
      <c r="D1339">
        <v>10.8</v>
      </c>
      <c r="E1339">
        <v>6.6</v>
      </c>
      <c r="G1339">
        <v>14</v>
      </c>
      <c r="H1339" s="23">
        <f t="shared" si="56"/>
        <v>8</v>
      </c>
    </row>
    <row r="1340" spans="1:8" x14ac:dyDescent="0.25">
      <c r="A1340" s="22">
        <v>41896.368055555555</v>
      </c>
      <c r="B1340">
        <v>461.6</v>
      </c>
      <c r="C1340">
        <v>94.4</v>
      </c>
      <c r="D1340">
        <v>10.9</v>
      </c>
      <c r="E1340">
        <v>6.7</v>
      </c>
      <c r="G1340">
        <v>14</v>
      </c>
      <c r="H1340" s="23">
        <f t="shared" si="56"/>
        <v>8</v>
      </c>
    </row>
    <row r="1341" spans="1:8" x14ac:dyDescent="0.25">
      <c r="A1341" s="22">
        <v>41896.371527777781</v>
      </c>
      <c r="B1341">
        <v>460.9</v>
      </c>
      <c r="C1341">
        <v>94.4</v>
      </c>
      <c r="D1341">
        <v>10.9</v>
      </c>
      <c r="E1341">
        <v>6.7</v>
      </c>
      <c r="G1341">
        <v>14</v>
      </c>
      <c r="H1341" s="23">
        <f t="shared" si="56"/>
        <v>8</v>
      </c>
    </row>
    <row r="1342" spans="1:8" x14ac:dyDescent="0.25">
      <c r="A1342" s="22">
        <v>41896.375</v>
      </c>
      <c r="B1342">
        <v>464.4</v>
      </c>
      <c r="C1342">
        <v>94.4</v>
      </c>
      <c r="D1342">
        <v>10.9</v>
      </c>
      <c r="E1342">
        <v>6.7</v>
      </c>
      <c r="G1342">
        <v>14</v>
      </c>
      <c r="H1342" s="23">
        <f t="shared" si="56"/>
        <v>9</v>
      </c>
    </row>
    <row r="1343" spans="1:8" x14ac:dyDescent="0.25">
      <c r="A1343" s="22">
        <v>41896.378472222219</v>
      </c>
      <c r="B1343">
        <v>463.6</v>
      </c>
      <c r="C1343">
        <v>94.3</v>
      </c>
      <c r="D1343">
        <v>10.9</v>
      </c>
      <c r="E1343">
        <v>6.7</v>
      </c>
      <c r="G1343">
        <v>14</v>
      </c>
      <c r="H1343" s="23">
        <f t="shared" si="56"/>
        <v>9</v>
      </c>
    </row>
    <row r="1344" spans="1:8" x14ac:dyDescent="0.25">
      <c r="A1344" s="22">
        <v>41896.381944444445</v>
      </c>
      <c r="B1344">
        <v>469.8</v>
      </c>
      <c r="C1344">
        <v>94.4</v>
      </c>
      <c r="D1344">
        <v>10.9</v>
      </c>
      <c r="E1344">
        <v>6.6</v>
      </c>
      <c r="G1344">
        <v>14</v>
      </c>
      <c r="H1344" s="23">
        <f t="shared" si="56"/>
        <v>9</v>
      </c>
    </row>
    <row r="1345" spans="1:8" x14ac:dyDescent="0.25">
      <c r="A1345" s="22">
        <v>41896.385416666664</v>
      </c>
      <c r="B1345">
        <v>467.9</v>
      </c>
      <c r="C1345">
        <v>94.4</v>
      </c>
      <c r="D1345">
        <v>10.9</v>
      </c>
      <c r="E1345">
        <v>6.7</v>
      </c>
      <c r="G1345">
        <v>14</v>
      </c>
      <c r="H1345" s="23">
        <f t="shared" si="56"/>
        <v>9</v>
      </c>
    </row>
    <row r="1346" spans="1:8" x14ac:dyDescent="0.25">
      <c r="A1346" s="22">
        <v>41896.388888888891</v>
      </c>
      <c r="B1346">
        <v>466.5</v>
      </c>
      <c r="C1346">
        <v>94.3</v>
      </c>
      <c r="D1346">
        <v>10.9</v>
      </c>
      <c r="E1346">
        <v>6.7</v>
      </c>
      <c r="G1346">
        <v>14</v>
      </c>
      <c r="H1346" s="23">
        <f t="shared" si="56"/>
        <v>9</v>
      </c>
    </row>
    <row r="1347" spans="1:8" x14ac:dyDescent="0.25">
      <c r="A1347" s="22">
        <v>41896.392361111109</v>
      </c>
      <c r="B1347">
        <v>465.4</v>
      </c>
      <c r="C1347">
        <v>94.3</v>
      </c>
      <c r="D1347">
        <v>10.9</v>
      </c>
      <c r="E1347">
        <v>6.7</v>
      </c>
      <c r="G1347">
        <v>14</v>
      </c>
      <c r="H1347" s="23">
        <f t="shared" si="56"/>
        <v>9</v>
      </c>
    </row>
    <row r="1348" spans="1:8" x14ac:dyDescent="0.25">
      <c r="A1348" s="22">
        <v>41896.395833333336</v>
      </c>
      <c r="B1348">
        <v>461.7</v>
      </c>
      <c r="C1348">
        <v>94.3</v>
      </c>
      <c r="D1348">
        <v>10.9</v>
      </c>
      <c r="E1348">
        <v>6.7</v>
      </c>
      <c r="G1348">
        <v>14</v>
      </c>
      <c r="H1348" s="23">
        <f t="shared" si="56"/>
        <v>9</v>
      </c>
    </row>
    <row r="1349" spans="1:8" x14ac:dyDescent="0.25">
      <c r="A1349" s="22">
        <v>41896.399305555555</v>
      </c>
      <c r="B1349">
        <v>462.6</v>
      </c>
      <c r="C1349">
        <v>94.4</v>
      </c>
      <c r="D1349">
        <v>10.9</v>
      </c>
      <c r="E1349">
        <v>6.7</v>
      </c>
      <c r="G1349">
        <v>14</v>
      </c>
      <c r="H1349" s="23">
        <f t="shared" si="56"/>
        <v>9</v>
      </c>
    </row>
    <row r="1350" spans="1:8" x14ac:dyDescent="0.25">
      <c r="A1350" s="22">
        <v>41896.402777777781</v>
      </c>
      <c r="B1350">
        <v>461.5</v>
      </c>
      <c r="C1350">
        <v>94.3</v>
      </c>
      <c r="D1350">
        <v>10.9</v>
      </c>
      <c r="E1350">
        <v>6.7</v>
      </c>
      <c r="G1350">
        <v>14</v>
      </c>
      <c r="H1350" s="23">
        <f t="shared" ref="H1350:H1413" si="57">+HOUR(A1350)</f>
        <v>9</v>
      </c>
    </row>
    <row r="1351" spans="1:8" x14ac:dyDescent="0.25">
      <c r="A1351" s="22">
        <v>41896.40625</v>
      </c>
      <c r="B1351">
        <v>461.6</v>
      </c>
      <c r="C1351">
        <v>94.2</v>
      </c>
      <c r="D1351">
        <v>10.9</v>
      </c>
      <c r="E1351">
        <v>6.7</v>
      </c>
      <c r="G1351">
        <v>14</v>
      </c>
      <c r="H1351" s="23">
        <f t="shared" si="57"/>
        <v>9</v>
      </c>
    </row>
    <row r="1352" spans="1:8" x14ac:dyDescent="0.25">
      <c r="A1352" s="22">
        <v>41896.409722222219</v>
      </c>
      <c r="B1352">
        <v>465.5</v>
      </c>
      <c r="C1352">
        <v>94.3</v>
      </c>
      <c r="D1352">
        <v>10.9</v>
      </c>
      <c r="E1352">
        <v>6.7</v>
      </c>
      <c r="G1352">
        <v>14</v>
      </c>
      <c r="H1352" s="23">
        <f t="shared" si="57"/>
        <v>9</v>
      </c>
    </row>
    <row r="1353" spans="1:8" x14ac:dyDescent="0.25">
      <c r="A1353" s="22">
        <v>41896.413194444445</v>
      </c>
      <c r="B1353">
        <v>465.6</v>
      </c>
      <c r="C1353">
        <v>94.4</v>
      </c>
      <c r="D1353">
        <v>11</v>
      </c>
      <c r="E1353">
        <v>6.7</v>
      </c>
      <c r="G1353">
        <v>14</v>
      </c>
      <c r="H1353" s="23">
        <f t="shared" si="57"/>
        <v>9</v>
      </c>
    </row>
    <row r="1354" spans="1:8" x14ac:dyDescent="0.25">
      <c r="A1354" s="22">
        <v>41896.416666666664</v>
      </c>
      <c r="B1354">
        <v>466.5</v>
      </c>
      <c r="C1354">
        <v>94.3</v>
      </c>
      <c r="D1354">
        <v>11</v>
      </c>
      <c r="E1354">
        <v>6.8</v>
      </c>
      <c r="G1354">
        <v>14</v>
      </c>
      <c r="H1354" s="23">
        <f t="shared" si="57"/>
        <v>10</v>
      </c>
    </row>
    <row r="1355" spans="1:8" x14ac:dyDescent="0.25">
      <c r="A1355" s="22">
        <v>41896.420138888891</v>
      </c>
      <c r="B1355">
        <v>469.1</v>
      </c>
      <c r="C1355">
        <v>94.4</v>
      </c>
      <c r="D1355">
        <v>11</v>
      </c>
      <c r="E1355">
        <v>6.8</v>
      </c>
      <c r="G1355">
        <v>14</v>
      </c>
      <c r="H1355" s="23">
        <f t="shared" si="57"/>
        <v>10</v>
      </c>
    </row>
    <row r="1356" spans="1:8" x14ac:dyDescent="0.25">
      <c r="A1356" s="22">
        <v>41896.423611111109</v>
      </c>
      <c r="B1356">
        <v>470.7</v>
      </c>
      <c r="C1356">
        <v>94.3</v>
      </c>
      <c r="D1356">
        <v>11</v>
      </c>
      <c r="E1356">
        <v>6.8</v>
      </c>
      <c r="G1356">
        <v>14</v>
      </c>
      <c r="H1356" s="23">
        <f t="shared" si="57"/>
        <v>10</v>
      </c>
    </row>
    <row r="1357" spans="1:8" x14ac:dyDescent="0.25">
      <c r="A1357" s="22">
        <v>41896.427083333336</v>
      </c>
      <c r="B1357">
        <v>472.9</v>
      </c>
      <c r="C1357">
        <v>94.3</v>
      </c>
      <c r="D1357">
        <v>11.1</v>
      </c>
      <c r="E1357">
        <v>6.8</v>
      </c>
      <c r="G1357">
        <v>14</v>
      </c>
      <c r="H1357" s="23">
        <f t="shared" si="57"/>
        <v>10</v>
      </c>
    </row>
    <row r="1358" spans="1:8" x14ac:dyDescent="0.25">
      <c r="A1358" s="22">
        <v>41896.430555555555</v>
      </c>
      <c r="B1358">
        <v>466.9</v>
      </c>
      <c r="C1358">
        <v>94.4</v>
      </c>
      <c r="D1358">
        <v>10.9</v>
      </c>
      <c r="E1358">
        <v>6.6</v>
      </c>
      <c r="G1358">
        <v>14</v>
      </c>
      <c r="H1358" s="23">
        <f t="shared" si="57"/>
        <v>10</v>
      </c>
    </row>
    <row r="1359" spans="1:8" x14ac:dyDescent="0.25">
      <c r="A1359" s="22">
        <v>41896.434027777781</v>
      </c>
      <c r="B1359">
        <v>470.9</v>
      </c>
      <c r="C1359">
        <v>94.2</v>
      </c>
      <c r="D1359">
        <v>10.7</v>
      </c>
      <c r="E1359">
        <v>6.4</v>
      </c>
      <c r="G1359">
        <v>14</v>
      </c>
      <c r="H1359" s="23">
        <f t="shared" si="57"/>
        <v>10</v>
      </c>
    </row>
    <row r="1360" spans="1:8" x14ac:dyDescent="0.25">
      <c r="A1360" s="22">
        <v>41896.4375</v>
      </c>
      <c r="B1360">
        <v>469.1</v>
      </c>
      <c r="C1360">
        <v>94.2</v>
      </c>
      <c r="D1360">
        <v>10.7</v>
      </c>
      <c r="E1360">
        <v>6.4</v>
      </c>
      <c r="G1360">
        <v>14</v>
      </c>
      <c r="H1360" s="23">
        <f t="shared" si="57"/>
        <v>10</v>
      </c>
    </row>
    <row r="1361" spans="1:8" x14ac:dyDescent="0.25">
      <c r="A1361" s="22">
        <v>41896.440972222219</v>
      </c>
      <c r="B1361">
        <v>468.4</v>
      </c>
      <c r="C1361">
        <v>94.3</v>
      </c>
      <c r="D1361">
        <v>10.6</v>
      </c>
      <c r="E1361">
        <v>6.3</v>
      </c>
      <c r="G1361">
        <v>14</v>
      </c>
      <c r="H1361" s="23">
        <f t="shared" si="57"/>
        <v>10</v>
      </c>
    </row>
    <row r="1362" spans="1:8" x14ac:dyDescent="0.25">
      <c r="A1362" s="22">
        <v>41896.444444444445</v>
      </c>
      <c r="B1362">
        <v>465.3</v>
      </c>
      <c r="C1362">
        <v>94.3</v>
      </c>
      <c r="D1362">
        <v>10.5</v>
      </c>
      <c r="E1362">
        <v>6.3</v>
      </c>
      <c r="G1362">
        <v>14</v>
      </c>
      <c r="H1362" s="23">
        <f t="shared" si="57"/>
        <v>10</v>
      </c>
    </row>
    <row r="1363" spans="1:8" x14ac:dyDescent="0.25">
      <c r="A1363" s="22">
        <v>41896.447916666664</v>
      </c>
      <c r="B1363">
        <v>466.1</v>
      </c>
      <c r="C1363">
        <v>94.3</v>
      </c>
      <c r="D1363">
        <v>10.4</v>
      </c>
      <c r="E1363">
        <v>6.2</v>
      </c>
      <c r="G1363">
        <v>14</v>
      </c>
      <c r="H1363" s="23">
        <f t="shared" si="57"/>
        <v>10</v>
      </c>
    </row>
    <row r="1364" spans="1:8" x14ac:dyDescent="0.25">
      <c r="A1364" s="22">
        <v>41896.451388888891</v>
      </c>
      <c r="B1364">
        <v>465</v>
      </c>
      <c r="C1364">
        <v>94.2</v>
      </c>
      <c r="D1364">
        <v>10.4</v>
      </c>
      <c r="E1364">
        <v>6.1</v>
      </c>
      <c r="G1364">
        <v>14</v>
      </c>
      <c r="H1364" s="23">
        <f t="shared" si="57"/>
        <v>10</v>
      </c>
    </row>
    <row r="1365" spans="1:8" x14ac:dyDescent="0.25">
      <c r="A1365" s="22">
        <v>41896.454861111109</v>
      </c>
      <c r="B1365">
        <v>464.3</v>
      </c>
      <c r="C1365">
        <v>94.2</v>
      </c>
      <c r="D1365">
        <v>10.3</v>
      </c>
      <c r="E1365">
        <v>6.1</v>
      </c>
      <c r="G1365">
        <v>14</v>
      </c>
      <c r="H1365" s="23">
        <f t="shared" si="57"/>
        <v>10</v>
      </c>
    </row>
    <row r="1366" spans="1:8" x14ac:dyDescent="0.25">
      <c r="A1366" s="22">
        <v>41896.458333333336</v>
      </c>
      <c r="B1366">
        <v>464</v>
      </c>
      <c r="C1366">
        <v>94.2</v>
      </c>
      <c r="D1366">
        <v>10.3</v>
      </c>
      <c r="E1366">
        <v>6.1</v>
      </c>
      <c r="G1366">
        <v>14</v>
      </c>
      <c r="H1366" s="23">
        <f t="shared" si="57"/>
        <v>11</v>
      </c>
    </row>
    <row r="1367" spans="1:8" x14ac:dyDescent="0.25">
      <c r="A1367" s="22">
        <v>41896.461805555555</v>
      </c>
      <c r="B1367">
        <v>461.2</v>
      </c>
      <c r="C1367">
        <v>94.2</v>
      </c>
      <c r="D1367">
        <v>10.199999999999999</v>
      </c>
      <c r="E1367">
        <v>6</v>
      </c>
      <c r="G1367">
        <v>14</v>
      </c>
      <c r="H1367" s="23">
        <f t="shared" si="57"/>
        <v>11</v>
      </c>
    </row>
    <row r="1368" spans="1:8" x14ac:dyDescent="0.25">
      <c r="A1368" s="22">
        <v>41896.465277777781</v>
      </c>
      <c r="B1368">
        <v>458.1</v>
      </c>
      <c r="C1368">
        <v>94.1</v>
      </c>
      <c r="D1368">
        <v>10.199999999999999</v>
      </c>
      <c r="E1368">
        <v>6</v>
      </c>
      <c r="G1368">
        <v>14</v>
      </c>
      <c r="H1368" s="23">
        <f t="shared" si="57"/>
        <v>11</v>
      </c>
    </row>
    <row r="1369" spans="1:8" x14ac:dyDescent="0.25">
      <c r="A1369" s="22">
        <v>41896.46875</v>
      </c>
      <c r="B1369">
        <v>456.4</v>
      </c>
      <c r="C1369">
        <v>94.2</v>
      </c>
      <c r="D1369">
        <v>10.1</v>
      </c>
      <c r="E1369">
        <v>6</v>
      </c>
      <c r="G1369">
        <v>14</v>
      </c>
      <c r="H1369" s="23">
        <f t="shared" si="57"/>
        <v>11</v>
      </c>
    </row>
    <row r="1370" spans="1:8" x14ac:dyDescent="0.25">
      <c r="A1370" s="22">
        <v>41896.472222222219</v>
      </c>
      <c r="B1370">
        <v>457.9</v>
      </c>
      <c r="C1370">
        <v>94.2</v>
      </c>
      <c r="D1370">
        <v>10.1</v>
      </c>
      <c r="E1370">
        <v>6</v>
      </c>
      <c r="G1370">
        <v>14</v>
      </c>
      <c r="H1370" s="23">
        <f t="shared" si="57"/>
        <v>11</v>
      </c>
    </row>
    <row r="1371" spans="1:8" x14ac:dyDescent="0.25">
      <c r="A1371" s="22">
        <v>41896.475694444445</v>
      </c>
      <c r="B1371">
        <v>455.7</v>
      </c>
      <c r="C1371">
        <v>94.2</v>
      </c>
      <c r="D1371">
        <v>10.1</v>
      </c>
      <c r="E1371">
        <v>5.9</v>
      </c>
      <c r="G1371">
        <v>14</v>
      </c>
      <c r="H1371" s="23">
        <f t="shared" si="57"/>
        <v>11</v>
      </c>
    </row>
    <row r="1372" spans="1:8" x14ac:dyDescent="0.25">
      <c r="A1372" s="22">
        <v>41896.479166666664</v>
      </c>
      <c r="B1372">
        <v>452.5</v>
      </c>
      <c r="C1372">
        <v>94.1</v>
      </c>
      <c r="D1372">
        <v>10</v>
      </c>
      <c r="E1372">
        <v>5.9</v>
      </c>
      <c r="G1372">
        <v>14</v>
      </c>
      <c r="H1372" s="23">
        <f t="shared" si="57"/>
        <v>11</v>
      </c>
    </row>
    <row r="1373" spans="1:8" x14ac:dyDescent="0.25">
      <c r="A1373" s="22">
        <v>41896.482638888891</v>
      </c>
      <c r="B1373">
        <v>452.4</v>
      </c>
      <c r="C1373">
        <v>94.1</v>
      </c>
      <c r="D1373">
        <v>9.9</v>
      </c>
      <c r="E1373">
        <v>5.8</v>
      </c>
      <c r="G1373">
        <v>14</v>
      </c>
      <c r="H1373" s="23">
        <f t="shared" si="57"/>
        <v>11</v>
      </c>
    </row>
    <row r="1374" spans="1:8" x14ac:dyDescent="0.25">
      <c r="A1374" s="22">
        <v>41896.486111111109</v>
      </c>
      <c r="B1374">
        <v>451.5</v>
      </c>
      <c r="C1374">
        <v>94.1</v>
      </c>
      <c r="D1374">
        <v>9.9</v>
      </c>
      <c r="E1374">
        <v>5.8</v>
      </c>
      <c r="G1374">
        <v>14</v>
      </c>
      <c r="H1374" s="23">
        <f t="shared" si="57"/>
        <v>11</v>
      </c>
    </row>
    <row r="1375" spans="1:8" x14ac:dyDescent="0.25">
      <c r="A1375" s="22">
        <v>41896.489583333336</v>
      </c>
      <c r="B1375">
        <v>448.7</v>
      </c>
      <c r="C1375">
        <v>94.2</v>
      </c>
      <c r="D1375">
        <v>9.9</v>
      </c>
      <c r="E1375">
        <v>5.8</v>
      </c>
      <c r="G1375">
        <v>14</v>
      </c>
      <c r="H1375" s="23">
        <f t="shared" si="57"/>
        <v>11</v>
      </c>
    </row>
    <row r="1376" spans="1:8" x14ac:dyDescent="0.25">
      <c r="A1376" s="22">
        <v>41896.493055555555</v>
      </c>
      <c r="B1376">
        <v>445.7</v>
      </c>
      <c r="C1376">
        <v>94.2</v>
      </c>
      <c r="D1376">
        <v>9.9</v>
      </c>
      <c r="E1376">
        <v>5.8</v>
      </c>
      <c r="G1376">
        <v>14</v>
      </c>
      <c r="H1376" s="23">
        <f t="shared" si="57"/>
        <v>11</v>
      </c>
    </row>
    <row r="1377" spans="1:8" x14ac:dyDescent="0.25">
      <c r="A1377" s="22">
        <v>41896.496527777781</v>
      </c>
      <c r="B1377">
        <v>444.7</v>
      </c>
      <c r="C1377">
        <v>94.2</v>
      </c>
      <c r="D1377">
        <v>9.8000000000000007</v>
      </c>
      <c r="E1377">
        <v>5.8</v>
      </c>
      <c r="G1377">
        <v>14</v>
      </c>
      <c r="H1377" s="23">
        <f t="shared" si="57"/>
        <v>11</v>
      </c>
    </row>
    <row r="1378" spans="1:8" x14ac:dyDescent="0.25">
      <c r="A1378" s="22">
        <v>41896.5</v>
      </c>
      <c r="B1378">
        <v>440.7</v>
      </c>
      <c r="C1378">
        <v>94.1</v>
      </c>
      <c r="D1378">
        <v>9.8000000000000007</v>
      </c>
      <c r="E1378">
        <v>5.8</v>
      </c>
      <c r="G1378">
        <v>14</v>
      </c>
      <c r="H1378" s="23">
        <f t="shared" si="57"/>
        <v>12</v>
      </c>
    </row>
    <row r="1379" spans="1:8" x14ac:dyDescent="0.25">
      <c r="A1379" s="22">
        <v>41896.503472222219</v>
      </c>
      <c r="B1379">
        <v>440</v>
      </c>
      <c r="C1379">
        <v>94.2</v>
      </c>
      <c r="D1379">
        <v>9.8000000000000007</v>
      </c>
      <c r="E1379">
        <v>5.8</v>
      </c>
      <c r="G1379">
        <v>14</v>
      </c>
      <c r="H1379" s="23">
        <f t="shared" si="57"/>
        <v>12</v>
      </c>
    </row>
    <row r="1380" spans="1:8" x14ac:dyDescent="0.25">
      <c r="A1380" s="22">
        <v>41896.506944444445</v>
      </c>
      <c r="B1380">
        <v>439.4</v>
      </c>
      <c r="C1380">
        <v>94.2</v>
      </c>
      <c r="D1380">
        <v>9.8000000000000007</v>
      </c>
      <c r="E1380">
        <v>5.8</v>
      </c>
      <c r="G1380">
        <v>14</v>
      </c>
      <c r="H1380" s="23">
        <f t="shared" si="57"/>
        <v>12</v>
      </c>
    </row>
    <row r="1381" spans="1:8" x14ac:dyDescent="0.25">
      <c r="A1381" s="22">
        <v>41896.510416666664</v>
      </c>
      <c r="B1381">
        <v>440.4</v>
      </c>
      <c r="C1381">
        <v>94.1</v>
      </c>
      <c r="D1381">
        <v>9.8000000000000007</v>
      </c>
      <c r="E1381">
        <v>5.8</v>
      </c>
      <c r="G1381">
        <v>14</v>
      </c>
      <c r="H1381" s="23">
        <f t="shared" si="57"/>
        <v>12</v>
      </c>
    </row>
    <row r="1382" spans="1:8" x14ac:dyDescent="0.25">
      <c r="A1382" s="22">
        <v>41896.513888888891</v>
      </c>
      <c r="B1382">
        <v>442.3</v>
      </c>
      <c r="C1382">
        <v>94.2</v>
      </c>
      <c r="D1382">
        <v>9.8000000000000007</v>
      </c>
      <c r="E1382">
        <v>5.8</v>
      </c>
      <c r="G1382">
        <v>14</v>
      </c>
      <c r="H1382" s="23">
        <f t="shared" si="57"/>
        <v>12</v>
      </c>
    </row>
    <row r="1383" spans="1:8" x14ac:dyDescent="0.25">
      <c r="A1383" s="22">
        <v>41896.517361111109</v>
      </c>
      <c r="B1383">
        <v>454.3</v>
      </c>
      <c r="C1383">
        <v>94.2</v>
      </c>
      <c r="D1383">
        <v>10</v>
      </c>
      <c r="E1383">
        <v>5.9</v>
      </c>
      <c r="G1383">
        <v>14</v>
      </c>
      <c r="H1383" s="23">
        <f t="shared" si="57"/>
        <v>12</v>
      </c>
    </row>
    <row r="1384" spans="1:8" x14ac:dyDescent="0.25">
      <c r="A1384" s="22">
        <v>41896.520833333336</v>
      </c>
      <c r="B1384">
        <v>466.2</v>
      </c>
      <c r="C1384">
        <v>94.3</v>
      </c>
      <c r="D1384">
        <v>10.5</v>
      </c>
      <c r="E1384">
        <v>6.3</v>
      </c>
      <c r="G1384">
        <v>14</v>
      </c>
      <c r="H1384" s="23">
        <f t="shared" si="57"/>
        <v>12</v>
      </c>
    </row>
    <row r="1385" spans="1:8" x14ac:dyDescent="0.25">
      <c r="A1385" s="22">
        <v>41896.524305555555</v>
      </c>
      <c r="B1385">
        <v>462.1</v>
      </c>
      <c r="C1385">
        <v>94.3</v>
      </c>
      <c r="D1385">
        <v>10.6</v>
      </c>
      <c r="E1385">
        <v>6.4</v>
      </c>
      <c r="G1385">
        <v>14</v>
      </c>
      <c r="H1385" s="23">
        <f t="shared" si="57"/>
        <v>12</v>
      </c>
    </row>
    <row r="1386" spans="1:8" x14ac:dyDescent="0.25">
      <c r="A1386" s="22">
        <v>41896.527777777781</v>
      </c>
      <c r="B1386">
        <v>462.5</v>
      </c>
      <c r="C1386">
        <v>94.2</v>
      </c>
      <c r="D1386">
        <v>10.6</v>
      </c>
      <c r="E1386">
        <v>6.3</v>
      </c>
      <c r="G1386">
        <v>14</v>
      </c>
      <c r="H1386" s="23">
        <f t="shared" si="57"/>
        <v>12</v>
      </c>
    </row>
    <row r="1387" spans="1:8" x14ac:dyDescent="0.25">
      <c r="A1387" s="22">
        <v>41896.53125</v>
      </c>
      <c r="B1387">
        <v>461.9</v>
      </c>
      <c r="C1387">
        <v>94.3</v>
      </c>
      <c r="D1387">
        <v>10.6</v>
      </c>
      <c r="E1387">
        <v>6.4</v>
      </c>
      <c r="G1387">
        <v>14</v>
      </c>
      <c r="H1387" s="23">
        <f t="shared" si="57"/>
        <v>12</v>
      </c>
    </row>
    <row r="1388" spans="1:8" x14ac:dyDescent="0.25">
      <c r="A1388" s="22">
        <v>41896.534722222219</v>
      </c>
      <c r="B1388">
        <v>462.8</v>
      </c>
      <c r="C1388">
        <v>94.3</v>
      </c>
      <c r="D1388">
        <v>10.6</v>
      </c>
      <c r="E1388">
        <v>6.4</v>
      </c>
      <c r="G1388">
        <v>14</v>
      </c>
      <c r="H1388" s="23">
        <f t="shared" si="57"/>
        <v>12</v>
      </c>
    </row>
    <row r="1389" spans="1:8" x14ac:dyDescent="0.25">
      <c r="A1389" s="22">
        <v>41896.538194444445</v>
      </c>
      <c r="B1389">
        <v>464.5</v>
      </c>
      <c r="C1389">
        <v>94.3</v>
      </c>
      <c r="D1389">
        <v>10.7</v>
      </c>
      <c r="E1389">
        <v>6.5</v>
      </c>
      <c r="G1389">
        <v>14</v>
      </c>
      <c r="H1389" s="23">
        <f t="shared" si="57"/>
        <v>12</v>
      </c>
    </row>
    <row r="1390" spans="1:8" x14ac:dyDescent="0.25">
      <c r="A1390" s="22">
        <v>41896.541666666664</v>
      </c>
      <c r="B1390">
        <v>468.4</v>
      </c>
      <c r="C1390">
        <v>94.3</v>
      </c>
      <c r="D1390">
        <v>10.8</v>
      </c>
      <c r="E1390">
        <v>6.6</v>
      </c>
      <c r="G1390">
        <v>14</v>
      </c>
      <c r="H1390" s="23">
        <f t="shared" si="57"/>
        <v>13</v>
      </c>
    </row>
    <row r="1391" spans="1:8" x14ac:dyDescent="0.25">
      <c r="A1391" s="22">
        <v>41896.545138888891</v>
      </c>
      <c r="B1391">
        <v>469.5</v>
      </c>
      <c r="C1391">
        <v>94.2</v>
      </c>
      <c r="D1391">
        <v>10.9</v>
      </c>
      <c r="E1391">
        <v>6.6</v>
      </c>
      <c r="G1391">
        <v>14</v>
      </c>
      <c r="H1391" s="23">
        <f t="shared" si="57"/>
        <v>13</v>
      </c>
    </row>
    <row r="1392" spans="1:8" x14ac:dyDescent="0.25">
      <c r="A1392" s="22">
        <v>41896.548611111109</v>
      </c>
      <c r="B1392">
        <v>467.7</v>
      </c>
      <c r="C1392">
        <v>94.3</v>
      </c>
      <c r="D1392">
        <v>10.9</v>
      </c>
      <c r="E1392">
        <v>6.6</v>
      </c>
      <c r="G1392">
        <v>14</v>
      </c>
      <c r="H1392" s="23">
        <f t="shared" si="57"/>
        <v>13</v>
      </c>
    </row>
    <row r="1393" spans="1:8" x14ac:dyDescent="0.25">
      <c r="A1393" s="22">
        <v>41896.552083333336</v>
      </c>
      <c r="B1393">
        <v>470.1</v>
      </c>
      <c r="C1393">
        <v>94.4</v>
      </c>
      <c r="D1393">
        <v>10.9</v>
      </c>
      <c r="E1393">
        <v>6.7</v>
      </c>
      <c r="G1393">
        <v>14</v>
      </c>
      <c r="H1393" s="23">
        <f t="shared" si="57"/>
        <v>13</v>
      </c>
    </row>
    <row r="1394" spans="1:8" x14ac:dyDescent="0.25">
      <c r="A1394" s="22">
        <v>41896.555555555555</v>
      </c>
      <c r="B1394">
        <v>470</v>
      </c>
      <c r="C1394">
        <v>94.3</v>
      </c>
      <c r="D1394">
        <v>11</v>
      </c>
      <c r="E1394">
        <v>6.7</v>
      </c>
      <c r="G1394">
        <v>14</v>
      </c>
      <c r="H1394" s="23">
        <f t="shared" si="57"/>
        <v>13</v>
      </c>
    </row>
    <row r="1395" spans="1:8" x14ac:dyDescent="0.25">
      <c r="A1395" s="22">
        <v>41896.559027777781</v>
      </c>
      <c r="B1395">
        <v>470.3</v>
      </c>
      <c r="C1395">
        <v>94.2</v>
      </c>
      <c r="D1395">
        <v>11</v>
      </c>
      <c r="E1395">
        <v>6.7</v>
      </c>
      <c r="G1395">
        <v>14</v>
      </c>
      <c r="H1395" s="23">
        <f t="shared" si="57"/>
        <v>13</v>
      </c>
    </row>
    <row r="1396" spans="1:8" x14ac:dyDescent="0.25">
      <c r="A1396" s="22">
        <v>41896.5625</v>
      </c>
      <c r="B1396">
        <v>472</v>
      </c>
      <c r="C1396">
        <v>94.3</v>
      </c>
      <c r="D1396">
        <v>11.1</v>
      </c>
      <c r="E1396">
        <v>6.8</v>
      </c>
      <c r="G1396">
        <v>14</v>
      </c>
      <c r="H1396" s="23">
        <f t="shared" si="57"/>
        <v>13</v>
      </c>
    </row>
    <row r="1397" spans="1:8" x14ac:dyDescent="0.25">
      <c r="A1397" s="22">
        <v>41896.565972222219</v>
      </c>
      <c r="B1397">
        <v>472.5</v>
      </c>
      <c r="C1397">
        <v>94.3</v>
      </c>
      <c r="D1397">
        <v>11.1</v>
      </c>
      <c r="E1397">
        <v>6.8</v>
      </c>
      <c r="G1397">
        <v>14</v>
      </c>
      <c r="H1397" s="23">
        <f t="shared" si="57"/>
        <v>13</v>
      </c>
    </row>
    <row r="1398" spans="1:8" x14ac:dyDescent="0.25">
      <c r="A1398" s="22">
        <v>41896.569444444445</v>
      </c>
      <c r="B1398">
        <v>472.8</v>
      </c>
      <c r="C1398">
        <v>94.3</v>
      </c>
      <c r="D1398">
        <v>11.2</v>
      </c>
      <c r="E1398">
        <v>6.9</v>
      </c>
      <c r="G1398">
        <v>14</v>
      </c>
      <c r="H1398" s="23">
        <f t="shared" si="57"/>
        <v>13</v>
      </c>
    </row>
    <row r="1399" spans="1:8" x14ac:dyDescent="0.25">
      <c r="A1399" s="22">
        <v>41896.572916666664</v>
      </c>
      <c r="B1399">
        <v>473.4</v>
      </c>
      <c r="C1399">
        <v>94.4</v>
      </c>
      <c r="D1399">
        <v>11.2</v>
      </c>
      <c r="E1399">
        <v>6.9</v>
      </c>
      <c r="G1399">
        <v>14</v>
      </c>
      <c r="H1399" s="23">
        <f t="shared" si="57"/>
        <v>13</v>
      </c>
    </row>
    <row r="1400" spans="1:8" x14ac:dyDescent="0.25">
      <c r="A1400" s="22">
        <v>41896.576388888891</v>
      </c>
      <c r="B1400">
        <v>470.8</v>
      </c>
      <c r="C1400">
        <v>94.3</v>
      </c>
      <c r="D1400">
        <v>11.2</v>
      </c>
      <c r="E1400">
        <v>7</v>
      </c>
      <c r="G1400">
        <v>14</v>
      </c>
      <c r="H1400" s="23">
        <f t="shared" si="57"/>
        <v>13</v>
      </c>
    </row>
    <row r="1401" spans="1:8" x14ac:dyDescent="0.25">
      <c r="A1401" s="22">
        <v>41896.579861111109</v>
      </c>
      <c r="B1401">
        <v>472.3</v>
      </c>
      <c r="C1401">
        <v>94.5</v>
      </c>
      <c r="D1401">
        <v>11.3</v>
      </c>
      <c r="E1401">
        <v>7</v>
      </c>
      <c r="G1401">
        <v>14</v>
      </c>
      <c r="H1401" s="23">
        <f t="shared" si="57"/>
        <v>13</v>
      </c>
    </row>
    <row r="1402" spans="1:8" x14ac:dyDescent="0.25">
      <c r="A1402" s="22">
        <v>41896.583333333336</v>
      </c>
      <c r="B1402">
        <v>473.7</v>
      </c>
      <c r="C1402">
        <v>94.4</v>
      </c>
      <c r="D1402">
        <v>11.4</v>
      </c>
      <c r="E1402">
        <v>7.1</v>
      </c>
      <c r="G1402">
        <v>14</v>
      </c>
      <c r="H1402" s="23">
        <f t="shared" si="57"/>
        <v>14</v>
      </c>
    </row>
    <row r="1403" spans="1:8" x14ac:dyDescent="0.25">
      <c r="A1403" s="22">
        <v>41896.586805555555</v>
      </c>
      <c r="B1403">
        <v>474.7</v>
      </c>
      <c r="C1403">
        <v>94.4</v>
      </c>
      <c r="D1403">
        <v>11.4</v>
      </c>
      <c r="E1403">
        <v>7.1</v>
      </c>
      <c r="G1403">
        <v>14</v>
      </c>
      <c r="H1403" s="23">
        <f t="shared" si="57"/>
        <v>14</v>
      </c>
    </row>
    <row r="1404" spans="1:8" x14ac:dyDescent="0.25">
      <c r="A1404" s="22">
        <v>41896.590277777781</v>
      </c>
      <c r="B1404">
        <v>476.1</v>
      </c>
      <c r="C1404">
        <v>94.3</v>
      </c>
      <c r="D1404">
        <v>11.5</v>
      </c>
      <c r="E1404">
        <v>7.2</v>
      </c>
      <c r="G1404">
        <v>14</v>
      </c>
      <c r="H1404" s="23">
        <f t="shared" si="57"/>
        <v>14</v>
      </c>
    </row>
    <row r="1405" spans="1:8" x14ac:dyDescent="0.25">
      <c r="A1405" s="22">
        <v>41896.59375</v>
      </c>
      <c r="B1405">
        <v>475.5</v>
      </c>
      <c r="C1405">
        <v>94.5</v>
      </c>
      <c r="D1405">
        <v>11.5</v>
      </c>
      <c r="E1405">
        <v>7.2</v>
      </c>
      <c r="G1405">
        <v>14</v>
      </c>
      <c r="H1405" s="23">
        <f t="shared" si="57"/>
        <v>14</v>
      </c>
    </row>
    <row r="1406" spans="1:8" x14ac:dyDescent="0.25">
      <c r="A1406" s="22">
        <v>41896.597222222219</v>
      </c>
      <c r="B1406">
        <v>476.2</v>
      </c>
      <c r="C1406">
        <v>94.6</v>
      </c>
      <c r="D1406">
        <v>11.6</v>
      </c>
      <c r="E1406">
        <v>7.3</v>
      </c>
      <c r="G1406">
        <v>14</v>
      </c>
      <c r="H1406" s="23">
        <f t="shared" si="57"/>
        <v>14</v>
      </c>
    </row>
    <row r="1407" spans="1:8" x14ac:dyDescent="0.25">
      <c r="A1407" s="22">
        <v>41896.600694444445</v>
      </c>
      <c r="B1407">
        <v>471.3</v>
      </c>
      <c r="C1407">
        <v>94.4</v>
      </c>
      <c r="D1407">
        <v>11.6</v>
      </c>
      <c r="E1407">
        <v>7.4</v>
      </c>
      <c r="G1407">
        <v>14</v>
      </c>
      <c r="H1407" s="23">
        <f t="shared" si="57"/>
        <v>14</v>
      </c>
    </row>
    <row r="1408" spans="1:8" x14ac:dyDescent="0.25">
      <c r="A1408" s="22">
        <v>41896.604166666664</v>
      </c>
      <c r="B1408">
        <v>472.1</v>
      </c>
      <c r="C1408">
        <v>94.4</v>
      </c>
      <c r="D1408">
        <v>11.7</v>
      </c>
      <c r="E1408">
        <v>7.4</v>
      </c>
      <c r="G1408">
        <v>14</v>
      </c>
      <c r="H1408" s="23">
        <f t="shared" si="57"/>
        <v>14</v>
      </c>
    </row>
    <row r="1409" spans="1:8" x14ac:dyDescent="0.25">
      <c r="A1409" s="22">
        <v>41896.607638888891</v>
      </c>
      <c r="B1409">
        <v>472.2</v>
      </c>
      <c r="C1409">
        <v>94.5</v>
      </c>
      <c r="D1409">
        <v>11.7</v>
      </c>
      <c r="E1409">
        <v>7.4</v>
      </c>
      <c r="G1409">
        <v>14</v>
      </c>
      <c r="H1409" s="23">
        <f t="shared" si="57"/>
        <v>14</v>
      </c>
    </row>
    <row r="1410" spans="1:8" x14ac:dyDescent="0.25">
      <c r="A1410" s="22">
        <v>41896.611111111109</v>
      </c>
      <c r="B1410">
        <v>472.6</v>
      </c>
      <c r="C1410">
        <v>94.5</v>
      </c>
      <c r="D1410">
        <v>11.8</v>
      </c>
      <c r="E1410">
        <v>7.5</v>
      </c>
      <c r="G1410">
        <v>14</v>
      </c>
      <c r="H1410" s="23">
        <f t="shared" si="57"/>
        <v>14</v>
      </c>
    </row>
    <row r="1411" spans="1:8" x14ac:dyDescent="0.25">
      <c r="A1411" s="22">
        <v>41896.614583333336</v>
      </c>
      <c r="B1411">
        <v>474.7</v>
      </c>
      <c r="C1411">
        <v>94.4</v>
      </c>
      <c r="D1411">
        <v>11.9</v>
      </c>
      <c r="E1411">
        <v>7.5</v>
      </c>
      <c r="G1411">
        <v>14</v>
      </c>
      <c r="H1411" s="23">
        <f t="shared" si="57"/>
        <v>14</v>
      </c>
    </row>
    <row r="1412" spans="1:8" x14ac:dyDescent="0.25">
      <c r="A1412" s="22">
        <v>41896.618055555555</v>
      </c>
      <c r="B1412">
        <v>475.9</v>
      </c>
      <c r="C1412">
        <v>94.5</v>
      </c>
      <c r="D1412">
        <v>11.9</v>
      </c>
      <c r="E1412">
        <v>7.6</v>
      </c>
      <c r="G1412">
        <v>14</v>
      </c>
      <c r="H1412" s="23">
        <f t="shared" si="57"/>
        <v>14</v>
      </c>
    </row>
    <row r="1413" spans="1:8" x14ac:dyDescent="0.25">
      <c r="A1413" s="22">
        <v>41896.621527777781</v>
      </c>
      <c r="B1413">
        <v>476.6</v>
      </c>
      <c r="C1413">
        <v>94.5</v>
      </c>
      <c r="D1413">
        <v>12</v>
      </c>
      <c r="E1413">
        <v>7.6</v>
      </c>
      <c r="G1413">
        <v>14</v>
      </c>
      <c r="H1413" s="23">
        <f t="shared" si="57"/>
        <v>14</v>
      </c>
    </row>
    <row r="1414" spans="1:8" x14ac:dyDescent="0.25">
      <c r="A1414" s="22">
        <v>41896.625</v>
      </c>
      <c r="B1414">
        <v>477</v>
      </c>
      <c r="C1414">
        <v>94.5</v>
      </c>
      <c r="D1414">
        <v>12</v>
      </c>
      <c r="E1414">
        <v>7.7</v>
      </c>
      <c r="G1414">
        <v>14</v>
      </c>
      <c r="H1414" s="23">
        <f t="shared" ref="H1414:H1477" si="58">+HOUR(A1414)</f>
        <v>15</v>
      </c>
    </row>
    <row r="1415" spans="1:8" x14ac:dyDescent="0.25">
      <c r="A1415" s="22">
        <v>41896.628472222219</v>
      </c>
      <c r="B1415">
        <v>476.9</v>
      </c>
      <c r="C1415">
        <v>94.6</v>
      </c>
      <c r="D1415">
        <v>12.1</v>
      </c>
      <c r="E1415">
        <v>7.7</v>
      </c>
      <c r="G1415">
        <v>14</v>
      </c>
      <c r="H1415" s="23">
        <f t="shared" si="58"/>
        <v>15</v>
      </c>
    </row>
    <row r="1416" spans="1:8" x14ac:dyDescent="0.25">
      <c r="A1416" s="22">
        <v>41896.631944444445</v>
      </c>
      <c r="B1416">
        <v>477.9</v>
      </c>
      <c r="C1416">
        <v>94.5</v>
      </c>
      <c r="D1416">
        <v>12.1</v>
      </c>
      <c r="E1416">
        <v>7.8</v>
      </c>
      <c r="G1416">
        <v>14</v>
      </c>
      <c r="H1416" s="23">
        <f t="shared" si="58"/>
        <v>15</v>
      </c>
    </row>
    <row r="1417" spans="1:8" x14ac:dyDescent="0.25">
      <c r="A1417" s="22">
        <v>41896.635416666664</v>
      </c>
      <c r="B1417">
        <v>481.4</v>
      </c>
      <c r="C1417">
        <v>94.5</v>
      </c>
      <c r="D1417">
        <v>12.1</v>
      </c>
      <c r="E1417">
        <v>7.7</v>
      </c>
      <c r="G1417">
        <v>14</v>
      </c>
      <c r="H1417" s="23">
        <f t="shared" si="58"/>
        <v>15</v>
      </c>
    </row>
    <row r="1418" spans="1:8" x14ac:dyDescent="0.25">
      <c r="A1418" s="22">
        <v>41896.638888888891</v>
      </c>
      <c r="B1418">
        <v>483.7</v>
      </c>
      <c r="C1418">
        <v>94.6</v>
      </c>
      <c r="D1418">
        <v>12.1</v>
      </c>
      <c r="E1418">
        <v>7.8</v>
      </c>
      <c r="G1418">
        <v>14</v>
      </c>
      <c r="H1418" s="23">
        <f t="shared" si="58"/>
        <v>15</v>
      </c>
    </row>
    <row r="1419" spans="1:8" x14ac:dyDescent="0.25">
      <c r="A1419" s="22">
        <v>41896.642361111109</v>
      </c>
      <c r="B1419">
        <v>486.3</v>
      </c>
      <c r="C1419">
        <v>94.5</v>
      </c>
      <c r="D1419">
        <v>12.2</v>
      </c>
      <c r="E1419">
        <v>7.8</v>
      </c>
      <c r="G1419">
        <v>14</v>
      </c>
      <c r="H1419" s="23">
        <f t="shared" si="58"/>
        <v>15</v>
      </c>
    </row>
    <row r="1420" spans="1:8" x14ac:dyDescent="0.25">
      <c r="A1420" s="22">
        <v>41896.645833333336</v>
      </c>
      <c r="B1420">
        <v>486.4</v>
      </c>
      <c r="C1420">
        <v>94.6</v>
      </c>
      <c r="D1420">
        <v>12.2</v>
      </c>
      <c r="E1420">
        <v>7.8</v>
      </c>
      <c r="G1420">
        <v>14</v>
      </c>
      <c r="H1420" s="23">
        <f t="shared" si="58"/>
        <v>15</v>
      </c>
    </row>
    <row r="1421" spans="1:8" x14ac:dyDescent="0.25">
      <c r="A1421" s="22">
        <v>41896.649305555555</v>
      </c>
      <c r="B1421">
        <v>479.1</v>
      </c>
      <c r="C1421">
        <v>94.4</v>
      </c>
      <c r="D1421">
        <v>11.9</v>
      </c>
      <c r="E1421">
        <v>7.5</v>
      </c>
      <c r="G1421">
        <v>14</v>
      </c>
      <c r="H1421" s="23">
        <f t="shared" si="58"/>
        <v>15</v>
      </c>
    </row>
    <row r="1422" spans="1:8" x14ac:dyDescent="0.25">
      <c r="A1422" s="22">
        <v>41896.652777777781</v>
      </c>
      <c r="B1422">
        <v>477.2</v>
      </c>
      <c r="C1422">
        <v>94.5</v>
      </c>
      <c r="D1422">
        <v>11.6</v>
      </c>
      <c r="E1422">
        <v>7.3</v>
      </c>
      <c r="G1422">
        <v>14</v>
      </c>
      <c r="H1422" s="23">
        <f t="shared" si="58"/>
        <v>15</v>
      </c>
    </row>
    <row r="1423" spans="1:8" x14ac:dyDescent="0.25">
      <c r="A1423" s="22">
        <v>41896.65625</v>
      </c>
      <c r="B1423">
        <v>478.4</v>
      </c>
      <c r="C1423">
        <v>94.5</v>
      </c>
      <c r="D1423">
        <v>11.6</v>
      </c>
      <c r="E1423">
        <v>7.2</v>
      </c>
      <c r="G1423">
        <v>14</v>
      </c>
      <c r="H1423" s="23">
        <f t="shared" si="58"/>
        <v>15</v>
      </c>
    </row>
    <row r="1424" spans="1:8" x14ac:dyDescent="0.25">
      <c r="A1424" s="22">
        <v>41896.659722222219</v>
      </c>
      <c r="B1424">
        <v>477.8</v>
      </c>
      <c r="C1424">
        <v>94.5</v>
      </c>
      <c r="D1424">
        <v>11.6</v>
      </c>
      <c r="E1424">
        <v>7.2</v>
      </c>
      <c r="G1424">
        <v>14</v>
      </c>
      <c r="H1424" s="23">
        <f t="shared" si="58"/>
        <v>15</v>
      </c>
    </row>
    <row r="1425" spans="1:8" x14ac:dyDescent="0.25">
      <c r="A1425" s="22">
        <v>41896.663194444445</v>
      </c>
      <c r="B1425">
        <v>475.3</v>
      </c>
      <c r="C1425">
        <v>94.3</v>
      </c>
      <c r="D1425">
        <v>11.5</v>
      </c>
      <c r="E1425">
        <v>7.2</v>
      </c>
      <c r="G1425">
        <v>14</v>
      </c>
      <c r="H1425" s="23">
        <f t="shared" si="58"/>
        <v>15</v>
      </c>
    </row>
    <row r="1426" spans="1:8" x14ac:dyDescent="0.25">
      <c r="A1426" s="22">
        <v>41896.666666666664</v>
      </c>
      <c r="B1426">
        <v>475</v>
      </c>
      <c r="C1426">
        <v>94.4</v>
      </c>
      <c r="D1426">
        <v>11.4</v>
      </c>
      <c r="E1426">
        <v>7.1</v>
      </c>
      <c r="G1426">
        <v>14</v>
      </c>
      <c r="H1426" s="23">
        <f t="shared" si="58"/>
        <v>16</v>
      </c>
    </row>
    <row r="1427" spans="1:8" x14ac:dyDescent="0.25">
      <c r="A1427" s="22">
        <v>41896.670138888891</v>
      </c>
      <c r="B1427">
        <v>473.9</v>
      </c>
      <c r="C1427">
        <v>94.3</v>
      </c>
      <c r="D1427">
        <v>11.3</v>
      </c>
      <c r="E1427">
        <v>6.9</v>
      </c>
      <c r="G1427">
        <v>14</v>
      </c>
      <c r="H1427" s="23">
        <f t="shared" si="58"/>
        <v>16</v>
      </c>
    </row>
    <row r="1428" spans="1:8" x14ac:dyDescent="0.25">
      <c r="A1428" s="22">
        <v>41896.673611111109</v>
      </c>
      <c r="B1428">
        <v>473.4</v>
      </c>
      <c r="C1428">
        <v>94.3</v>
      </c>
      <c r="D1428">
        <v>11.1</v>
      </c>
      <c r="E1428">
        <v>6.8</v>
      </c>
      <c r="G1428">
        <v>14</v>
      </c>
      <c r="H1428" s="23">
        <f t="shared" si="58"/>
        <v>16</v>
      </c>
    </row>
    <row r="1429" spans="1:8" x14ac:dyDescent="0.25">
      <c r="A1429" s="22">
        <v>41896.677083333336</v>
      </c>
      <c r="B1429">
        <v>472.8</v>
      </c>
      <c r="C1429">
        <v>94.3</v>
      </c>
      <c r="D1429">
        <v>11.1</v>
      </c>
      <c r="E1429">
        <v>6.7</v>
      </c>
      <c r="G1429">
        <v>14</v>
      </c>
      <c r="H1429" s="23">
        <f t="shared" si="58"/>
        <v>16</v>
      </c>
    </row>
    <row r="1430" spans="1:8" x14ac:dyDescent="0.25">
      <c r="A1430" s="22">
        <v>41896.680555555555</v>
      </c>
      <c r="B1430">
        <v>471.4</v>
      </c>
      <c r="C1430">
        <v>94.3</v>
      </c>
      <c r="D1430">
        <v>11</v>
      </c>
      <c r="E1430">
        <v>6.7</v>
      </c>
      <c r="G1430">
        <v>14</v>
      </c>
      <c r="H1430" s="23">
        <f t="shared" si="58"/>
        <v>16</v>
      </c>
    </row>
    <row r="1431" spans="1:8" x14ac:dyDescent="0.25">
      <c r="A1431" s="22">
        <v>41896.684027777781</v>
      </c>
      <c r="B1431">
        <v>466.8</v>
      </c>
      <c r="C1431">
        <v>94.4</v>
      </c>
      <c r="D1431">
        <v>10.9</v>
      </c>
      <c r="E1431">
        <v>6.7</v>
      </c>
      <c r="G1431">
        <v>14</v>
      </c>
      <c r="H1431" s="23">
        <f t="shared" si="58"/>
        <v>16</v>
      </c>
    </row>
    <row r="1432" spans="1:8" x14ac:dyDescent="0.25">
      <c r="A1432" s="22">
        <v>41896.6875</v>
      </c>
      <c r="B1432">
        <v>467.1</v>
      </c>
      <c r="C1432">
        <v>94.4</v>
      </c>
      <c r="D1432">
        <v>10.9</v>
      </c>
      <c r="E1432">
        <v>6.6</v>
      </c>
      <c r="G1432">
        <v>14</v>
      </c>
      <c r="H1432" s="23">
        <f t="shared" si="58"/>
        <v>16</v>
      </c>
    </row>
    <row r="1433" spans="1:8" x14ac:dyDescent="0.25">
      <c r="A1433" s="22">
        <v>41896.690972222219</v>
      </c>
      <c r="B1433">
        <v>466.6</v>
      </c>
      <c r="C1433">
        <v>94.3</v>
      </c>
      <c r="D1433">
        <v>10.8</v>
      </c>
      <c r="E1433">
        <v>6.5</v>
      </c>
      <c r="G1433">
        <v>14</v>
      </c>
      <c r="H1433" s="23">
        <f t="shared" si="58"/>
        <v>16</v>
      </c>
    </row>
    <row r="1434" spans="1:8" x14ac:dyDescent="0.25">
      <c r="A1434" s="22">
        <v>41896.694444444445</v>
      </c>
      <c r="B1434">
        <v>467.6</v>
      </c>
      <c r="C1434">
        <v>94.3</v>
      </c>
      <c r="D1434">
        <v>10.7</v>
      </c>
      <c r="E1434">
        <v>6.5</v>
      </c>
      <c r="G1434">
        <v>14</v>
      </c>
      <c r="H1434" s="23">
        <f t="shared" si="58"/>
        <v>16</v>
      </c>
    </row>
    <row r="1435" spans="1:8" x14ac:dyDescent="0.25">
      <c r="A1435" s="22">
        <v>41896.697916666664</v>
      </c>
      <c r="B1435">
        <v>467.5</v>
      </c>
      <c r="C1435">
        <v>94.2</v>
      </c>
      <c r="D1435">
        <v>10.6</v>
      </c>
      <c r="E1435">
        <v>6.4</v>
      </c>
      <c r="G1435">
        <v>14</v>
      </c>
      <c r="H1435" s="23">
        <f t="shared" si="58"/>
        <v>16</v>
      </c>
    </row>
    <row r="1436" spans="1:8" x14ac:dyDescent="0.25">
      <c r="A1436" s="22">
        <v>41896.701388888891</v>
      </c>
      <c r="B1436">
        <v>466.7</v>
      </c>
      <c r="C1436">
        <v>94.3</v>
      </c>
      <c r="D1436">
        <v>10.6</v>
      </c>
      <c r="E1436">
        <v>6.3</v>
      </c>
      <c r="G1436">
        <v>14</v>
      </c>
      <c r="H1436" s="23">
        <f t="shared" si="58"/>
        <v>16</v>
      </c>
    </row>
    <row r="1437" spans="1:8" x14ac:dyDescent="0.25">
      <c r="A1437" s="22">
        <v>41896.704861111109</v>
      </c>
      <c r="B1437">
        <v>465.9</v>
      </c>
      <c r="C1437">
        <v>94.2</v>
      </c>
      <c r="D1437">
        <v>10.5</v>
      </c>
      <c r="E1437">
        <v>6.3</v>
      </c>
      <c r="G1437">
        <v>14</v>
      </c>
      <c r="H1437" s="23">
        <f t="shared" si="58"/>
        <v>16</v>
      </c>
    </row>
    <row r="1438" spans="1:8" x14ac:dyDescent="0.25">
      <c r="A1438" s="22">
        <v>41896.708333333336</v>
      </c>
      <c r="B1438">
        <v>464.6</v>
      </c>
      <c r="C1438">
        <v>94.2</v>
      </c>
      <c r="D1438">
        <v>10.5</v>
      </c>
      <c r="E1438">
        <v>6.2</v>
      </c>
      <c r="G1438">
        <v>14</v>
      </c>
      <c r="H1438" s="23">
        <f t="shared" si="58"/>
        <v>17</v>
      </c>
    </row>
    <row r="1439" spans="1:8" x14ac:dyDescent="0.25">
      <c r="A1439" s="22">
        <v>41896.711805555555</v>
      </c>
      <c r="B1439">
        <v>465</v>
      </c>
      <c r="C1439">
        <v>94.1</v>
      </c>
      <c r="D1439">
        <v>10.4</v>
      </c>
      <c r="E1439">
        <v>6.2</v>
      </c>
      <c r="G1439">
        <v>14</v>
      </c>
      <c r="H1439" s="23">
        <f t="shared" si="58"/>
        <v>17</v>
      </c>
    </row>
    <row r="1440" spans="1:8" x14ac:dyDescent="0.25">
      <c r="A1440" s="22">
        <v>41896.715277777781</v>
      </c>
      <c r="B1440">
        <v>467.2</v>
      </c>
      <c r="C1440">
        <v>94.3</v>
      </c>
      <c r="D1440">
        <v>10.4</v>
      </c>
      <c r="E1440">
        <v>6.1</v>
      </c>
      <c r="G1440">
        <v>14</v>
      </c>
      <c r="H1440" s="23">
        <f t="shared" si="58"/>
        <v>17</v>
      </c>
    </row>
    <row r="1441" spans="1:8" x14ac:dyDescent="0.25">
      <c r="A1441" s="22">
        <v>41896.71875</v>
      </c>
      <c r="B1441">
        <v>467.6</v>
      </c>
      <c r="C1441">
        <v>94.2</v>
      </c>
      <c r="D1441">
        <v>10.4</v>
      </c>
      <c r="E1441">
        <v>6.1</v>
      </c>
      <c r="G1441">
        <v>14</v>
      </c>
      <c r="H1441" s="23">
        <f t="shared" si="58"/>
        <v>17</v>
      </c>
    </row>
    <row r="1442" spans="1:8" x14ac:dyDescent="0.25">
      <c r="A1442" s="22">
        <v>41896.722222222219</v>
      </c>
      <c r="B1442">
        <v>465.5</v>
      </c>
      <c r="C1442">
        <v>94.2</v>
      </c>
      <c r="D1442">
        <v>10.4</v>
      </c>
      <c r="E1442">
        <v>6.2</v>
      </c>
      <c r="G1442">
        <v>14</v>
      </c>
      <c r="H1442" s="23">
        <f t="shared" si="58"/>
        <v>17</v>
      </c>
    </row>
    <row r="1443" spans="1:8" x14ac:dyDescent="0.25">
      <c r="A1443" s="22">
        <v>41896.725694444445</v>
      </c>
      <c r="B1443">
        <v>461</v>
      </c>
      <c r="C1443">
        <v>94.2</v>
      </c>
      <c r="D1443">
        <v>10.4</v>
      </c>
      <c r="E1443">
        <v>6.2</v>
      </c>
      <c r="G1443">
        <v>14</v>
      </c>
      <c r="H1443" s="23">
        <f t="shared" si="58"/>
        <v>17</v>
      </c>
    </row>
    <row r="1444" spans="1:8" x14ac:dyDescent="0.25">
      <c r="A1444" s="22">
        <v>41896.729166666664</v>
      </c>
      <c r="B1444">
        <v>460.9</v>
      </c>
      <c r="C1444">
        <v>94.1</v>
      </c>
      <c r="D1444">
        <v>10.3</v>
      </c>
      <c r="E1444">
        <v>6.1</v>
      </c>
      <c r="G1444">
        <v>14</v>
      </c>
      <c r="H1444" s="23">
        <f t="shared" si="58"/>
        <v>17</v>
      </c>
    </row>
    <row r="1445" spans="1:8" x14ac:dyDescent="0.25">
      <c r="A1445" s="22">
        <v>41896.732638888891</v>
      </c>
      <c r="B1445">
        <v>468.1</v>
      </c>
      <c r="C1445">
        <v>94.3</v>
      </c>
      <c r="D1445">
        <v>10.5</v>
      </c>
      <c r="E1445">
        <v>6.2</v>
      </c>
      <c r="G1445">
        <v>14</v>
      </c>
      <c r="H1445" s="23">
        <f t="shared" si="58"/>
        <v>17</v>
      </c>
    </row>
    <row r="1446" spans="1:8" x14ac:dyDescent="0.25">
      <c r="A1446" s="22">
        <v>41896.736111111109</v>
      </c>
      <c r="B1446">
        <v>468</v>
      </c>
      <c r="C1446">
        <v>94.2</v>
      </c>
      <c r="D1446">
        <v>10.8</v>
      </c>
      <c r="E1446">
        <v>6.5</v>
      </c>
      <c r="G1446">
        <v>14</v>
      </c>
      <c r="H1446" s="23">
        <f t="shared" si="58"/>
        <v>17</v>
      </c>
    </row>
    <row r="1447" spans="1:8" x14ac:dyDescent="0.25">
      <c r="A1447" s="22">
        <v>41896.739583333336</v>
      </c>
      <c r="B1447">
        <v>465.9</v>
      </c>
      <c r="C1447">
        <v>94.3</v>
      </c>
      <c r="D1447">
        <v>10.8</v>
      </c>
      <c r="E1447">
        <v>6.6</v>
      </c>
      <c r="G1447">
        <v>14</v>
      </c>
      <c r="H1447" s="23">
        <f t="shared" si="58"/>
        <v>17</v>
      </c>
    </row>
    <row r="1448" spans="1:8" x14ac:dyDescent="0.25">
      <c r="A1448" s="22">
        <v>41896.743055555555</v>
      </c>
      <c r="B1448">
        <v>463.4</v>
      </c>
      <c r="C1448">
        <v>94.2</v>
      </c>
      <c r="D1448">
        <v>10.8</v>
      </c>
      <c r="E1448">
        <v>6.6</v>
      </c>
      <c r="G1448">
        <v>14</v>
      </c>
      <c r="H1448" s="23">
        <f t="shared" si="58"/>
        <v>17</v>
      </c>
    </row>
    <row r="1449" spans="1:8" x14ac:dyDescent="0.25">
      <c r="A1449" s="22">
        <v>41896.746527777781</v>
      </c>
      <c r="B1449">
        <v>465.1</v>
      </c>
      <c r="C1449">
        <v>94.3</v>
      </c>
      <c r="D1449">
        <v>10.8</v>
      </c>
      <c r="E1449">
        <v>6.6</v>
      </c>
      <c r="G1449">
        <v>14</v>
      </c>
      <c r="H1449" s="23">
        <f t="shared" si="58"/>
        <v>17</v>
      </c>
    </row>
    <row r="1450" spans="1:8" x14ac:dyDescent="0.25">
      <c r="A1450" s="22">
        <v>41896.75</v>
      </c>
      <c r="B1450">
        <v>475</v>
      </c>
      <c r="C1450">
        <v>94.3</v>
      </c>
      <c r="D1450">
        <v>11.1</v>
      </c>
      <c r="E1450">
        <v>6.8</v>
      </c>
      <c r="G1450">
        <v>14</v>
      </c>
      <c r="H1450" s="23">
        <f t="shared" si="58"/>
        <v>18</v>
      </c>
    </row>
    <row r="1451" spans="1:8" x14ac:dyDescent="0.25">
      <c r="A1451" s="22">
        <v>41896.753472222219</v>
      </c>
      <c r="B1451">
        <v>471.1</v>
      </c>
      <c r="C1451">
        <v>94.3</v>
      </c>
      <c r="D1451">
        <v>11.2</v>
      </c>
      <c r="E1451">
        <v>6.9</v>
      </c>
      <c r="G1451">
        <v>14</v>
      </c>
      <c r="H1451" s="23">
        <f t="shared" si="58"/>
        <v>18</v>
      </c>
    </row>
    <row r="1452" spans="1:8" x14ac:dyDescent="0.25">
      <c r="A1452" s="22">
        <v>41896.756944444445</v>
      </c>
      <c r="B1452">
        <v>472.2</v>
      </c>
      <c r="C1452">
        <v>94.3</v>
      </c>
      <c r="D1452">
        <v>11.2</v>
      </c>
      <c r="E1452">
        <v>6.9</v>
      </c>
      <c r="G1452">
        <v>14</v>
      </c>
      <c r="H1452" s="23">
        <f t="shared" si="58"/>
        <v>18</v>
      </c>
    </row>
    <row r="1453" spans="1:8" x14ac:dyDescent="0.25">
      <c r="A1453" s="22">
        <v>41896.760416666664</v>
      </c>
      <c r="B1453">
        <v>471.7</v>
      </c>
      <c r="C1453">
        <v>94.3</v>
      </c>
      <c r="D1453">
        <v>11.2</v>
      </c>
      <c r="E1453">
        <v>6.9</v>
      </c>
      <c r="G1453">
        <v>14</v>
      </c>
      <c r="H1453" s="23">
        <f t="shared" si="58"/>
        <v>18</v>
      </c>
    </row>
    <row r="1454" spans="1:8" x14ac:dyDescent="0.25">
      <c r="A1454" s="22">
        <v>41896.763888888891</v>
      </c>
      <c r="B1454">
        <v>474.5</v>
      </c>
      <c r="C1454">
        <v>94.4</v>
      </c>
      <c r="D1454">
        <v>11.3</v>
      </c>
      <c r="E1454">
        <v>6.9</v>
      </c>
      <c r="G1454">
        <v>14</v>
      </c>
      <c r="H1454" s="23">
        <f t="shared" si="58"/>
        <v>18</v>
      </c>
    </row>
    <row r="1455" spans="1:8" x14ac:dyDescent="0.25">
      <c r="A1455" s="22">
        <v>41896.767361111109</v>
      </c>
      <c r="B1455">
        <v>477.1</v>
      </c>
      <c r="C1455">
        <v>94.4</v>
      </c>
      <c r="D1455">
        <v>11.3</v>
      </c>
      <c r="E1455">
        <v>7</v>
      </c>
      <c r="G1455">
        <v>14</v>
      </c>
      <c r="H1455" s="23">
        <f t="shared" si="58"/>
        <v>18</v>
      </c>
    </row>
    <row r="1456" spans="1:8" x14ac:dyDescent="0.25">
      <c r="A1456" s="22">
        <v>41896.770833333336</v>
      </c>
      <c r="B1456">
        <v>477</v>
      </c>
      <c r="C1456">
        <v>94.4</v>
      </c>
      <c r="D1456">
        <v>11.4</v>
      </c>
      <c r="E1456">
        <v>7.1</v>
      </c>
      <c r="G1456">
        <v>14</v>
      </c>
      <c r="H1456" s="23">
        <f t="shared" si="58"/>
        <v>18</v>
      </c>
    </row>
    <row r="1457" spans="1:8" x14ac:dyDescent="0.25">
      <c r="A1457" s="22">
        <v>41896.774305555555</v>
      </c>
      <c r="B1457">
        <v>478.6</v>
      </c>
      <c r="C1457">
        <v>94.4</v>
      </c>
      <c r="D1457">
        <v>11.5</v>
      </c>
      <c r="E1457">
        <v>7.1</v>
      </c>
      <c r="G1457">
        <v>14</v>
      </c>
      <c r="H1457" s="23">
        <f t="shared" si="58"/>
        <v>18</v>
      </c>
    </row>
    <row r="1458" spans="1:8" x14ac:dyDescent="0.25">
      <c r="A1458" s="22">
        <v>41896.777777777781</v>
      </c>
      <c r="B1458">
        <v>475.5</v>
      </c>
      <c r="C1458">
        <v>94.4</v>
      </c>
      <c r="D1458">
        <v>11.5</v>
      </c>
      <c r="E1458">
        <v>7.2</v>
      </c>
      <c r="G1458">
        <v>14</v>
      </c>
      <c r="H1458" s="23">
        <f t="shared" si="58"/>
        <v>18</v>
      </c>
    </row>
    <row r="1459" spans="1:8" x14ac:dyDescent="0.25">
      <c r="A1459" s="22">
        <v>41896.78125</v>
      </c>
      <c r="B1459">
        <v>474.4</v>
      </c>
      <c r="C1459">
        <v>94.4</v>
      </c>
      <c r="D1459">
        <v>11.5</v>
      </c>
      <c r="E1459">
        <v>7.2</v>
      </c>
      <c r="G1459">
        <v>14</v>
      </c>
      <c r="H1459" s="23">
        <f t="shared" si="58"/>
        <v>18</v>
      </c>
    </row>
    <row r="1460" spans="1:8" x14ac:dyDescent="0.25">
      <c r="A1460" s="22">
        <v>41896.784722222219</v>
      </c>
      <c r="B1460">
        <v>478</v>
      </c>
      <c r="C1460">
        <v>94.4</v>
      </c>
      <c r="D1460">
        <v>11.6</v>
      </c>
      <c r="E1460">
        <v>7.2</v>
      </c>
      <c r="G1460">
        <v>14</v>
      </c>
      <c r="H1460" s="23">
        <f t="shared" si="58"/>
        <v>18</v>
      </c>
    </row>
    <row r="1461" spans="1:8" x14ac:dyDescent="0.25">
      <c r="A1461" s="22">
        <v>41896.788194444445</v>
      </c>
      <c r="B1461">
        <v>481.1</v>
      </c>
      <c r="C1461">
        <v>94.5</v>
      </c>
      <c r="D1461">
        <v>11.6</v>
      </c>
      <c r="E1461">
        <v>7.3</v>
      </c>
      <c r="G1461">
        <v>14</v>
      </c>
      <c r="H1461" s="23">
        <f t="shared" si="58"/>
        <v>18</v>
      </c>
    </row>
    <row r="1462" spans="1:8" x14ac:dyDescent="0.25">
      <c r="A1462" s="22">
        <v>41896.791666666664</v>
      </c>
      <c r="B1462">
        <v>479.8</v>
      </c>
      <c r="C1462">
        <v>94.5</v>
      </c>
      <c r="D1462">
        <v>11.8</v>
      </c>
      <c r="E1462">
        <v>7.5</v>
      </c>
      <c r="G1462">
        <v>14</v>
      </c>
      <c r="H1462" s="23">
        <f t="shared" si="58"/>
        <v>19</v>
      </c>
    </row>
    <row r="1463" spans="1:8" x14ac:dyDescent="0.25">
      <c r="A1463" s="22">
        <v>41896.795138888891</v>
      </c>
      <c r="B1463">
        <v>479.5</v>
      </c>
      <c r="C1463">
        <v>94.6</v>
      </c>
      <c r="D1463">
        <v>11.9</v>
      </c>
      <c r="E1463">
        <v>7.5</v>
      </c>
      <c r="G1463">
        <v>14</v>
      </c>
      <c r="H1463" s="23">
        <f t="shared" si="58"/>
        <v>19</v>
      </c>
    </row>
    <row r="1464" spans="1:8" x14ac:dyDescent="0.25">
      <c r="A1464" s="22">
        <v>41896.798611111109</v>
      </c>
      <c r="B1464">
        <v>480.1</v>
      </c>
      <c r="C1464">
        <v>94.5</v>
      </c>
      <c r="D1464">
        <v>11.8</v>
      </c>
      <c r="E1464">
        <v>7.5</v>
      </c>
      <c r="G1464">
        <v>14</v>
      </c>
      <c r="H1464" s="23">
        <f t="shared" si="58"/>
        <v>19</v>
      </c>
    </row>
    <row r="1465" spans="1:8" x14ac:dyDescent="0.25">
      <c r="A1465" s="22">
        <v>41896.802083333336</v>
      </c>
      <c r="B1465">
        <v>480</v>
      </c>
      <c r="C1465">
        <v>94.4</v>
      </c>
      <c r="D1465">
        <v>11.9</v>
      </c>
      <c r="E1465">
        <v>7.5</v>
      </c>
      <c r="G1465">
        <v>14</v>
      </c>
      <c r="H1465" s="23">
        <f t="shared" si="58"/>
        <v>19</v>
      </c>
    </row>
    <row r="1466" spans="1:8" x14ac:dyDescent="0.25">
      <c r="A1466" s="22">
        <v>41896.805555555555</v>
      </c>
      <c r="B1466">
        <v>479.5</v>
      </c>
      <c r="C1466">
        <v>94.5</v>
      </c>
      <c r="D1466">
        <v>11.9</v>
      </c>
      <c r="E1466">
        <v>7.6</v>
      </c>
      <c r="G1466">
        <v>14</v>
      </c>
      <c r="H1466" s="23">
        <f t="shared" si="58"/>
        <v>19</v>
      </c>
    </row>
    <row r="1467" spans="1:8" x14ac:dyDescent="0.25">
      <c r="A1467" s="22">
        <v>41896.809027777781</v>
      </c>
      <c r="B1467">
        <v>481.6</v>
      </c>
      <c r="C1467">
        <v>94.5</v>
      </c>
      <c r="D1467">
        <v>12</v>
      </c>
      <c r="E1467">
        <v>7.6</v>
      </c>
      <c r="G1467">
        <v>14</v>
      </c>
      <c r="H1467" s="23">
        <f t="shared" si="58"/>
        <v>19</v>
      </c>
    </row>
    <row r="1468" spans="1:8" x14ac:dyDescent="0.25">
      <c r="A1468" s="22">
        <v>41896.8125</v>
      </c>
      <c r="B1468">
        <v>479.7</v>
      </c>
      <c r="C1468">
        <v>94.5</v>
      </c>
      <c r="D1468">
        <v>12</v>
      </c>
      <c r="E1468">
        <v>7.7</v>
      </c>
      <c r="G1468">
        <v>14</v>
      </c>
      <c r="H1468" s="23">
        <f t="shared" si="58"/>
        <v>19</v>
      </c>
    </row>
    <row r="1469" spans="1:8" x14ac:dyDescent="0.25">
      <c r="A1469" s="22">
        <v>41896.815972222219</v>
      </c>
      <c r="B1469">
        <v>479.1</v>
      </c>
      <c r="C1469">
        <v>94.4</v>
      </c>
      <c r="D1469">
        <v>12</v>
      </c>
      <c r="E1469">
        <v>7.7</v>
      </c>
      <c r="G1469">
        <v>14</v>
      </c>
      <c r="H1469" s="23">
        <f t="shared" si="58"/>
        <v>19</v>
      </c>
    </row>
    <row r="1470" spans="1:8" x14ac:dyDescent="0.25">
      <c r="A1470" s="22">
        <v>41896.819444444445</v>
      </c>
      <c r="B1470">
        <v>481.6</v>
      </c>
      <c r="C1470">
        <v>94.4</v>
      </c>
      <c r="D1470">
        <v>12</v>
      </c>
      <c r="E1470">
        <v>7.7</v>
      </c>
      <c r="G1470">
        <v>14</v>
      </c>
      <c r="H1470" s="23">
        <f t="shared" si="58"/>
        <v>19</v>
      </c>
    </row>
    <row r="1471" spans="1:8" x14ac:dyDescent="0.25">
      <c r="A1471" s="22">
        <v>41896.822916666664</v>
      </c>
      <c r="B1471">
        <v>481.7</v>
      </c>
      <c r="C1471">
        <v>94.5</v>
      </c>
      <c r="D1471">
        <v>12.1</v>
      </c>
      <c r="E1471">
        <v>7.7</v>
      </c>
      <c r="G1471">
        <v>14</v>
      </c>
      <c r="H1471" s="23">
        <f t="shared" si="58"/>
        <v>19</v>
      </c>
    </row>
    <row r="1472" spans="1:8" x14ac:dyDescent="0.25">
      <c r="A1472" s="22">
        <v>41896.826388888891</v>
      </c>
      <c r="B1472">
        <v>482.4</v>
      </c>
      <c r="C1472">
        <v>94.5</v>
      </c>
      <c r="D1472">
        <v>12.1</v>
      </c>
      <c r="E1472">
        <v>7.7</v>
      </c>
      <c r="G1472">
        <v>14</v>
      </c>
      <c r="H1472" s="23">
        <f t="shared" si="58"/>
        <v>19</v>
      </c>
    </row>
    <row r="1473" spans="1:8" x14ac:dyDescent="0.25">
      <c r="A1473" s="22">
        <v>41896.829861111109</v>
      </c>
      <c r="B1473">
        <v>482.1</v>
      </c>
      <c r="C1473">
        <v>94.4</v>
      </c>
      <c r="D1473">
        <v>12.1</v>
      </c>
      <c r="E1473">
        <v>7.7</v>
      </c>
      <c r="G1473">
        <v>14</v>
      </c>
      <c r="H1473" s="23">
        <f t="shared" si="58"/>
        <v>19</v>
      </c>
    </row>
    <row r="1474" spans="1:8" x14ac:dyDescent="0.25">
      <c r="A1474" s="22">
        <v>41896.833333333336</v>
      </c>
      <c r="B1474">
        <v>483.4</v>
      </c>
      <c r="C1474">
        <v>94.5</v>
      </c>
      <c r="D1474">
        <v>12.1</v>
      </c>
      <c r="E1474">
        <v>7.7</v>
      </c>
      <c r="G1474">
        <v>14</v>
      </c>
      <c r="H1474" s="23">
        <f t="shared" si="58"/>
        <v>20</v>
      </c>
    </row>
    <row r="1475" spans="1:8" x14ac:dyDescent="0.25">
      <c r="A1475" s="22">
        <v>41896.836805555555</v>
      </c>
      <c r="B1475">
        <v>482.8</v>
      </c>
      <c r="C1475">
        <v>94.4</v>
      </c>
      <c r="D1475">
        <v>12.1</v>
      </c>
      <c r="E1475">
        <v>7.7</v>
      </c>
      <c r="G1475">
        <v>14</v>
      </c>
      <c r="H1475" s="23">
        <f t="shared" si="58"/>
        <v>20</v>
      </c>
    </row>
    <row r="1476" spans="1:8" x14ac:dyDescent="0.25">
      <c r="A1476" s="22">
        <v>41896.840277777781</v>
      </c>
      <c r="B1476">
        <v>485.9</v>
      </c>
      <c r="C1476">
        <v>94.6</v>
      </c>
      <c r="D1476">
        <v>12.1</v>
      </c>
      <c r="E1476">
        <v>7.7</v>
      </c>
      <c r="G1476">
        <v>14</v>
      </c>
      <c r="H1476" s="23">
        <f t="shared" si="58"/>
        <v>20</v>
      </c>
    </row>
    <row r="1477" spans="1:8" x14ac:dyDescent="0.25">
      <c r="A1477" s="22">
        <v>41896.84375</v>
      </c>
      <c r="B1477">
        <v>484.6</v>
      </c>
      <c r="C1477">
        <v>94.5</v>
      </c>
      <c r="D1477">
        <v>12.1</v>
      </c>
      <c r="E1477">
        <v>7.7</v>
      </c>
      <c r="G1477">
        <v>14</v>
      </c>
      <c r="H1477" s="23">
        <f t="shared" si="58"/>
        <v>20</v>
      </c>
    </row>
    <row r="1478" spans="1:8" x14ac:dyDescent="0.25">
      <c r="A1478" s="22">
        <v>41896.847222222219</v>
      </c>
      <c r="B1478">
        <v>483.9</v>
      </c>
      <c r="C1478">
        <v>94.5</v>
      </c>
      <c r="D1478">
        <v>12.1</v>
      </c>
      <c r="E1478">
        <v>7.7</v>
      </c>
      <c r="G1478">
        <v>14</v>
      </c>
      <c r="H1478" s="23">
        <f t="shared" ref="H1478:H1541" si="59">+HOUR(A1478)</f>
        <v>20</v>
      </c>
    </row>
    <row r="1479" spans="1:8" x14ac:dyDescent="0.25">
      <c r="A1479" s="22">
        <v>41896.850694444445</v>
      </c>
      <c r="B1479">
        <v>483.4</v>
      </c>
      <c r="C1479">
        <v>94.6</v>
      </c>
      <c r="D1479">
        <v>12.1</v>
      </c>
      <c r="E1479">
        <v>7.7</v>
      </c>
      <c r="G1479">
        <v>14</v>
      </c>
      <c r="H1479" s="23">
        <f t="shared" si="59"/>
        <v>20</v>
      </c>
    </row>
    <row r="1480" spans="1:8" x14ac:dyDescent="0.25">
      <c r="A1480" s="22">
        <v>41896.854166666664</v>
      </c>
      <c r="B1480">
        <v>481.7</v>
      </c>
      <c r="C1480">
        <v>94.6</v>
      </c>
      <c r="D1480">
        <v>12.1</v>
      </c>
      <c r="E1480">
        <v>7.8</v>
      </c>
      <c r="G1480">
        <v>14</v>
      </c>
      <c r="H1480" s="23">
        <f t="shared" si="59"/>
        <v>20</v>
      </c>
    </row>
    <row r="1481" spans="1:8" x14ac:dyDescent="0.25">
      <c r="A1481" s="22">
        <v>41896.857638888891</v>
      </c>
      <c r="B1481">
        <v>482.1</v>
      </c>
      <c r="C1481">
        <v>94.7</v>
      </c>
      <c r="D1481">
        <v>12.1</v>
      </c>
      <c r="E1481">
        <v>7.8</v>
      </c>
      <c r="G1481">
        <v>14</v>
      </c>
      <c r="H1481" s="23">
        <f t="shared" si="59"/>
        <v>20</v>
      </c>
    </row>
    <row r="1482" spans="1:8" x14ac:dyDescent="0.25">
      <c r="A1482" s="22">
        <v>41896.861111111109</v>
      </c>
      <c r="B1482">
        <v>482.3</v>
      </c>
      <c r="C1482">
        <v>94.4</v>
      </c>
      <c r="D1482">
        <v>12.2</v>
      </c>
      <c r="E1482">
        <v>7.8</v>
      </c>
      <c r="G1482">
        <v>14</v>
      </c>
      <c r="H1482" s="23">
        <f t="shared" si="59"/>
        <v>20</v>
      </c>
    </row>
    <row r="1483" spans="1:8" x14ac:dyDescent="0.25">
      <c r="A1483" s="22">
        <v>41896.864583333336</v>
      </c>
      <c r="B1483">
        <v>484</v>
      </c>
      <c r="C1483">
        <v>94.5</v>
      </c>
      <c r="D1483">
        <v>12.2</v>
      </c>
      <c r="E1483">
        <v>7.8</v>
      </c>
      <c r="G1483">
        <v>14</v>
      </c>
      <c r="H1483" s="23">
        <f t="shared" si="59"/>
        <v>20</v>
      </c>
    </row>
    <row r="1484" spans="1:8" x14ac:dyDescent="0.25">
      <c r="A1484" s="22">
        <v>41896.868055555555</v>
      </c>
      <c r="B1484">
        <v>485</v>
      </c>
      <c r="C1484">
        <v>94.5</v>
      </c>
      <c r="D1484">
        <v>12.2</v>
      </c>
      <c r="E1484">
        <v>7.8</v>
      </c>
      <c r="G1484">
        <v>14</v>
      </c>
      <c r="H1484" s="23">
        <f t="shared" si="59"/>
        <v>20</v>
      </c>
    </row>
    <row r="1485" spans="1:8" x14ac:dyDescent="0.25">
      <c r="A1485" s="22">
        <v>41896.871527777781</v>
      </c>
      <c r="B1485">
        <v>482.9</v>
      </c>
      <c r="C1485">
        <v>94.6</v>
      </c>
      <c r="D1485">
        <v>12.2</v>
      </c>
      <c r="E1485">
        <v>7.8</v>
      </c>
      <c r="G1485">
        <v>14</v>
      </c>
      <c r="H1485" s="23">
        <f t="shared" si="59"/>
        <v>20</v>
      </c>
    </row>
    <row r="1486" spans="1:8" x14ac:dyDescent="0.25">
      <c r="A1486" s="22">
        <v>41896.875</v>
      </c>
      <c r="B1486">
        <v>482.9</v>
      </c>
      <c r="C1486">
        <v>94.5</v>
      </c>
      <c r="D1486">
        <v>12.2</v>
      </c>
      <c r="E1486">
        <v>7.8</v>
      </c>
      <c r="G1486">
        <v>14</v>
      </c>
      <c r="H1486" s="23">
        <f t="shared" si="59"/>
        <v>21</v>
      </c>
    </row>
    <row r="1487" spans="1:8" x14ac:dyDescent="0.25">
      <c r="A1487" s="22">
        <v>41896.878472222219</v>
      </c>
      <c r="B1487">
        <v>483.8</v>
      </c>
      <c r="C1487">
        <v>94.5</v>
      </c>
      <c r="D1487">
        <v>12.2</v>
      </c>
      <c r="E1487">
        <v>7.8</v>
      </c>
      <c r="G1487">
        <v>14</v>
      </c>
      <c r="H1487" s="23">
        <f t="shared" si="59"/>
        <v>21</v>
      </c>
    </row>
    <row r="1488" spans="1:8" x14ac:dyDescent="0.25">
      <c r="A1488" s="22">
        <v>41896.881944444445</v>
      </c>
      <c r="B1488">
        <v>481.4</v>
      </c>
      <c r="C1488">
        <v>94.6</v>
      </c>
      <c r="D1488">
        <v>12.2</v>
      </c>
      <c r="E1488">
        <v>7.9</v>
      </c>
      <c r="G1488">
        <v>14</v>
      </c>
      <c r="H1488" s="23">
        <f t="shared" si="59"/>
        <v>21</v>
      </c>
    </row>
    <row r="1489" spans="1:8" x14ac:dyDescent="0.25">
      <c r="A1489" s="22">
        <v>41896.885416666664</v>
      </c>
      <c r="B1489">
        <v>481.1</v>
      </c>
      <c r="C1489">
        <v>94.6</v>
      </c>
      <c r="D1489">
        <v>12.2</v>
      </c>
      <c r="E1489">
        <v>7.8</v>
      </c>
      <c r="G1489">
        <v>14</v>
      </c>
      <c r="H1489" s="23">
        <f t="shared" si="59"/>
        <v>21</v>
      </c>
    </row>
    <row r="1490" spans="1:8" x14ac:dyDescent="0.25">
      <c r="A1490" s="22">
        <v>41896.888888888891</v>
      </c>
      <c r="B1490">
        <v>480.7</v>
      </c>
      <c r="C1490">
        <v>94.5</v>
      </c>
      <c r="D1490">
        <v>12.2</v>
      </c>
      <c r="E1490">
        <v>7.8</v>
      </c>
      <c r="G1490">
        <v>14</v>
      </c>
      <c r="H1490" s="23">
        <f t="shared" si="59"/>
        <v>21</v>
      </c>
    </row>
    <row r="1491" spans="1:8" x14ac:dyDescent="0.25">
      <c r="A1491" s="22">
        <v>41896.892361111109</v>
      </c>
      <c r="B1491">
        <v>480.5</v>
      </c>
      <c r="C1491">
        <v>94.4</v>
      </c>
      <c r="D1491">
        <v>12.2</v>
      </c>
      <c r="E1491">
        <v>7.8</v>
      </c>
      <c r="G1491">
        <v>14</v>
      </c>
      <c r="H1491" s="23">
        <f t="shared" si="59"/>
        <v>21</v>
      </c>
    </row>
    <row r="1492" spans="1:8" x14ac:dyDescent="0.25">
      <c r="A1492" s="22">
        <v>41896.895833333336</v>
      </c>
      <c r="B1492">
        <v>482.8</v>
      </c>
      <c r="C1492">
        <v>94.6</v>
      </c>
      <c r="D1492">
        <v>12.2</v>
      </c>
      <c r="E1492">
        <v>7.8</v>
      </c>
      <c r="G1492">
        <v>14</v>
      </c>
      <c r="H1492" s="23">
        <f t="shared" si="59"/>
        <v>21</v>
      </c>
    </row>
    <row r="1493" spans="1:8" x14ac:dyDescent="0.25">
      <c r="A1493" s="22">
        <v>41896.899305555555</v>
      </c>
      <c r="B1493">
        <v>479.8</v>
      </c>
      <c r="C1493">
        <v>94.5</v>
      </c>
      <c r="D1493">
        <v>12.2</v>
      </c>
      <c r="E1493">
        <v>7.8</v>
      </c>
      <c r="G1493">
        <v>14</v>
      </c>
      <c r="H1493" s="23">
        <f t="shared" si="59"/>
        <v>21</v>
      </c>
    </row>
    <row r="1494" spans="1:8" x14ac:dyDescent="0.25">
      <c r="A1494" s="22">
        <v>41896.902777777781</v>
      </c>
      <c r="B1494">
        <v>478.9</v>
      </c>
      <c r="C1494">
        <v>94.6</v>
      </c>
      <c r="D1494">
        <v>12.2</v>
      </c>
      <c r="E1494">
        <v>7.8</v>
      </c>
      <c r="G1494">
        <v>14</v>
      </c>
      <c r="H1494" s="23">
        <f t="shared" si="59"/>
        <v>21</v>
      </c>
    </row>
    <row r="1495" spans="1:8" x14ac:dyDescent="0.25">
      <c r="A1495" s="22">
        <v>41896.90625</v>
      </c>
      <c r="B1495">
        <v>480.1</v>
      </c>
      <c r="C1495">
        <v>94.4</v>
      </c>
      <c r="D1495">
        <v>12.2</v>
      </c>
      <c r="E1495">
        <v>7.8</v>
      </c>
      <c r="G1495">
        <v>14</v>
      </c>
      <c r="H1495" s="23">
        <f t="shared" si="59"/>
        <v>21</v>
      </c>
    </row>
    <row r="1496" spans="1:8" x14ac:dyDescent="0.25">
      <c r="A1496" s="22">
        <v>41896.909722222219</v>
      </c>
      <c r="B1496">
        <v>476.2</v>
      </c>
      <c r="C1496">
        <v>94.5</v>
      </c>
      <c r="D1496">
        <v>12.2</v>
      </c>
      <c r="E1496">
        <v>7.9</v>
      </c>
      <c r="G1496">
        <v>14</v>
      </c>
      <c r="H1496" s="23">
        <f t="shared" si="59"/>
        <v>21</v>
      </c>
    </row>
    <row r="1497" spans="1:8" x14ac:dyDescent="0.25">
      <c r="A1497" s="22">
        <v>41896.913194444445</v>
      </c>
      <c r="B1497">
        <v>478.6</v>
      </c>
      <c r="C1497">
        <v>94.6</v>
      </c>
      <c r="D1497">
        <v>12.2</v>
      </c>
      <c r="E1497">
        <v>7.9</v>
      </c>
      <c r="G1497">
        <v>14</v>
      </c>
      <c r="H1497" s="23">
        <f t="shared" si="59"/>
        <v>21</v>
      </c>
    </row>
    <row r="1498" spans="1:8" x14ac:dyDescent="0.25">
      <c r="A1498" s="22">
        <v>41896.916666666664</v>
      </c>
      <c r="B1498">
        <v>477.5</v>
      </c>
      <c r="C1498">
        <v>94.5</v>
      </c>
      <c r="D1498">
        <v>12.2</v>
      </c>
      <c r="E1498">
        <v>7.9</v>
      </c>
      <c r="G1498">
        <v>14</v>
      </c>
      <c r="H1498" s="23">
        <f t="shared" si="59"/>
        <v>22</v>
      </c>
    </row>
    <row r="1499" spans="1:8" x14ac:dyDescent="0.25">
      <c r="A1499" s="22">
        <v>41896.920138888891</v>
      </c>
      <c r="B1499">
        <v>477.5</v>
      </c>
      <c r="C1499">
        <v>94.5</v>
      </c>
      <c r="D1499">
        <v>12.2</v>
      </c>
      <c r="E1499">
        <v>7.9</v>
      </c>
      <c r="G1499">
        <v>14</v>
      </c>
      <c r="H1499" s="23">
        <f t="shared" si="59"/>
        <v>22</v>
      </c>
    </row>
    <row r="1500" spans="1:8" x14ac:dyDescent="0.25">
      <c r="A1500" s="22">
        <v>41896.923611111109</v>
      </c>
      <c r="B1500">
        <v>479.1</v>
      </c>
      <c r="C1500">
        <v>94.5</v>
      </c>
      <c r="D1500">
        <v>12.2</v>
      </c>
      <c r="E1500">
        <v>7.8</v>
      </c>
      <c r="G1500">
        <v>14</v>
      </c>
      <c r="H1500" s="23">
        <f t="shared" si="59"/>
        <v>22</v>
      </c>
    </row>
    <row r="1501" spans="1:8" x14ac:dyDescent="0.25">
      <c r="A1501" s="22">
        <v>41896.927083333336</v>
      </c>
      <c r="B1501">
        <v>479.6</v>
      </c>
      <c r="C1501">
        <v>94.5</v>
      </c>
      <c r="D1501">
        <v>12.2</v>
      </c>
      <c r="E1501">
        <v>7.9</v>
      </c>
      <c r="G1501">
        <v>14</v>
      </c>
      <c r="H1501" s="23">
        <f t="shared" si="59"/>
        <v>22</v>
      </c>
    </row>
    <row r="1502" spans="1:8" x14ac:dyDescent="0.25">
      <c r="A1502" s="22">
        <v>41896.930555555555</v>
      </c>
      <c r="B1502">
        <v>481.1</v>
      </c>
      <c r="C1502">
        <v>94.6</v>
      </c>
      <c r="D1502">
        <v>12.2</v>
      </c>
      <c r="E1502">
        <v>7.9</v>
      </c>
      <c r="G1502">
        <v>14</v>
      </c>
      <c r="H1502" s="23">
        <f t="shared" si="59"/>
        <v>22</v>
      </c>
    </row>
    <row r="1503" spans="1:8" x14ac:dyDescent="0.25">
      <c r="A1503" s="22">
        <v>41896.934027777781</v>
      </c>
      <c r="B1503">
        <v>478.2</v>
      </c>
      <c r="C1503">
        <v>94.5</v>
      </c>
      <c r="D1503">
        <v>12.1</v>
      </c>
      <c r="E1503">
        <v>7.7</v>
      </c>
      <c r="G1503">
        <v>14</v>
      </c>
      <c r="H1503" s="23">
        <f t="shared" si="59"/>
        <v>22</v>
      </c>
    </row>
    <row r="1504" spans="1:8" x14ac:dyDescent="0.25">
      <c r="A1504" s="22">
        <v>41896.9375</v>
      </c>
      <c r="B1504">
        <v>486.9</v>
      </c>
      <c r="C1504">
        <v>94.4</v>
      </c>
      <c r="D1504">
        <v>12</v>
      </c>
      <c r="E1504">
        <v>7.6</v>
      </c>
      <c r="G1504">
        <v>14</v>
      </c>
      <c r="H1504" s="23">
        <f t="shared" si="59"/>
        <v>22</v>
      </c>
    </row>
    <row r="1505" spans="1:8" x14ac:dyDescent="0.25">
      <c r="A1505" s="22">
        <v>41896.940972222219</v>
      </c>
      <c r="B1505">
        <v>485.1</v>
      </c>
      <c r="C1505">
        <v>94.5</v>
      </c>
      <c r="D1505">
        <v>12.3</v>
      </c>
      <c r="E1505">
        <v>7.9</v>
      </c>
      <c r="G1505">
        <v>14</v>
      </c>
      <c r="H1505" s="23">
        <f t="shared" si="59"/>
        <v>22</v>
      </c>
    </row>
    <row r="1506" spans="1:8" x14ac:dyDescent="0.25">
      <c r="A1506" s="22">
        <v>41896.944444444445</v>
      </c>
      <c r="B1506">
        <v>479.8</v>
      </c>
      <c r="C1506">
        <v>94.5</v>
      </c>
      <c r="D1506">
        <v>12</v>
      </c>
      <c r="E1506">
        <v>7.6</v>
      </c>
      <c r="G1506">
        <v>14</v>
      </c>
      <c r="H1506" s="23">
        <f t="shared" si="59"/>
        <v>22</v>
      </c>
    </row>
    <row r="1507" spans="1:8" x14ac:dyDescent="0.25">
      <c r="A1507" s="22">
        <v>41896.947916666664</v>
      </c>
      <c r="B1507">
        <v>480.7</v>
      </c>
      <c r="C1507">
        <v>94.4</v>
      </c>
      <c r="D1507">
        <v>11.8</v>
      </c>
      <c r="E1507">
        <v>7.4</v>
      </c>
      <c r="G1507">
        <v>14</v>
      </c>
      <c r="H1507" s="23">
        <f t="shared" si="59"/>
        <v>22</v>
      </c>
    </row>
    <row r="1508" spans="1:8" x14ac:dyDescent="0.25">
      <c r="A1508" s="22">
        <v>41896.951388888891</v>
      </c>
      <c r="B1508">
        <v>477</v>
      </c>
      <c r="C1508">
        <v>94.4</v>
      </c>
      <c r="D1508">
        <v>11.7</v>
      </c>
      <c r="E1508">
        <v>7.4</v>
      </c>
      <c r="G1508">
        <v>14</v>
      </c>
      <c r="H1508" s="23">
        <f t="shared" si="59"/>
        <v>22</v>
      </c>
    </row>
    <row r="1509" spans="1:8" x14ac:dyDescent="0.25">
      <c r="A1509" s="22">
        <v>41896.954861111109</v>
      </c>
      <c r="B1509">
        <v>482</v>
      </c>
      <c r="C1509">
        <v>94.4</v>
      </c>
      <c r="D1509">
        <v>11.8</v>
      </c>
      <c r="E1509">
        <v>7.5</v>
      </c>
      <c r="G1509">
        <v>14</v>
      </c>
      <c r="H1509" s="23">
        <f t="shared" si="59"/>
        <v>22</v>
      </c>
    </row>
    <row r="1510" spans="1:8" x14ac:dyDescent="0.25">
      <c r="A1510" s="22">
        <v>41896.958333333336</v>
      </c>
      <c r="B1510">
        <v>478.9</v>
      </c>
      <c r="C1510">
        <v>94.6</v>
      </c>
      <c r="D1510">
        <v>11.8</v>
      </c>
      <c r="E1510">
        <v>7.5</v>
      </c>
      <c r="G1510">
        <v>14</v>
      </c>
      <c r="H1510" s="23">
        <f t="shared" si="59"/>
        <v>23</v>
      </c>
    </row>
    <row r="1511" spans="1:8" x14ac:dyDescent="0.25">
      <c r="A1511" s="22">
        <v>41896.961805555555</v>
      </c>
      <c r="B1511">
        <v>478.1</v>
      </c>
      <c r="C1511">
        <v>94.6</v>
      </c>
      <c r="D1511">
        <v>11.7</v>
      </c>
      <c r="E1511">
        <v>7.4</v>
      </c>
      <c r="G1511">
        <v>14</v>
      </c>
      <c r="H1511" s="23">
        <f t="shared" si="59"/>
        <v>23</v>
      </c>
    </row>
    <row r="1512" spans="1:8" x14ac:dyDescent="0.25">
      <c r="A1512" s="22">
        <v>41896.965277777781</v>
      </c>
      <c r="B1512">
        <v>477.8</v>
      </c>
      <c r="C1512">
        <v>94.5</v>
      </c>
      <c r="D1512">
        <v>11.7</v>
      </c>
      <c r="E1512">
        <v>7.3</v>
      </c>
      <c r="G1512">
        <v>14</v>
      </c>
      <c r="H1512" s="23">
        <f t="shared" si="59"/>
        <v>23</v>
      </c>
    </row>
    <row r="1513" spans="1:8" x14ac:dyDescent="0.25">
      <c r="A1513" s="22">
        <v>41896.96875</v>
      </c>
      <c r="B1513">
        <v>475.8</v>
      </c>
      <c r="C1513">
        <v>94.3</v>
      </c>
      <c r="D1513">
        <v>11.6</v>
      </c>
      <c r="E1513">
        <v>7.3</v>
      </c>
      <c r="G1513">
        <v>14</v>
      </c>
      <c r="H1513" s="23">
        <f t="shared" si="59"/>
        <v>23</v>
      </c>
    </row>
    <row r="1514" spans="1:8" x14ac:dyDescent="0.25">
      <c r="A1514" s="22">
        <v>41896.972222222219</v>
      </c>
      <c r="B1514">
        <v>476.7</v>
      </c>
      <c r="C1514">
        <v>94.5</v>
      </c>
      <c r="D1514">
        <v>11.6</v>
      </c>
      <c r="E1514">
        <v>7.3</v>
      </c>
      <c r="G1514">
        <v>14</v>
      </c>
      <c r="H1514" s="23">
        <f t="shared" si="59"/>
        <v>23</v>
      </c>
    </row>
    <row r="1515" spans="1:8" x14ac:dyDescent="0.25">
      <c r="A1515" s="22">
        <v>41896.975694444445</v>
      </c>
      <c r="B1515">
        <v>477.4</v>
      </c>
      <c r="C1515">
        <v>94.5</v>
      </c>
      <c r="D1515">
        <v>11.5</v>
      </c>
      <c r="E1515">
        <v>7.2</v>
      </c>
      <c r="G1515">
        <v>14</v>
      </c>
      <c r="H1515" s="23">
        <f t="shared" si="59"/>
        <v>23</v>
      </c>
    </row>
    <row r="1516" spans="1:8" x14ac:dyDescent="0.25">
      <c r="A1516" s="22">
        <v>41896.979166666664</v>
      </c>
      <c r="B1516">
        <v>478.5</v>
      </c>
      <c r="C1516">
        <v>94.4</v>
      </c>
      <c r="D1516">
        <v>11.5</v>
      </c>
      <c r="E1516">
        <v>7.2</v>
      </c>
      <c r="G1516">
        <v>14</v>
      </c>
      <c r="H1516" s="23">
        <f t="shared" si="59"/>
        <v>23</v>
      </c>
    </row>
    <row r="1517" spans="1:8" x14ac:dyDescent="0.25">
      <c r="A1517" s="22">
        <v>41896.982638888891</v>
      </c>
      <c r="B1517">
        <v>480.2</v>
      </c>
      <c r="C1517">
        <v>94.4</v>
      </c>
      <c r="D1517">
        <v>11.5</v>
      </c>
      <c r="E1517">
        <v>7.2</v>
      </c>
      <c r="G1517">
        <v>14</v>
      </c>
      <c r="H1517" s="23">
        <f t="shared" si="59"/>
        <v>23</v>
      </c>
    </row>
    <row r="1518" spans="1:8" x14ac:dyDescent="0.25">
      <c r="A1518" s="22">
        <v>41896.986111111109</v>
      </c>
      <c r="B1518">
        <v>482</v>
      </c>
      <c r="C1518">
        <v>94.5</v>
      </c>
      <c r="D1518">
        <v>11.5</v>
      </c>
      <c r="E1518">
        <v>7.2</v>
      </c>
      <c r="G1518">
        <v>14</v>
      </c>
      <c r="H1518" s="23">
        <f t="shared" si="59"/>
        <v>23</v>
      </c>
    </row>
    <row r="1519" spans="1:8" x14ac:dyDescent="0.25">
      <c r="A1519" s="22">
        <v>41896.989583333336</v>
      </c>
      <c r="B1519">
        <v>480.4</v>
      </c>
      <c r="C1519">
        <v>94.5</v>
      </c>
      <c r="D1519">
        <v>11.5</v>
      </c>
      <c r="E1519">
        <v>7.1</v>
      </c>
      <c r="G1519">
        <v>14</v>
      </c>
      <c r="H1519" s="23">
        <f t="shared" si="59"/>
        <v>23</v>
      </c>
    </row>
    <row r="1520" spans="1:8" x14ac:dyDescent="0.25">
      <c r="A1520" s="22">
        <v>41896.993055555555</v>
      </c>
      <c r="B1520">
        <v>480.8</v>
      </c>
      <c r="C1520">
        <v>94.5</v>
      </c>
      <c r="D1520">
        <v>11.5</v>
      </c>
      <c r="E1520">
        <v>7.1</v>
      </c>
      <c r="G1520">
        <v>14</v>
      </c>
      <c r="H1520" s="23">
        <f t="shared" si="59"/>
        <v>23</v>
      </c>
    </row>
    <row r="1521" spans="1:8" x14ac:dyDescent="0.25">
      <c r="A1521" s="22">
        <v>41896.996527777781</v>
      </c>
      <c r="B1521">
        <v>480.1</v>
      </c>
      <c r="C1521">
        <v>94.4</v>
      </c>
      <c r="D1521">
        <v>11.4</v>
      </c>
      <c r="E1521">
        <v>7</v>
      </c>
      <c r="G1521">
        <v>14</v>
      </c>
      <c r="H1521" s="23">
        <f t="shared" si="59"/>
        <v>23</v>
      </c>
    </row>
    <row r="1522" spans="1:8" x14ac:dyDescent="0.25">
      <c r="A1522" s="22">
        <v>41897</v>
      </c>
      <c r="B1522">
        <v>479.4</v>
      </c>
      <c r="C1522">
        <v>94.5</v>
      </c>
      <c r="D1522">
        <v>11.4</v>
      </c>
      <c r="E1522">
        <v>7</v>
      </c>
      <c r="G1522">
        <v>15</v>
      </c>
      <c r="H1522" s="23">
        <f t="shared" si="59"/>
        <v>0</v>
      </c>
    </row>
    <row r="1523" spans="1:8" x14ac:dyDescent="0.25">
      <c r="A1523" s="22">
        <v>41897.003472222219</v>
      </c>
      <c r="B1523">
        <v>479.2</v>
      </c>
      <c r="C1523">
        <v>94.3</v>
      </c>
      <c r="D1523">
        <v>11.3</v>
      </c>
      <c r="E1523">
        <v>7</v>
      </c>
      <c r="G1523">
        <v>15</v>
      </c>
      <c r="H1523" s="23">
        <f t="shared" si="59"/>
        <v>0</v>
      </c>
    </row>
    <row r="1524" spans="1:8" x14ac:dyDescent="0.25">
      <c r="A1524" s="22">
        <v>41897.006944444445</v>
      </c>
      <c r="B1524">
        <v>478.2</v>
      </c>
      <c r="C1524">
        <v>94.5</v>
      </c>
      <c r="D1524">
        <v>11.3</v>
      </c>
      <c r="E1524">
        <v>7</v>
      </c>
      <c r="G1524">
        <v>15</v>
      </c>
      <c r="H1524" s="23">
        <f t="shared" si="59"/>
        <v>0</v>
      </c>
    </row>
    <row r="1525" spans="1:8" x14ac:dyDescent="0.25">
      <c r="A1525" s="22">
        <v>41897.010416666664</v>
      </c>
      <c r="B1525">
        <v>478</v>
      </c>
      <c r="C1525">
        <v>94.4</v>
      </c>
      <c r="D1525">
        <v>11.3</v>
      </c>
      <c r="E1525">
        <v>7</v>
      </c>
      <c r="G1525">
        <v>15</v>
      </c>
      <c r="H1525" s="23">
        <f t="shared" si="59"/>
        <v>0</v>
      </c>
    </row>
    <row r="1526" spans="1:8" x14ac:dyDescent="0.25">
      <c r="A1526" s="22">
        <v>41897.013888888891</v>
      </c>
      <c r="B1526">
        <v>477.9</v>
      </c>
      <c r="C1526">
        <v>94.3</v>
      </c>
      <c r="D1526">
        <v>11.3</v>
      </c>
      <c r="E1526">
        <v>6.9</v>
      </c>
      <c r="G1526">
        <v>15</v>
      </c>
      <c r="H1526" s="23">
        <f t="shared" si="59"/>
        <v>0</v>
      </c>
    </row>
    <row r="1527" spans="1:8" x14ac:dyDescent="0.25">
      <c r="A1527" s="22">
        <v>41897.017361111109</v>
      </c>
      <c r="B1527">
        <v>478.7</v>
      </c>
      <c r="C1527">
        <v>94.4</v>
      </c>
      <c r="D1527">
        <v>11.2</v>
      </c>
      <c r="E1527">
        <v>6.9</v>
      </c>
      <c r="G1527">
        <v>15</v>
      </c>
      <c r="H1527" s="23">
        <f t="shared" si="59"/>
        <v>0</v>
      </c>
    </row>
    <row r="1528" spans="1:8" x14ac:dyDescent="0.25">
      <c r="A1528" s="22">
        <v>41897.020833333336</v>
      </c>
      <c r="B1528">
        <v>478.5</v>
      </c>
      <c r="C1528">
        <v>94.4</v>
      </c>
      <c r="D1528">
        <v>11.2</v>
      </c>
      <c r="E1528">
        <v>6.9</v>
      </c>
      <c r="G1528">
        <v>15</v>
      </c>
      <c r="H1528" s="23">
        <f t="shared" si="59"/>
        <v>0</v>
      </c>
    </row>
    <row r="1529" spans="1:8" x14ac:dyDescent="0.25">
      <c r="A1529" s="22">
        <v>41897.024305555555</v>
      </c>
      <c r="B1529">
        <v>476.2</v>
      </c>
      <c r="C1529">
        <v>94.4</v>
      </c>
      <c r="D1529">
        <v>11.2</v>
      </c>
      <c r="E1529">
        <v>6.9</v>
      </c>
      <c r="G1529">
        <v>15</v>
      </c>
      <c r="H1529" s="23">
        <f t="shared" si="59"/>
        <v>0</v>
      </c>
    </row>
    <row r="1530" spans="1:8" x14ac:dyDescent="0.25">
      <c r="A1530" s="22">
        <v>41897.027777777781</v>
      </c>
      <c r="B1530">
        <v>475.4</v>
      </c>
      <c r="C1530">
        <v>94.3</v>
      </c>
      <c r="D1530">
        <v>11.1</v>
      </c>
      <c r="E1530">
        <v>6.8</v>
      </c>
      <c r="G1530">
        <v>15</v>
      </c>
      <c r="H1530" s="23">
        <f t="shared" si="59"/>
        <v>0</v>
      </c>
    </row>
    <row r="1531" spans="1:8" x14ac:dyDescent="0.25">
      <c r="A1531" s="22">
        <v>41897.03125</v>
      </c>
      <c r="B1531">
        <v>476.1</v>
      </c>
      <c r="C1531">
        <v>94.3</v>
      </c>
      <c r="D1531">
        <v>11.1</v>
      </c>
      <c r="E1531">
        <v>6.8</v>
      </c>
      <c r="G1531">
        <v>15</v>
      </c>
      <c r="H1531" s="23">
        <f t="shared" si="59"/>
        <v>0</v>
      </c>
    </row>
    <row r="1532" spans="1:8" x14ac:dyDescent="0.25">
      <c r="A1532" s="22">
        <v>41897.034722222219</v>
      </c>
      <c r="B1532">
        <v>477.6</v>
      </c>
      <c r="C1532">
        <v>94.4</v>
      </c>
      <c r="D1532">
        <v>11.1</v>
      </c>
      <c r="E1532">
        <v>6.7</v>
      </c>
      <c r="G1532">
        <v>15</v>
      </c>
      <c r="H1532" s="23">
        <f t="shared" si="59"/>
        <v>0</v>
      </c>
    </row>
    <row r="1533" spans="1:8" x14ac:dyDescent="0.25">
      <c r="A1533" s="22">
        <v>41897.038194444445</v>
      </c>
      <c r="B1533">
        <v>476.1</v>
      </c>
      <c r="C1533">
        <v>94.3</v>
      </c>
      <c r="D1533">
        <v>11.1</v>
      </c>
      <c r="E1533">
        <v>6.7</v>
      </c>
      <c r="G1533">
        <v>15</v>
      </c>
      <c r="H1533" s="23">
        <f t="shared" si="59"/>
        <v>0</v>
      </c>
    </row>
    <row r="1534" spans="1:8" x14ac:dyDescent="0.25">
      <c r="A1534" s="22">
        <v>41897.041666666664</v>
      </c>
      <c r="B1534">
        <v>476.3</v>
      </c>
      <c r="C1534">
        <v>94.3</v>
      </c>
      <c r="D1534">
        <v>11</v>
      </c>
      <c r="E1534">
        <v>6.7</v>
      </c>
      <c r="G1534">
        <v>15</v>
      </c>
      <c r="H1534" s="23">
        <f t="shared" si="59"/>
        <v>1</v>
      </c>
    </row>
    <row r="1535" spans="1:8" x14ac:dyDescent="0.25">
      <c r="A1535" s="22">
        <v>41897.045138888891</v>
      </c>
      <c r="B1535">
        <v>477.3</v>
      </c>
      <c r="C1535">
        <v>94.4</v>
      </c>
      <c r="D1535">
        <v>11</v>
      </c>
      <c r="E1535">
        <v>6.7</v>
      </c>
      <c r="G1535">
        <v>15</v>
      </c>
      <c r="H1535" s="23">
        <f t="shared" si="59"/>
        <v>1</v>
      </c>
    </row>
    <row r="1536" spans="1:8" x14ac:dyDescent="0.25">
      <c r="A1536" s="22">
        <v>41897.048611111109</v>
      </c>
      <c r="B1536">
        <v>477.3</v>
      </c>
      <c r="C1536">
        <v>94.4</v>
      </c>
      <c r="D1536">
        <v>11</v>
      </c>
      <c r="E1536">
        <v>6.6</v>
      </c>
      <c r="G1536">
        <v>15</v>
      </c>
      <c r="H1536" s="23">
        <f t="shared" si="59"/>
        <v>1</v>
      </c>
    </row>
    <row r="1537" spans="1:8" x14ac:dyDescent="0.25">
      <c r="A1537" s="22">
        <v>41897.052083333336</v>
      </c>
      <c r="B1537">
        <v>477.5</v>
      </c>
      <c r="C1537">
        <v>94.5</v>
      </c>
      <c r="D1537">
        <v>11</v>
      </c>
      <c r="E1537">
        <v>6.6</v>
      </c>
      <c r="G1537">
        <v>15</v>
      </c>
      <c r="H1537" s="23">
        <f t="shared" si="59"/>
        <v>1</v>
      </c>
    </row>
    <row r="1538" spans="1:8" x14ac:dyDescent="0.25">
      <c r="A1538" s="22">
        <v>41897.055555555555</v>
      </c>
      <c r="B1538">
        <v>476.7</v>
      </c>
      <c r="C1538">
        <v>94.3</v>
      </c>
      <c r="D1538">
        <v>10.9</v>
      </c>
      <c r="E1538">
        <v>6.6</v>
      </c>
      <c r="G1538">
        <v>15</v>
      </c>
      <c r="H1538" s="23">
        <f t="shared" si="59"/>
        <v>1</v>
      </c>
    </row>
    <row r="1539" spans="1:8" x14ac:dyDescent="0.25">
      <c r="A1539" s="22">
        <v>41897.059027777781</v>
      </c>
      <c r="B1539">
        <v>476.6</v>
      </c>
      <c r="C1539">
        <v>94.3</v>
      </c>
      <c r="D1539">
        <v>10.9</v>
      </c>
      <c r="E1539">
        <v>6.6</v>
      </c>
      <c r="G1539">
        <v>15</v>
      </c>
      <c r="H1539" s="23">
        <f t="shared" si="59"/>
        <v>1</v>
      </c>
    </row>
    <row r="1540" spans="1:8" x14ac:dyDescent="0.25">
      <c r="A1540" s="22">
        <v>41897.0625</v>
      </c>
      <c r="B1540">
        <v>476.5</v>
      </c>
      <c r="C1540">
        <v>94.3</v>
      </c>
      <c r="D1540">
        <v>10.9</v>
      </c>
      <c r="E1540">
        <v>6.5</v>
      </c>
      <c r="G1540">
        <v>15</v>
      </c>
      <c r="H1540" s="23">
        <f t="shared" si="59"/>
        <v>1</v>
      </c>
    </row>
    <row r="1541" spans="1:8" x14ac:dyDescent="0.25">
      <c r="A1541" s="22">
        <v>41897.065972222219</v>
      </c>
      <c r="B1541">
        <v>475.5</v>
      </c>
      <c r="C1541">
        <v>94.4</v>
      </c>
      <c r="D1541">
        <v>10.9</v>
      </c>
      <c r="E1541">
        <v>6.5</v>
      </c>
      <c r="G1541">
        <v>15</v>
      </c>
      <c r="H1541" s="23">
        <f t="shared" si="59"/>
        <v>1</v>
      </c>
    </row>
    <row r="1542" spans="1:8" x14ac:dyDescent="0.25">
      <c r="A1542" s="22">
        <v>41897.069444444445</v>
      </c>
      <c r="B1542">
        <v>475</v>
      </c>
      <c r="C1542">
        <v>94.4</v>
      </c>
      <c r="D1542">
        <v>10.8</v>
      </c>
      <c r="E1542">
        <v>6.5</v>
      </c>
      <c r="G1542">
        <v>15</v>
      </c>
      <c r="H1542" s="23">
        <f t="shared" ref="H1542:H1605" si="60">+HOUR(A1542)</f>
        <v>1</v>
      </c>
    </row>
    <row r="1543" spans="1:8" x14ac:dyDescent="0.25">
      <c r="A1543" s="22">
        <v>41897.072916666664</v>
      </c>
      <c r="B1543">
        <v>475.6</v>
      </c>
      <c r="C1543">
        <v>94.3</v>
      </c>
      <c r="D1543">
        <v>10.8</v>
      </c>
      <c r="E1543">
        <v>6.5</v>
      </c>
      <c r="G1543">
        <v>15</v>
      </c>
      <c r="H1543" s="23">
        <f t="shared" si="60"/>
        <v>1</v>
      </c>
    </row>
    <row r="1544" spans="1:8" x14ac:dyDescent="0.25">
      <c r="A1544" s="22">
        <v>41897.076388888891</v>
      </c>
      <c r="B1544">
        <v>476.6</v>
      </c>
      <c r="C1544">
        <v>94.4</v>
      </c>
      <c r="D1544">
        <v>10.8</v>
      </c>
      <c r="E1544">
        <v>6.4</v>
      </c>
      <c r="G1544">
        <v>15</v>
      </c>
      <c r="H1544" s="23">
        <f t="shared" si="60"/>
        <v>1</v>
      </c>
    </row>
    <row r="1545" spans="1:8" x14ac:dyDescent="0.25">
      <c r="A1545" s="22">
        <v>41897.079861111109</v>
      </c>
      <c r="B1545">
        <v>476.2</v>
      </c>
      <c r="C1545">
        <v>94.3</v>
      </c>
      <c r="D1545">
        <v>10.8</v>
      </c>
      <c r="E1545">
        <v>6.4</v>
      </c>
      <c r="G1545">
        <v>15</v>
      </c>
      <c r="H1545" s="23">
        <f t="shared" si="60"/>
        <v>1</v>
      </c>
    </row>
    <row r="1546" spans="1:8" x14ac:dyDescent="0.25">
      <c r="A1546" s="22">
        <v>41897.083333333336</v>
      </c>
      <c r="B1546">
        <v>474.6</v>
      </c>
      <c r="C1546">
        <v>94.3</v>
      </c>
      <c r="D1546">
        <v>10.7</v>
      </c>
      <c r="E1546">
        <v>6.4</v>
      </c>
      <c r="G1546">
        <v>15</v>
      </c>
      <c r="H1546" s="23">
        <f t="shared" si="60"/>
        <v>2</v>
      </c>
    </row>
    <row r="1547" spans="1:8" x14ac:dyDescent="0.25">
      <c r="A1547" s="22">
        <v>41897.086805555555</v>
      </c>
      <c r="B1547">
        <v>473.3</v>
      </c>
      <c r="C1547">
        <v>94.3</v>
      </c>
      <c r="D1547">
        <v>10.6</v>
      </c>
      <c r="E1547">
        <v>6.3</v>
      </c>
      <c r="G1547">
        <v>15</v>
      </c>
      <c r="H1547" s="23">
        <f t="shared" si="60"/>
        <v>2</v>
      </c>
    </row>
    <row r="1548" spans="1:8" x14ac:dyDescent="0.25">
      <c r="A1548" s="22">
        <v>41897.090277777781</v>
      </c>
      <c r="B1548">
        <v>471.3</v>
      </c>
      <c r="C1548">
        <v>94.2</v>
      </c>
      <c r="D1548">
        <v>10.6</v>
      </c>
      <c r="E1548">
        <v>6.3</v>
      </c>
      <c r="G1548">
        <v>15</v>
      </c>
      <c r="H1548" s="23">
        <f t="shared" si="60"/>
        <v>2</v>
      </c>
    </row>
    <row r="1549" spans="1:8" x14ac:dyDescent="0.25">
      <c r="A1549" s="22">
        <v>41897.09375</v>
      </c>
      <c r="B1549">
        <v>473.5</v>
      </c>
      <c r="C1549">
        <v>94.4</v>
      </c>
      <c r="D1549">
        <v>10.5</v>
      </c>
      <c r="E1549">
        <v>6.2</v>
      </c>
      <c r="G1549">
        <v>15</v>
      </c>
      <c r="H1549" s="23">
        <f t="shared" si="60"/>
        <v>2</v>
      </c>
    </row>
    <row r="1550" spans="1:8" x14ac:dyDescent="0.25">
      <c r="A1550" s="22">
        <v>41897.097222222219</v>
      </c>
      <c r="B1550">
        <v>472.6</v>
      </c>
      <c r="C1550">
        <v>94.3</v>
      </c>
      <c r="D1550">
        <v>10.5</v>
      </c>
      <c r="E1550">
        <v>6.2</v>
      </c>
      <c r="G1550">
        <v>15</v>
      </c>
      <c r="H1550" s="23">
        <f t="shared" si="60"/>
        <v>2</v>
      </c>
    </row>
    <row r="1551" spans="1:8" x14ac:dyDescent="0.25">
      <c r="A1551" s="22">
        <v>41897.100694444445</v>
      </c>
      <c r="B1551">
        <v>470.7</v>
      </c>
      <c r="C1551">
        <v>94.3</v>
      </c>
      <c r="D1551">
        <v>10.4</v>
      </c>
      <c r="E1551">
        <v>6.2</v>
      </c>
      <c r="G1551">
        <v>15</v>
      </c>
      <c r="H1551" s="23">
        <f t="shared" si="60"/>
        <v>2</v>
      </c>
    </row>
    <row r="1552" spans="1:8" x14ac:dyDescent="0.25">
      <c r="A1552" s="22">
        <v>41897.104166666664</v>
      </c>
      <c r="B1552">
        <v>471.1</v>
      </c>
      <c r="C1552">
        <v>94.3</v>
      </c>
      <c r="D1552">
        <v>10.4</v>
      </c>
      <c r="E1552">
        <v>6.1</v>
      </c>
      <c r="G1552">
        <v>15</v>
      </c>
      <c r="H1552" s="23">
        <f t="shared" si="60"/>
        <v>2</v>
      </c>
    </row>
    <row r="1553" spans="1:8" x14ac:dyDescent="0.25">
      <c r="A1553" s="22">
        <v>41897.107638888891</v>
      </c>
      <c r="B1553">
        <v>471.1</v>
      </c>
      <c r="C1553">
        <v>94.3</v>
      </c>
      <c r="D1553">
        <v>10.3</v>
      </c>
      <c r="E1553">
        <v>6.1</v>
      </c>
      <c r="G1553">
        <v>15</v>
      </c>
      <c r="H1553" s="23">
        <f t="shared" si="60"/>
        <v>2</v>
      </c>
    </row>
    <row r="1554" spans="1:8" x14ac:dyDescent="0.25">
      <c r="A1554" s="22">
        <v>41897.111111111109</v>
      </c>
      <c r="B1554">
        <v>469.7</v>
      </c>
      <c r="C1554">
        <v>94.3</v>
      </c>
      <c r="D1554">
        <v>10.3</v>
      </c>
      <c r="E1554">
        <v>6</v>
      </c>
      <c r="G1554">
        <v>15</v>
      </c>
      <c r="H1554" s="23">
        <f t="shared" si="60"/>
        <v>2</v>
      </c>
    </row>
    <row r="1555" spans="1:8" x14ac:dyDescent="0.25">
      <c r="A1555" s="22">
        <v>41897.114583333336</v>
      </c>
      <c r="B1555">
        <v>468.2</v>
      </c>
      <c r="C1555">
        <v>94.2</v>
      </c>
      <c r="D1555">
        <v>10.199999999999999</v>
      </c>
      <c r="E1555">
        <v>6</v>
      </c>
      <c r="G1555">
        <v>15</v>
      </c>
      <c r="H1555" s="23">
        <f t="shared" si="60"/>
        <v>2</v>
      </c>
    </row>
    <row r="1556" spans="1:8" x14ac:dyDescent="0.25">
      <c r="A1556" s="22">
        <v>41897.118055555555</v>
      </c>
      <c r="B1556">
        <v>468.2</v>
      </c>
      <c r="C1556">
        <v>94.2</v>
      </c>
      <c r="D1556">
        <v>10.199999999999999</v>
      </c>
      <c r="E1556">
        <v>5.9</v>
      </c>
      <c r="G1556">
        <v>15</v>
      </c>
      <c r="H1556" s="23">
        <f t="shared" si="60"/>
        <v>2</v>
      </c>
    </row>
    <row r="1557" spans="1:8" x14ac:dyDescent="0.25">
      <c r="A1557" s="22">
        <v>41897.121527777781</v>
      </c>
      <c r="B1557">
        <v>466.8</v>
      </c>
      <c r="C1557">
        <v>94.2</v>
      </c>
      <c r="D1557">
        <v>10.199999999999999</v>
      </c>
      <c r="E1557">
        <v>5.9</v>
      </c>
      <c r="G1557">
        <v>15</v>
      </c>
      <c r="H1557" s="23">
        <f t="shared" si="60"/>
        <v>2</v>
      </c>
    </row>
    <row r="1558" spans="1:8" x14ac:dyDescent="0.25">
      <c r="A1558" s="22">
        <v>41897.125</v>
      </c>
      <c r="B1558">
        <v>467.8</v>
      </c>
      <c r="C1558">
        <v>94.3</v>
      </c>
      <c r="D1558">
        <v>10.1</v>
      </c>
      <c r="E1558">
        <v>5.8</v>
      </c>
      <c r="G1558">
        <v>15</v>
      </c>
      <c r="H1558" s="23">
        <f t="shared" si="60"/>
        <v>3</v>
      </c>
    </row>
    <row r="1559" spans="1:8" x14ac:dyDescent="0.25">
      <c r="A1559" s="22">
        <v>41897.128472222219</v>
      </c>
      <c r="B1559">
        <v>464.1</v>
      </c>
      <c r="C1559">
        <v>94.3</v>
      </c>
      <c r="D1559">
        <v>10.1</v>
      </c>
      <c r="E1559">
        <v>5.8</v>
      </c>
      <c r="G1559">
        <v>15</v>
      </c>
      <c r="H1559" s="23">
        <f t="shared" si="60"/>
        <v>3</v>
      </c>
    </row>
    <row r="1560" spans="1:8" x14ac:dyDescent="0.25">
      <c r="A1560" s="22">
        <v>41897.131944444445</v>
      </c>
      <c r="B1560">
        <v>460.3</v>
      </c>
      <c r="C1560">
        <v>94.2</v>
      </c>
      <c r="D1560">
        <v>10</v>
      </c>
      <c r="E1560">
        <v>5.8</v>
      </c>
      <c r="G1560">
        <v>15</v>
      </c>
      <c r="H1560" s="23">
        <f t="shared" si="60"/>
        <v>3</v>
      </c>
    </row>
    <row r="1561" spans="1:8" x14ac:dyDescent="0.25">
      <c r="A1561" s="22">
        <v>41897.135416666664</v>
      </c>
      <c r="B1561">
        <v>455.3</v>
      </c>
      <c r="C1561">
        <v>94.1</v>
      </c>
      <c r="D1561">
        <v>9.9</v>
      </c>
      <c r="E1561">
        <v>5.8</v>
      </c>
      <c r="G1561">
        <v>15</v>
      </c>
      <c r="H1561" s="23">
        <f t="shared" si="60"/>
        <v>3</v>
      </c>
    </row>
    <row r="1562" spans="1:8" x14ac:dyDescent="0.25">
      <c r="A1562" s="22">
        <v>41897.138888888891</v>
      </c>
      <c r="B1562">
        <v>451.8</v>
      </c>
      <c r="C1562">
        <v>94.3</v>
      </c>
      <c r="D1562">
        <v>9.9</v>
      </c>
      <c r="E1562">
        <v>5.8</v>
      </c>
      <c r="G1562">
        <v>15</v>
      </c>
      <c r="H1562" s="23">
        <f t="shared" si="60"/>
        <v>3</v>
      </c>
    </row>
    <row r="1563" spans="1:8" x14ac:dyDescent="0.25">
      <c r="A1563" s="22">
        <v>41897.142361111109</v>
      </c>
      <c r="B1563">
        <v>448.6</v>
      </c>
      <c r="C1563">
        <v>94.2</v>
      </c>
      <c r="D1563">
        <v>9.9</v>
      </c>
      <c r="E1563">
        <v>5.8</v>
      </c>
      <c r="G1563">
        <v>15</v>
      </c>
      <c r="H1563" s="23">
        <f t="shared" si="60"/>
        <v>3</v>
      </c>
    </row>
    <row r="1564" spans="1:8" x14ac:dyDescent="0.25">
      <c r="A1564" s="22">
        <v>41897.145833333336</v>
      </c>
      <c r="B1564">
        <v>444</v>
      </c>
      <c r="C1564">
        <v>94.2</v>
      </c>
      <c r="D1564">
        <v>9.8000000000000007</v>
      </c>
      <c r="E1564">
        <v>5.8</v>
      </c>
      <c r="G1564">
        <v>15</v>
      </c>
      <c r="H1564" s="23">
        <f t="shared" si="60"/>
        <v>3</v>
      </c>
    </row>
    <row r="1565" spans="1:8" x14ac:dyDescent="0.25">
      <c r="A1565" s="22">
        <v>41897.149305555555</v>
      </c>
      <c r="B1565">
        <v>438.5</v>
      </c>
      <c r="C1565">
        <v>94.2</v>
      </c>
      <c r="D1565">
        <v>9.8000000000000007</v>
      </c>
      <c r="E1565">
        <v>5.8</v>
      </c>
      <c r="G1565">
        <v>15</v>
      </c>
      <c r="H1565" s="23">
        <f t="shared" si="60"/>
        <v>3</v>
      </c>
    </row>
    <row r="1566" spans="1:8" x14ac:dyDescent="0.25">
      <c r="A1566" s="22">
        <v>41897.152777777781</v>
      </c>
      <c r="B1566">
        <v>433.9</v>
      </c>
      <c r="C1566">
        <v>94.2</v>
      </c>
      <c r="D1566">
        <v>9.6999999999999993</v>
      </c>
      <c r="E1566">
        <v>5.8</v>
      </c>
      <c r="G1566">
        <v>15</v>
      </c>
      <c r="H1566" s="23">
        <f t="shared" si="60"/>
        <v>3</v>
      </c>
    </row>
    <row r="1567" spans="1:8" x14ac:dyDescent="0.25">
      <c r="A1567" s="22">
        <v>41897.15625</v>
      </c>
      <c r="B1567">
        <v>428.4</v>
      </c>
      <c r="C1567">
        <v>94.2</v>
      </c>
      <c r="D1567">
        <v>9.6999999999999993</v>
      </c>
      <c r="E1567">
        <v>5.8</v>
      </c>
      <c r="G1567">
        <v>15</v>
      </c>
      <c r="H1567" s="23">
        <f t="shared" si="60"/>
        <v>3</v>
      </c>
    </row>
    <row r="1568" spans="1:8" x14ac:dyDescent="0.25">
      <c r="A1568" s="22">
        <v>41897.159722222219</v>
      </c>
      <c r="B1568">
        <v>427.1</v>
      </c>
      <c r="C1568">
        <v>94.2</v>
      </c>
      <c r="D1568">
        <v>9.6999999999999993</v>
      </c>
      <c r="E1568">
        <v>5.8</v>
      </c>
      <c r="G1568">
        <v>15</v>
      </c>
      <c r="H1568" s="23">
        <f t="shared" si="60"/>
        <v>3</v>
      </c>
    </row>
    <row r="1569" spans="1:8" x14ac:dyDescent="0.25">
      <c r="A1569" s="22">
        <v>41897.163194444445</v>
      </c>
      <c r="B1569">
        <v>424.8</v>
      </c>
      <c r="C1569">
        <v>94.1</v>
      </c>
      <c r="D1569">
        <v>9.6999999999999993</v>
      </c>
      <c r="E1569">
        <v>5.8</v>
      </c>
      <c r="G1569">
        <v>15</v>
      </c>
      <c r="H1569" s="23">
        <f t="shared" si="60"/>
        <v>3</v>
      </c>
    </row>
    <row r="1570" spans="1:8" x14ac:dyDescent="0.25">
      <c r="A1570" s="22">
        <v>41897.166666666664</v>
      </c>
      <c r="B1570">
        <v>425.6</v>
      </c>
      <c r="C1570">
        <v>94.1</v>
      </c>
      <c r="D1570">
        <v>9.6999999999999993</v>
      </c>
      <c r="E1570">
        <v>5.8</v>
      </c>
      <c r="G1570">
        <v>15</v>
      </c>
      <c r="H1570" s="23">
        <f t="shared" si="60"/>
        <v>4</v>
      </c>
    </row>
    <row r="1571" spans="1:8" x14ac:dyDescent="0.25">
      <c r="A1571" s="22">
        <v>41897.170138888891</v>
      </c>
      <c r="B1571">
        <v>423.7</v>
      </c>
      <c r="C1571">
        <v>94.3</v>
      </c>
      <c r="D1571">
        <v>9.6</v>
      </c>
      <c r="E1571">
        <v>5.8</v>
      </c>
      <c r="G1571">
        <v>15</v>
      </c>
      <c r="H1571" s="23">
        <f t="shared" si="60"/>
        <v>4</v>
      </c>
    </row>
    <row r="1572" spans="1:8" x14ac:dyDescent="0.25">
      <c r="A1572" s="22">
        <v>41897.173611111109</v>
      </c>
      <c r="B1572">
        <v>420.5</v>
      </c>
      <c r="C1572">
        <v>94.2</v>
      </c>
      <c r="D1572">
        <v>9.6</v>
      </c>
      <c r="E1572">
        <v>5.8</v>
      </c>
      <c r="G1572">
        <v>15</v>
      </c>
      <c r="H1572" s="23">
        <f t="shared" si="60"/>
        <v>4</v>
      </c>
    </row>
    <row r="1573" spans="1:8" x14ac:dyDescent="0.25">
      <c r="A1573" s="22">
        <v>41897.177083333336</v>
      </c>
      <c r="B1573">
        <v>418.1</v>
      </c>
      <c r="C1573">
        <v>94.1</v>
      </c>
      <c r="D1573">
        <v>9.6</v>
      </c>
      <c r="E1573">
        <v>5.8</v>
      </c>
      <c r="G1573">
        <v>15</v>
      </c>
      <c r="H1573" s="23">
        <f t="shared" si="60"/>
        <v>4</v>
      </c>
    </row>
    <row r="1574" spans="1:8" x14ac:dyDescent="0.25">
      <c r="A1574" s="22">
        <v>41897.180555555555</v>
      </c>
      <c r="B1574">
        <v>416.7</v>
      </c>
      <c r="C1574">
        <v>94.1</v>
      </c>
      <c r="D1574">
        <v>9.6</v>
      </c>
      <c r="E1574">
        <v>5.8</v>
      </c>
      <c r="G1574">
        <v>15</v>
      </c>
      <c r="H1574" s="23">
        <f t="shared" si="60"/>
        <v>4</v>
      </c>
    </row>
    <row r="1575" spans="1:8" x14ac:dyDescent="0.25">
      <c r="A1575" s="22">
        <v>41897.184027777781</v>
      </c>
      <c r="B1575">
        <v>417.5</v>
      </c>
      <c r="C1575">
        <v>94.2</v>
      </c>
      <c r="D1575">
        <v>9.6</v>
      </c>
      <c r="E1575">
        <v>5.8</v>
      </c>
      <c r="G1575">
        <v>15</v>
      </c>
      <c r="H1575" s="23">
        <f t="shared" si="60"/>
        <v>4</v>
      </c>
    </row>
    <row r="1576" spans="1:8" x14ac:dyDescent="0.25">
      <c r="A1576" s="22">
        <v>41897.1875</v>
      </c>
      <c r="B1576">
        <v>417.4</v>
      </c>
      <c r="C1576">
        <v>94.3</v>
      </c>
      <c r="D1576">
        <v>9.6</v>
      </c>
      <c r="E1576">
        <v>5.8</v>
      </c>
      <c r="G1576">
        <v>15</v>
      </c>
      <c r="H1576" s="23">
        <f t="shared" si="60"/>
        <v>4</v>
      </c>
    </row>
    <row r="1577" spans="1:8" x14ac:dyDescent="0.25">
      <c r="A1577" s="22">
        <v>41897.190972222219</v>
      </c>
      <c r="B1577">
        <v>414.4</v>
      </c>
      <c r="C1577">
        <v>94.2</v>
      </c>
      <c r="D1577">
        <v>9.6</v>
      </c>
      <c r="E1577">
        <v>5.8</v>
      </c>
      <c r="G1577">
        <v>15</v>
      </c>
      <c r="H1577" s="23">
        <f t="shared" si="60"/>
        <v>4</v>
      </c>
    </row>
    <row r="1578" spans="1:8" x14ac:dyDescent="0.25">
      <c r="A1578" s="22">
        <v>41897.194444444445</v>
      </c>
      <c r="B1578">
        <v>411.2</v>
      </c>
      <c r="C1578">
        <v>94.1</v>
      </c>
      <c r="D1578">
        <v>9.5</v>
      </c>
      <c r="E1578">
        <v>5.8</v>
      </c>
      <c r="G1578">
        <v>15</v>
      </c>
      <c r="H1578" s="23">
        <f t="shared" si="60"/>
        <v>4</v>
      </c>
    </row>
    <row r="1579" spans="1:8" x14ac:dyDescent="0.25">
      <c r="A1579" s="22">
        <v>41897.197916666664</v>
      </c>
      <c r="B1579">
        <v>411.9</v>
      </c>
      <c r="C1579">
        <v>94.1</v>
      </c>
      <c r="D1579">
        <v>9.5</v>
      </c>
      <c r="E1579">
        <v>5.8</v>
      </c>
      <c r="G1579">
        <v>15</v>
      </c>
      <c r="H1579" s="23">
        <f t="shared" si="60"/>
        <v>4</v>
      </c>
    </row>
    <row r="1580" spans="1:8" x14ac:dyDescent="0.25">
      <c r="A1580" s="22">
        <v>41897.201388888891</v>
      </c>
      <c r="B1580">
        <v>412.4</v>
      </c>
      <c r="C1580">
        <v>94.2</v>
      </c>
      <c r="D1580">
        <v>9.5</v>
      </c>
      <c r="E1580">
        <v>5.8</v>
      </c>
      <c r="G1580">
        <v>15</v>
      </c>
      <c r="H1580" s="23">
        <f t="shared" si="60"/>
        <v>4</v>
      </c>
    </row>
    <row r="1581" spans="1:8" x14ac:dyDescent="0.25">
      <c r="A1581" s="22">
        <v>41897.204861111109</v>
      </c>
      <c r="B1581">
        <v>411</v>
      </c>
      <c r="C1581">
        <v>94.1</v>
      </c>
      <c r="D1581">
        <v>9.5</v>
      </c>
      <c r="E1581">
        <v>5.8</v>
      </c>
      <c r="G1581">
        <v>15</v>
      </c>
      <c r="H1581" s="23">
        <f t="shared" si="60"/>
        <v>4</v>
      </c>
    </row>
    <row r="1582" spans="1:8" x14ac:dyDescent="0.25">
      <c r="A1582" s="22">
        <v>41897.208333333336</v>
      </c>
      <c r="B1582">
        <v>411.3</v>
      </c>
      <c r="C1582">
        <v>94.2</v>
      </c>
      <c r="D1582">
        <v>9.5</v>
      </c>
      <c r="E1582">
        <v>5.8</v>
      </c>
      <c r="G1582">
        <v>15</v>
      </c>
      <c r="H1582" s="23">
        <f t="shared" si="60"/>
        <v>5</v>
      </c>
    </row>
    <row r="1583" spans="1:8" x14ac:dyDescent="0.25">
      <c r="A1583" s="22">
        <v>41897.211805555555</v>
      </c>
      <c r="B1583">
        <v>409.5</v>
      </c>
      <c r="C1583">
        <v>94.1</v>
      </c>
      <c r="D1583">
        <v>9.5</v>
      </c>
      <c r="E1583">
        <v>5.8</v>
      </c>
      <c r="G1583">
        <v>15</v>
      </c>
      <c r="H1583" s="23">
        <f t="shared" si="60"/>
        <v>5</v>
      </c>
    </row>
    <row r="1584" spans="1:8" x14ac:dyDescent="0.25">
      <c r="A1584" s="22">
        <v>41897.215277777781</v>
      </c>
      <c r="B1584">
        <v>413.8</v>
      </c>
      <c r="C1584">
        <v>94.2</v>
      </c>
      <c r="D1584">
        <v>9.6</v>
      </c>
      <c r="E1584">
        <v>5.8</v>
      </c>
      <c r="G1584">
        <v>15</v>
      </c>
      <c r="H1584" s="23">
        <f t="shared" si="60"/>
        <v>5</v>
      </c>
    </row>
    <row r="1585" spans="1:8" x14ac:dyDescent="0.25">
      <c r="A1585" s="22">
        <v>41897.21875</v>
      </c>
      <c r="B1585">
        <v>412.3</v>
      </c>
      <c r="C1585">
        <v>94.3</v>
      </c>
      <c r="D1585">
        <v>9.5</v>
      </c>
      <c r="E1585">
        <v>5.8</v>
      </c>
      <c r="G1585">
        <v>15</v>
      </c>
      <c r="H1585" s="23">
        <f t="shared" si="60"/>
        <v>5</v>
      </c>
    </row>
    <row r="1586" spans="1:8" x14ac:dyDescent="0.25">
      <c r="A1586" s="22">
        <v>41897.222222222219</v>
      </c>
      <c r="B1586">
        <v>408.8</v>
      </c>
      <c r="C1586">
        <v>94.2</v>
      </c>
      <c r="D1586">
        <v>9.5</v>
      </c>
      <c r="E1586">
        <v>5.8</v>
      </c>
      <c r="G1586">
        <v>15</v>
      </c>
      <c r="H1586" s="23">
        <f t="shared" si="60"/>
        <v>5</v>
      </c>
    </row>
    <row r="1587" spans="1:8" x14ac:dyDescent="0.25">
      <c r="A1587" s="22">
        <v>41897.225694444445</v>
      </c>
      <c r="B1587">
        <v>408.3</v>
      </c>
      <c r="C1587">
        <v>94.1</v>
      </c>
      <c r="D1587">
        <v>9.5</v>
      </c>
      <c r="E1587">
        <v>5.8</v>
      </c>
      <c r="G1587">
        <v>15</v>
      </c>
      <c r="H1587" s="23">
        <f t="shared" si="60"/>
        <v>5</v>
      </c>
    </row>
    <row r="1588" spans="1:8" x14ac:dyDescent="0.25">
      <c r="A1588" s="22">
        <v>41897.229166666664</v>
      </c>
      <c r="B1588">
        <v>408.4</v>
      </c>
      <c r="C1588">
        <v>94.2</v>
      </c>
      <c r="D1588">
        <v>9.5</v>
      </c>
      <c r="E1588">
        <v>5.8</v>
      </c>
      <c r="G1588">
        <v>15</v>
      </c>
      <c r="H1588" s="23">
        <f t="shared" si="60"/>
        <v>5</v>
      </c>
    </row>
    <row r="1589" spans="1:8" x14ac:dyDescent="0.25">
      <c r="A1589" s="22">
        <v>41897.232638888891</v>
      </c>
      <c r="B1589">
        <v>407.7</v>
      </c>
      <c r="C1589">
        <v>94.2</v>
      </c>
      <c r="D1589">
        <v>9.5</v>
      </c>
      <c r="E1589">
        <v>5.8</v>
      </c>
      <c r="G1589">
        <v>15</v>
      </c>
      <c r="H1589" s="23">
        <f t="shared" si="60"/>
        <v>5</v>
      </c>
    </row>
    <row r="1590" spans="1:8" x14ac:dyDescent="0.25">
      <c r="A1590" s="22">
        <v>41897.236111111109</v>
      </c>
      <c r="B1590">
        <v>403.4</v>
      </c>
      <c r="C1590">
        <v>94.1</v>
      </c>
      <c r="D1590">
        <v>9.4</v>
      </c>
      <c r="E1590">
        <v>5.8</v>
      </c>
      <c r="G1590">
        <v>15</v>
      </c>
      <c r="H1590" s="23">
        <f t="shared" si="60"/>
        <v>5</v>
      </c>
    </row>
    <row r="1591" spans="1:8" x14ac:dyDescent="0.25">
      <c r="A1591" s="22">
        <v>41897.239583333336</v>
      </c>
      <c r="B1591">
        <v>402.4</v>
      </c>
      <c r="C1591">
        <v>94.1</v>
      </c>
      <c r="D1591">
        <v>9.4</v>
      </c>
      <c r="E1591">
        <v>5.8</v>
      </c>
      <c r="G1591">
        <v>15</v>
      </c>
      <c r="H1591" s="23">
        <f t="shared" si="60"/>
        <v>5</v>
      </c>
    </row>
    <row r="1592" spans="1:8" x14ac:dyDescent="0.25">
      <c r="A1592" s="22">
        <v>41897.243055555555</v>
      </c>
      <c r="B1592">
        <v>402.9</v>
      </c>
      <c r="C1592">
        <v>94.1</v>
      </c>
      <c r="D1592">
        <v>9.5</v>
      </c>
      <c r="E1592">
        <v>5.8</v>
      </c>
      <c r="G1592">
        <v>15</v>
      </c>
      <c r="H1592" s="23">
        <f t="shared" si="60"/>
        <v>5</v>
      </c>
    </row>
    <row r="1593" spans="1:8" x14ac:dyDescent="0.25">
      <c r="A1593" s="22">
        <v>41897.246527777781</v>
      </c>
      <c r="B1593">
        <v>403.4</v>
      </c>
      <c r="C1593">
        <v>94.1</v>
      </c>
      <c r="D1593">
        <v>9.5</v>
      </c>
      <c r="E1593">
        <v>5.8</v>
      </c>
      <c r="G1593">
        <v>15</v>
      </c>
      <c r="H1593" s="23">
        <f t="shared" si="60"/>
        <v>5</v>
      </c>
    </row>
    <row r="1594" spans="1:8" x14ac:dyDescent="0.25">
      <c r="A1594" s="22">
        <v>41897.25</v>
      </c>
      <c r="B1594">
        <v>401.6</v>
      </c>
      <c r="C1594">
        <v>94.2</v>
      </c>
      <c r="D1594">
        <v>9.4</v>
      </c>
      <c r="E1594">
        <v>5.8</v>
      </c>
      <c r="G1594">
        <v>15</v>
      </c>
      <c r="H1594" s="23">
        <f t="shared" si="60"/>
        <v>6</v>
      </c>
    </row>
    <row r="1595" spans="1:8" x14ac:dyDescent="0.25">
      <c r="A1595" s="22">
        <v>41897.253472222219</v>
      </c>
      <c r="B1595">
        <v>138.1</v>
      </c>
      <c r="C1595">
        <v>94.4</v>
      </c>
      <c r="D1595">
        <v>9.5</v>
      </c>
      <c r="E1595">
        <v>8.1999999999999993</v>
      </c>
      <c r="G1595">
        <v>15</v>
      </c>
      <c r="H1595" s="23">
        <f t="shared" si="60"/>
        <v>6</v>
      </c>
    </row>
    <row r="1596" spans="1:8" x14ac:dyDescent="0.25">
      <c r="A1596" s="22">
        <v>41897.256944444445</v>
      </c>
      <c r="B1596">
        <v>185.6</v>
      </c>
      <c r="C1596">
        <v>94.4</v>
      </c>
      <c r="D1596">
        <v>9.4</v>
      </c>
      <c r="E1596">
        <v>7.7</v>
      </c>
      <c r="G1596">
        <v>15</v>
      </c>
      <c r="H1596" s="23">
        <f t="shared" si="60"/>
        <v>6</v>
      </c>
    </row>
    <row r="1597" spans="1:8" x14ac:dyDescent="0.25">
      <c r="A1597" s="22">
        <v>41897.260416666664</v>
      </c>
      <c r="B1597">
        <v>303.3</v>
      </c>
      <c r="C1597">
        <v>94.2</v>
      </c>
      <c r="D1597">
        <v>9.4</v>
      </c>
      <c r="E1597">
        <v>6.7</v>
      </c>
      <c r="G1597">
        <v>15</v>
      </c>
      <c r="H1597" s="23">
        <f t="shared" si="60"/>
        <v>6</v>
      </c>
    </row>
    <row r="1598" spans="1:8" x14ac:dyDescent="0.25">
      <c r="A1598" s="22">
        <v>41897.263888888891</v>
      </c>
      <c r="B1598">
        <v>368.6</v>
      </c>
      <c r="C1598">
        <v>94.2</v>
      </c>
      <c r="D1598">
        <v>9.6</v>
      </c>
      <c r="E1598">
        <v>6.2</v>
      </c>
      <c r="G1598">
        <v>15</v>
      </c>
      <c r="H1598" s="23">
        <f t="shared" si="60"/>
        <v>6</v>
      </c>
    </row>
    <row r="1599" spans="1:8" x14ac:dyDescent="0.25">
      <c r="A1599" s="22">
        <v>41897.267361111109</v>
      </c>
      <c r="B1599">
        <v>422.6</v>
      </c>
      <c r="C1599">
        <v>94.1</v>
      </c>
      <c r="D1599">
        <v>9.6999999999999993</v>
      </c>
      <c r="E1599">
        <v>5.9</v>
      </c>
      <c r="G1599">
        <v>15</v>
      </c>
      <c r="H1599" s="23">
        <f t="shared" si="60"/>
        <v>6</v>
      </c>
    </row>
    <row r="1600" spans="1:8" x14ac:dyDescent="0.25">
      <c r="A1600" s="22">
        <v>41897.270833333336</v>
      </c>
      <c r="B1600">
        <v>157</v>
      </c>
      <c r="C1600">
        <v>94.4</v>
      </c>
      <c r="D1600">
        <v>9.8000000000000007</v>
      </c>
      <c r="E1600">
        <v>8.6</v>
      </c>
      <c r="G1600">
        <v>15</v>
      </c>
      <c r="H1600" s="23">
        <f t="shared" si="60"/>
        <v>6</v>
      </c>
    </row>
    <row r="1601" spans="1:8" x14ac:dyDescent="0.25">
      <c r="A1601" s="22">
        <v>41897.274305555555</v>
      </c>
      <c r="B1601">
        <v>186.6</v>
      </c>
      <c r="C1601">
        <v>94.4</v>
      </c>
      <c r="D1601">
        <v>9.8000000000000007</v>
      </c>
      <c r="E1601">
        <v>8.1</v>
      </c>
      <c r="G1601">
        <v>15</v>
      </c>
      <c r="H1601" s="23">
        <f t="shared" si="60"/>
        <v>6</v>
      </c>
    </row>
    <row r="1602" spans="1:8" x14ac:dyDescent="0.25">
      <c r="A1602" s="22">
        <v>41897.277777777781</v>
      </c>
      <c r="B1602">
        <v>312.10000000000002</v>
      </c>
      <c r="C1602">
        <v>94.3</v>
      </c>
      <c r="D1602">
        <v>9.6999999999999993</v>
      </c>
      <c r="E1602">
        <v>6.9</v>
      </c>
      <c r="G1602">
        <v>15</v>
      </c>
      <c r="H1602" s="23">
        <f t="shared" si="60"/>
        <v>6</v>
      </c>
    </row>
    <row r="1603" spans="1:8" x14ac:dyDescent="0.25">
      <c r="A1603" s="22">
        <v>41897.28125</v>
      </c>
      <c r="B1603">
        <v>404.8</v>
      </c>
      <c r="C1603">
        <v>94.1</v>
      </c>
      <c r="D1603">
        <v>9.8000000000000007</v>
      </c>
      <c r="E1603">
        <v>6.1</v>
      </c>
      <c r="G1603">
        <v>15</v>
      </c>
      <c r="H1603" s="23">
        <f t="shared" si="60"/>
        <v>6</v>
      </c>
    </row>
    <row r="1604" spans="1:8" x14ac:dyDescent="0.25">
      <c r="A1604" s="22">
        <v>41897.284722222219</v>
      </c>
      <c r="B1604">
        <v>447.8</v>
      </c>
      <c r="C1604">
        <v>94.1</v>
      </c>
      <c r="D1604">
        <v>10</v>
      </c>
      <c r="E1604">
        <v>5.9</v>
      </c>
      <c r="G1604">
        <v>15</v>
      </c>
      <c r="H1604" s="23">
        <f t="shared" si="60"/>
        <v>6</v>
      </c>
    </row>
    <row r="1605" spans="1:8" x14ac:dyDescent="0.25">
      <c r="A1605" s="22">
        <v>41897.288194444445</v>
      </c>
      <c r="B1605">
        <v>454.6</v>
      </c>
      <c r="C1605">
        <v>94.1</v>
      </c>
      <c r="D1605">
        <v>10</v>
      </c>
      <c r="E1605">
        <v>5.8</v>
      </c>
      <c r="G1605">
        <v>15</v>
      </c>
      <c r="H1605" s="23">
        <f t="shared" si="60"/>
        <v>6</v>
      </c>
    </row>
    <row r="1606" spans="1:8" x14ac:dyDescent="0.25">
      <c r="A1606" s="22">
        <v>41897.291666666664</v>
      </c>
      <c r="B1606">
        <v>449.5</v>
      </c>
      <c r="C1606">
        <v>94.1</v>
      </c>
      <c r="D1606">
        <v>9.9</v>
      </c>
      <c r="E1606">
        <v>5.8</v>
      </c>
      <c r="G1606">
        <v>15</v>
      </c>
      <c r="H1606" s="23">
        <f t="shared" ref="H1606:H1669" si="61">+HOUR(A1606)</f>
        <v>7</v>
      </c>
    </row>
    <row r="1607" spans="1:8" x14ac:dyDescent="0.25">
      <c r="A1607" s="22">
        <v>41897.295138888891</v>
      </c>
      <c r="B1607">
        <v>449.9</v>
      </c>
      <c r="C1607">
        <v>94.1</v>
      </c>
      <c r="D1607">
        <v>9.9</v>
      </c>
      <c r="E1607">
        <v>5.8</v>
      </c>
      <c r="G1607">
        <v>15</v>
      </c>
      <c r="H1607" s="23">
        <f t="shared" si="61"/>
        <v>7</v>
      </c>
    </row>
    <row r="1608" spans="1:8" x14ac:dyDescent="0.25">
      <c r="A1608" s="22">
        <v>41897.298611111109</v>
      </c>
      <c r="B1608">
        <v>475.7</v>
      </c>
      <c r="C1608">
        <v>94.2</v>
      </c>
      <c r="D1608">
        <v>10.8</v>
      </c>
      <c r="E1608">
        <v>6.5</v>
      </c>
      <c r="G1608">
        <v>15</v>
      </c>
      <c r="H1608" s="23">
        <f t="shared" si="61"/>
        <v>7</v>
      </c>
    </row>
    <row r="1609" spans="1:8" x14ac:dyDescent="0.25">
      <c r="A1609" s="22">
        <v>41897.302083333336</v>
      </c>
      <c r="B1609">
        <v>459</v>
      </c>
      <c r="C1609">
        <v>94.1</v>
      </c>
      <c r="D1609">
        <v>10</v>
      </c>
      <c r="E1609">
        <v>5.8</v>
      </c>
      <c r="G1609">
        <v>15</v>
      </c>
      <c r="H1609" s="23">
        <f t="shared" si="61"/>
        <v>7</v>
      </c>
    </row>
    <row r="1610" spans="1:8" x14ac:dyDescent="0.25">
      <c r="A1610" s="22">
        <v>41897.305555555555</v>
      </c>
      <c r="B1610">
        <v>459.9</v>
      </c>
      <c r="C1610">
        <v>94.1</v>
      </c>
      <c r="D1610">
        <v>10.1</v>
      </c>
      <c r="E1610">
        <v>5.9</v>
      </c>
      <c r="G1610">
        <v>15</v>
      </c>
      <c r="H1610" s="23">
        <f t="shared" si="61"/>
        <v>7</v>
      </c>
    </row>
    <row r="1611" spans="1:8" x14ac:dyDescent="0.25">
      <c r="A1611" s="22">
        <v>41897.309027777781</v>
      </c>
      <c r="B1611">
        <v>461.2</v>
      </c>
      <c r="C1611">
        <v>94.1</v>
      </c>
      <c r="D1611">
        <v>10.1</v>
      </c>
      <c r="E1611">
        <v>5.9</v>
      </c>
      <c r="G1611">
        <v>15</v>
      </c>
      <c r="H1611" s="23">
        <f t="shared" si="61"/>
        <v>7</v>
      </c>
    </row>
    <row r="1612" spans="1:8" x14ac:dyDescent="0.25">
      <c r="A1612" s="22">
        <v>41897.3125</v>
      </c>
      <c r="B1612">
        <v>458.6</v>
      </c>
      <c r="C1612">
        <v>94.2</v>
      </c>
      <c r="D1612">
        <v>10.1</v>
      </c>
      <c r="E1612">
        <v>5.9</v>
      </c>
      <c r="G1612">
        <v>15</v>
      </c>
      <c r="H1612" s="23">
        <f t="shared" si="61"/>
        <v>7</v>
      </c>
    </row>
    <row r="1613" spans="1:8" x14ac:dyDescent="0.25">
      <c r="A1613" s="22">
        <v>41897.315972222219</v>
      </c>
      <c r="B1613">
        <v>458.9</v>
      </c>
      <c r="C1613">
        <v>94.1</v>
      </c>
      <c r="D1613">
        <v>10.1</v>
      </c>
      <c r="E1613">
        <v>6</v>
      </c>
      <c r="G1613">
        <v>15</v>
      </c>
      <c r="H1613" s="23">
        <f t="shared" si="61"/>
        <v>7</v>
      </c>
    </row>
    <row r="1614" spans="1:8" x14ac:dyDescent="0.25">
      <c r="A1614" s="22">
        <v>41897.319444444445</v>
      </c>
      <c r="B1614">
        <v>454.8</v>
      </c>
      <c r="C1614">
        <v>94.1</v>
      </c>
      <c r="D1614">
        <v>10.1</v>
      </c>
      <c r="E1614">
        <v>5.9</v>
      </c>
      <c r="G1614">
        <v>15</v>
      </c>
      <c r="H1614" s="23">
        <f t="shared" si="61"/>
        <v>7</v>
      </c>
    </row>
    <row r="1615" spans="1:8" x14ac:dyDescent="0.25">
      <c r="A1615" s="22">
        <v>41897.322916666664</v>
      </c>
      <c r="B1615">
        <v>456.1</v>
      </c>
      <c r="C1615">
        <v>94.1</v>
      </c>
      <c r="D1615">
        <v>10.1</v>
      </c>
      <c r="E1615">
        <v>5.9</v>
      </c>
      <c r="G1615">
        <v>15</v>
      </c>
      <c r="H1615" s="23">
        <f t="shared" si="61"/>
        <v>7</v>
      </c>
    </row>
    <row r="1616" spans="1:8" x14ac:dyDescent="0.25">
      <c r="A1616" s="22">
        <v>41897.326388888891</v>
      </c>
      <c r="B1616">
        <v>455.4</v>
      </c>
      <c r="C1616">
        <v>94.2</v>
      </c>
      <c r="D1616">
        <v>10</v>
      </c>
      <c r="E1616">
        <v>5.9</v>
      </c>
      <c r="G1616">
        <v>15</v>
      </c>
      <c r="H1616" s="23">
        <f t="shared" si="61"/>
        <v>7</v>
      </c>
    </row>
    <row r="1617" spans="1:8" x14ac:dyDescent="0.25">
      <c r="A1617" s="22">
        <v>41897.329861111109</v>
      </c>
      <c r="B1617">
        <v>453.9</v>
      </c>
      <c r="C1617">
        <v>94.1</v>
      </c>
      <c r="D1617">
        <v>10</v>
      </c>
      <c r="E1617">
        <v>5.9</v>
      </c>
      <c r="G1617">
        <v>15</v>
      </c>
      <c r="H1617" s="23">
        <f t="shared" si="61"/>
        <v>7</v>
      </c>
    </row>
    <row r="1618" spans="1:8" x14ac:dyDescent="0.25">
      <c r="A1618" s="22">
        <v>41897.333333333336</v>
      </c>
      <c r="B1618">
        <v>455.9</v>
      </c>
      <c r="C1618">
        <v>94.2</v>
      </c>
      <c r="D1618">
        <v>10</v>
      </c>
      <c r="E1618">
        <v>5.9</v>
      </c>
      <c r="G1618">
        <v>15</v>
      </c>
      <c r="H1618" s="23">
        <f t="shared" si="61"/>
        <v>8</v>
      </c>
    </row>
    <row r="1619" spans="1:8" x14ac:dyDescent="0.25">
      <c r="A1619" s="22">
        <v>41897.336805555555</v>
      </c>
      <c r="B1619">
        <v>456.4</v>
      </c>
      <c r="C1619">
        <v>94.2</v>
      </c>
      <c r="D1619">
        <v>10.1</v>
      </c>
      <c r="E1619">
        <v>5.9</v>
      </c>
      <c r="G1619">
        <v>15</v>
      </c>
      <c r="H1619" s="23">
        <f t="shared" si="61"/>
        <v>8</v>
      </c>
    </row>
    <row r="1620" spans="1:8" x14ac:dyDescent="0.25">
      <c r="A1620" s="22">
        <v>41897.340277777781</v>
      </c>
      <c r="B1620">
        <v>455.8</v>
      </c>
      <c r="C1620">
        <v>94.2</v>
      </c>
      <c r="D1620">
        <v>10.1</v>
      </c>
      <c r="E1620">
        <v>5.9</v>
      </c>
      <c r="G1620">
        <v>15</v>
      </c>
      <c r="H1620" s="23">
        <f t="shared" si="61"/>
        <v>8</v>
      </c>
    </row>
    <row r="1621" spans="1:8" x14ac:dyDescent="0.25">
      <c r="A1621" s="22">
        <v>41897.34375</v>
      </c>
      <c r="B1621">
        <v>458.6</v>
      </c>
      <c r="C1621">
        <v>94.2</v>
      </c>
      <c r="D1621">
        <v>10.1</v>
      </c>
      <c r="E1621">
        <v>5.9</v>
      </c>
      <c r="G1621">
        <v>15</v>
      </c>
      <c r="H1621" s="23">
        <f t="shared" si="61"/>
        <v>8</v>
      </c>
    </row>
    <row r="1622" spans="1:8" x14ac:dyDescent="0.25">
      <c r="A1622" s="22">
        <v>41897.347222222219</v>
      </c>
      <c r="B1622">
        <v>197.8</v>
      </c>
      <c r="C1622">
        <v>94.4</v>
      </c>
      <c r="D1622">
        <v>10.1</v>
      </c>
      <c r="E1622">
        <v>8.5</v>
      </c>
      <c r="G1622">
        <v>15</v>
      </c>
      <c r="H1622" s="23">
        <f t="shared" si="61"/>
        <v>8</v>
      </c>
    </row>
    <row r="1623" spans="1:8" x14ac:dyDescent="0.25">
      <c r="A1623" s="22">
        <v>41897.350694444445</v>
      </c>
      <c r="B1623">
        <v>191.5</v>
      </c>
      <c r="C1623">
        <v>93.9</v>
      </c>
      <c r="D1623">
        <v>10.1</v>
      </c>
      <c r="E1623">
        <v>8.3000000000000007</v>
      </c>
      <c r="G1623">
        <v>15</v>
      </c>
      <c r="H1623" s="23">
        <f t="shared" si="61"/>
        <v>8</v>
      </c>
    </row>
    <row r="1624" spans="1:8" x14ac:dyDescent="0.25">
      <c r="A1624" s="22">
        <v>41897.354166666664</v>
      </c>
      <c r="B1624">
        <v>361.8</v>
      </c>
      <c r="C1624">
        <v>94.3</v>
      </c>
      <c r="D1624">
        <v>10.1</v>
      </c>
      <c r="E1624">
        <v>6.8</v>
      </c>
      <c r="G1624">
        <v>15</v>
      </c>
      <c r="H1624" s="23">
        <f t="shared" si="61"/>
        <v>8</v>
      </c>
    </row>
    <row r="1625" spans="1:8" x14ac:dyDescent="0.25">
      <c r="A1625" s="22">
        <v>41897.357638888891</v>
      </c>
      <c r="B1625">
        <v>453.1</v>
      </c>
      <c r="C1625">
        <v>94.2</v>
      </c>
      <c r="D1625">
        <v>10.3</v>
      </c>
      <c r="E1625">
        <v>6.2</v>
      </c>
      <c r="G1625">
        <v>15</v>
      </c>
      <c r="H1625" s="23">
        <f t="shared" si="61"/>
        <v>8</v>
      </c>
    </row>
    <row r="1626" spans="1:8" x14ac:dyDescent="0.25">
      <c r="A1626" s="22">
        <v>41897.361111111109</v>
      </c>
      <c r="B1626">
        <v>463.8</v>
      </c>
      <c r="C1626">
        <v>94.3</v>
      </c>
      <c r="D1626">
        <v>10.5</v>
      </c>
      <c r="E1626">
        <v>6.3</v>
      </c>
      <c r="G1626">
        <v>15</v>
      </c>
      <c r="H1626" s="23">
        <f t="shared" si="61"/>
        <v>8</v>
      </c>
    </row>
    <row r="1627" spans="1:8" x14ac:dyDescent="0.25">
      <c r="A1627" s="22">
        <v>41897.364583333336</v>
      </c>
      <c r="B1627">
        <v>462.8</v>
      </c>
      <c r="C1627">
        <v>94.2</v>
      </c>
      <c r="D1627">
        <v>10.7</v>
      </c>
      <c r="E1627">
        <v>6.5</v>
      </c>
      <c r="G1627">
        <v>15</v>
      </c>
      <c r="H1627" s="23">
        <f t="shared" si="61"/>
        <v>8</v>
      </c>
    </row>
    <row r="1628" spans="1:8" x14ac:dyDescent="0.25">
      <c r="A1628" s="22">
        <v>41897.368055555555</v>
      </c>
      <c r="B1628">
        <v>460.6</v>
      </c>
      <c r="C1628">
        <v>94.3</v>
      </c>
      <c r="D1628">
        <v>10.8</v>
      </c>
      <c r="E1628">
        <v>6.7</v>
      </c>
      <c r="G1628">
        <v>15</v>
      </c>
      <c r="H1628" s="23">
        <f t="shared" si="61"/>
        <v>8</v>
      </c>
    </row>
    <row r="1629" spans="1:8" x14ac:dyDescent="0.25">
      <c r="A1629" s="22">
        <v>41897.371527777781</v>
      </c>
      <c r="B1629">
        <v>458.2</v>
      </c>
      <c r="C1629">
        <v>94.3</v>
      </c>
      <c r="D1629">
        <v>10.8</v>
      </c>
      <c r="E1629">
        <v>6.6</v>
      </c>
      <c r="G1629">
        <v>15</v>
      </c>
      <c r="H1629" s="23">
        <f t="shared" si="61"/>
        <v>8</v>
      </c>
    </row>
    <row r="1630" spans="1:8" x14ac:dyDescent="0.25">
      <c r="A1630" s="22">
        <v>41897.375</v>
      </c>
      <c r="B1630">
        <v>458.2</v>
      </c>
      <c r="C1630">
        <v>94.3</v>
      </c>
      <c r="D1630">
        <v>10.7</v>
      </c>
      <c r="E1630">
        <v>6.5</v>
      </c>
      <c r="G1630">
        <v>15</v>
      </c>
      <c r="H1630" s="23">
        <f t="shared" si="61"/>
        <v>9</v>
      </c>
    </row>
    <row r="1631" spans="1:8" x14ac:dyDescent="0.25">
      <c r="A1631" s="22">
        <v>41897.378472222219</v>
      </c>
      <c r="B1631">
        <v>461.3</v>
      </c>
      <c r="C1631">
        <v>94.2</v>
      </c>
      <c r="D1631">
        <v>10.7</v>
      </c>
      <c r="E1631">
        <v>6.5</v>
      </c>
      <c r="G1631">
        <v>15</v>
      </c>
      <c r="H1631" s="23">
        <f t="shared" si="61"/>
        <v>9</v>
      </c>
    </row>
    <row r="1632" spans="1:8" x14ac:dyDescent="0.25">
      <c r="A1632" s="22">
        <v>41897.381944444445</v>
      </c>
      <c r="B1632">
        <v>462.3</v>
      </c>
      <c r="C1632">
        <v>94.3</v>
      </c>
      <c r="D1632">
        <v>10.8</v>
      </c>
      <c r="E1632">
        <v>6.6</v>
      </c>
      <c r="G1632">
        <v>15</v>
      </c>
      <c r="H1632" s="23">
        <f t="shared" si="61"/>
        <v>9</v>
      </c>
    </row>
    <row r="1633" spans="1:8" x14ac:dyDescent="0.25">
      <c r="A1633" s="22">
        <v>41897.385416666664</v>
      </c>
      <c r="B1633">
        <v>464.4</v>
      </c>
      <c r="C1633">
        <v>94.3</v>
      </c>
      <c r="D1633">
        <v>10.8</v>
      </c>
      <c r="E1633">
        <v>6.6</v>
      </c>
      <c r="G1633">
        <v>15</v>
      </c>
      <c r="H1633" s="23">
        <f t="shared" si="61"/>
        <v>9</v>
      </c>
    </row>
    <row r="1634" spans="1:8" x14ac:dyDescent="0.25">
      <c r="A1634" s="22">
        <v>41897.388888888891</v>
      </c>
      <c r="B1634">
        <v>462.4</v>
      </c>
      <c r="C1634">
        <v>94.3</v>
      </c>
      <c r="D1634">
        <v>10.8</v>
      </c>
      <c r="E1634">
        <v>6.6</v>
      </c>
      <c r="G1634">
        <v>15</v>
      </c>
      <c r="H1634" s="23">
        <f t="shared" si="61"/>
        <v>9</v>
      </c>
    </row>
    <row r="1635" spans="1:8" x14ac:dyDescent="0.25">
      <c r="A1635" s="22">
        <v>41897.392361111109</v>
      </c>
      <c r="B1635">
        <v>464.4</v>
      </c>
      <c r="C1635">
        <v>94.2</v>
      </c>
      <c r="D1635">
        <v>10.8</v>
      </c>
      <c r="E1635">
        <v>6.6</v>
      </c>
      <c r="G1635">
        <v>15</v>
      </c>
      <c r="H1635" s="23">
        <f t="shared" si="61"/>
        <v>9</v>
      </c>
    </row>
    <row r="1636" spans="1:8" x14ac:dyDescent="0.25">
      <c r="A1636" s="22">
        <v>41897.395833333336</v>
      </c>
      <c r="B1636">
        <v>468</v>
      </c>
      <c r="C1636">
        <v>94.3</v>
      </c>
      <c r="D1636">
        <v>10.8</v>
      </c>
      <c r="E1636">
        <v>6.5</v>
      </c>
      <c r="G1636">
        <v>15</v>
      </c>
      <c r="H1636" s="23">
        <f t="shared" si="61"/>
        <v>9</v>
      </c>
    </row>
    <row r="1637" spans="1:8" x14ac:dyDescent="0.25">
      <c r="A1637" s="22">
        <v>41897.399305555555</v>
      </c>
      <c r="B1637">
        <v>469.6</v>
      </c>
      <c r="C1637">
        <v>94.3</v>
      </c>
      <c r="D1637">
        <v>10.8</v>
      </c>
      <c r="E1637">
        <v>6.5</v>
      </c>
      <c r="G1637">
        <v>15</v>
      </c>
      <c r="H1637" s="23">
        <f t="shared" si="61"/>
        <v>9</v>
      </c>
    </row>
    <row r="1638" spans="1:8" x14ac:dyDescent="0.25">
      <c r="A1638" s="22">
        <v>41897.402777777781</v>
      </c>
      <c r="B1638">
        <v>469.8</v>
      </c>
      <c r="C1638">
        <v>94.3</v>
      </c>
      <c r="D1638">
        <v>10.8</v>
      </c>
      <c r="E1638">
        <v>6.5</v>
      </c>
      <c r="G1638">
        <v>15</v>
      </c>
      <c r="H1638" s="23">
        <f t="shared" si="61"/>
        <v>9</v>
      </c>
    </row>
    <row r="1639" spans="1:8" x14ac:dyDescent="0.25">
      <c r="A1639" s="22">
        <v>41897.40625</v>
      </c>
      <c r="B1639">
        <v>469.9</v>
      </c>
      <c r="C1639">
        <v>94.3</v>
      </c>
      <c r="D1639">
        <v>10.8</v>
      </c>
      <c r="E1639">
        <v>6.5</v>
      </c>
      <c r="G1639">
        <v>15</v>
      </c>
      <c r="H1639" s="23">
        <f t="shared" si="61"/>
        <v>9</v>
      </c>
    </row>
    <row r="1640" spans="1:8" x14ac:dyDescent="0.25">
      <c r="A1640" s="22">
        <v>41897.409722222219</v>
      </c>
      <c r="B1640">
        <v>469</v>
      </c>
      <c r="C1640">
        <v>94.2</v>
      </c>
      <c r="D1640">
        <v>10.8</v>
      </c>
      <c r="E1640">
        <v>6.5</v>
      </c>
      <c r="G1640">
        <v>15</v>
      </c>
      <c r="H1640" s="23">
        <f t="shared" si="61"/>
        <v>9</v>
      </c>
    </row>
    <row r="1641" spans="1:8" x14ac:dyDescent="0.25">
      <c r="A1641" s="22">
        <v>41897.413194444445</v>
      </c>
      <c r="B1641">
        <v>469.8</v>
      </c>
      <c r="C1641">
        <v>94.3</v>
      </c>
      <c r="D1641">
        <v>10.8</v>
      </c>
      <c r="E1641">
        <v>6.5</v>
      </c>
      <c r="G1641">
        <v>15</v>
      </c>
      <c r="H1641" s="23">
        <f t="shared" si="61"/>
        <v>9</v>
      </c>
    </row>
    <row r="1642" spans="1:8" x14ac:dyDescent="0.25">
      <c r="A1642" s="22">
        <v>41897.416666666664</v>
      </c>
      <c r="B1642">
        <v>471.4</v>
      </c>
      <c r="C1642">
        <v>94.3</v>
      </c>
      <c r="D1642">
        <v>10.8</v>
      </c>
      <c r="E1642">
        <v>6.5</v>
      </c>
      <c r="G1642">
        <v>15</v>
      </c>
      <c r="H1642" s="23">
        <f t="shared" si="61"/>
        <v>10</v>
      </c>
    </row>
    <row r="1643" spans="1:8" x14ac:dyDescent="0.25">
      <c r="A1643" s="22">
        <v>41897.420138888891</v>
      </c>
      <c r="B1643">
        <v>474.3</v>
      </c>
      <c r="C1643">
        <v>94.2</v>
      </c>
      <c r="D1643">
        <v>10.8</v>
      </c>
      <c r="E1643">
        <v>6.4</v>
      </c>
      <c r="G1643">
        <v>15</v>
      </c>
      <c r="H1643" s="23">
        <f t="shared" si="61"/>
        <v>10</v>
      </c>
    </row>
    <row r="1644" spans="1:8" x14ac:dyDescent="0.25">
      <c r="A1644" s="22">
        <v>41897.423611111109</v>
      </c>
      <c r="B1644">
        <v>476.6</v>
      </c>
      <c r="C1644">
        <v>94.2</v>
      </c>
      <c r="D1644">
        <v>10.8</v>
      </c>
      <c r="E1644">
        <v>6.4</v>
      </c>
      <c r="G1644">
        <v>15</v>
      </c>
      <c r="H1644" s="23">
        <f t="shared" si="61"/>
        <v>10</v>
      </c>
    </row>
    <row r="1645" spans="1:8" x14ac:dyDescent="0.25">
      <c r="A1645" s="22">
        <v>41897.427083333336</v>
      </c>
      <c r="B1645">
        <v>481.6</v>
      </c>
      <c r="C1645">
        <v>94.3</v>
      </c>
      <c r="D1645">
        <v>10.8</v>
      </c>
      <c r="E1645">
        <v>6.4</v>
      </c>
      <c r="G1645">
        <v>15</v>
      </c>
      <c r="H1645" s="23">
        <f t="shared" si="61"/>
        <v>10</v>
      </c>
    </row>
    <row r="1646" spans="1:8" x14ac:dyDescent="0.25">
      <c r="A1646" s="22">
        <v>41897.430555555555</v>
      </c>
      <c r="B1646">
        <v>479.3</v>
      </c>
      <c r="C1646">
        <v>94.3</v>
      </c>
      <c r="D1646">
        <v>10.8</v>
      </c>
      <c r="E1646">
        <v>6.4</v>
      </c>
      <c r="G1646">
        <v>15</v>
      </c>
      <c r="H1646" s="23">
        <f t="shared" si="61"/>
        <v>10</v>
      </c>
    </row>
    <row r="1647" spans="1:8" x14ac:dyDescent="0.25">
      <c r="A1647" s="22">
        <v>41897.434027777781</v>
      </c>
      <c r="B1647">
        <v>478.7</v>
      </c>
      <c r="C1647">
        <v>94.3</v>
      </c>
      <c r="D1647">
        <v>10.7</v>
      </c>
      <c r="E1647">
        <v>6.4</v>
      </c>
      <c r="G1647">
        <v>15</v>
      </c>
      <c r="H1647" s="23">
        <f t="shared" si="61"/>
        <v>10</v>
      </c>
    </row>
    <row r="1648" spans="1:8" x14ac:dyDescent="0.25">
      <c r="A1648" s="22">
        <v>41897.4375</v>
      </c>
      <c r="B1648">
        <v>472.3</v>
      </c>
      <c r="C1648">
        <v>94.3</v>
      </c>
      <c r="D1648">
        <v>10.6</v>
      </c>
      <c r="E1648">
        <v>6.3</v>
      </c>
      <c r="G1648">
        <v>15</v>
      </c>
      <c r="H1648" s="23">
        <f t="shared" si="61"/>
        <v>10</v>
      </c>
    </row>
    <row r="1649" spans="1:8" x14ac:dyDescent="0.25">
      <c r="A1649" s="22">
        <v>41897.440972222219</v>
      </c>
      <c r="B1649">
        <v>469.5</v>
      </c>
      <c r="C1649">
        <v>94.2</v>
      </c>
      <c r="D1649">
        <v>10.4</v>
      </c>
      <c r="E1649">
        <v>6.1</v>
      </c>
      <c r="G1649">
        <v>15</v>
      </c>
      <c r="H1649" s="23">
        <f t="shared" si="61"/>
        <v>10</v>
      </c>
    </row>
    <row r="1650" spans="1:8" x14ac:dyDescent="0.25">
      <c r="A1650" s="22">
        <v>41897.444444444445</v>
      </c>
      <c r="B1650">
        <v>466.9</v>
      </c>
      <c r="C1650">
        <v>94.3</v>
      </c>
      <c r="D1650">
        <v>10.3</v>
      </c>
      <c r="E1650">
        <v>6.1</v>
      </c>
      <c r="G1650">
        <v>15</v>
      </c>
      <c r="H1650" s="23">
        <f t="shared" si="61"/>
        <v>10</v>
      </c>
    </row>
    <row r="1651" spans="1:8" x14ac:dyDescent="0.25">
      <c r="A1651" s="22">
        <v>41897.447916666664</v>
      </c>
      <c r="B1651">
        <v>464.7</v>
      </c>
      <c r="C1651">
        <v>94.2</v>
      </c>
      <c r="D1651">
        <v>10.3</v>
      </c>
      <c r="E1651">
        <v>6.1</v>
      </c>
      <c r="G1651">
        <v>15</v>
      </c>
      <c r="H1651" s="23">
        <f t="shared" si="61"/>
        <v>10</v>
      </c>
    </row>
    <row r="1652" spans="1:8" x14ac:dyDescent="0.25">
      <c r="A1652" s="22">
        <v>41897.451388888891</v>
      </c>
      <c r="B1652">
        <v>464.3</v>
      </c>
      <c r="C1652">
        <v>94.2</v>
      </c>
      <c r="D1652">
        <v>10.3</v>
      </c>
      <c r="E1652">
        <v>6</v>
      </c>
      <c r="G1652">
        <v>15</v>
      </c>
      <c r="H1652" s="23">
        <f t="shared" si="61"/>
        <v>10</v>
      </c>
    </row>
    <row r="1653" spans="1:8" x14ac:dyDescent="0.25">
      <c r="A1653" s="22">
        <v>41897.454861111109</v>
      </c>
      <c r="B1653">
        <v>467</v>
      </c>
      <c r="C1653">
        <v>94.2</v>
      </c>
      <c r="D1653">
        <v>10.199999999999999</v>
      </c>
      <c r="E1653">
        <v>6</v>
      </c>
      <c r="G1653">
        <v>15</v>
      </c>
      <c r="H1653" s="23">
        <f t="shared" si="61"/>
        <v>10</v>
      </c>
    </row>
    <row r="1654" spans="1:8" x14ac:dyDescent="0.25">
      <c r="A1654" s="22">
        <v>41897.458333333336</v>
      </c>
      <c r="B1654">
        <v>469</v>
      </c>
      <c r="C1654">
        <v>94.2</v>
      </c>
      <c r="D1654">
        <v>10.199999999999999</v>
      </c>
      <c r="E1654">
        <v>5.9</v>
      </c>
      <c r="G1654">
        <v>15</v>
      </c>
      <c r="H1654" s="23">
        <f t="shared" si="61"/>
        <v>11</v>
      </c>
    </row>
    <row r="1655" spans="1:8" x14ac:dyDescent="0.25">
      <c r="A1655" s="22">
        <v>41897.461805555555</v>
      </c>
      <c r="B1655">
        <v>469.5</v>
      </c>
      <c r="C1655">
        <v>94.3</v>
      </c>
      <c r="D1655">
        <v>10.1</v>
      </c>
      <c r="E1655">
        <v>5.9</v>
      </c>
      <c r="G1655">
        <v>15</v>
      </c>
      <c r="H1655" s="23">
        <f t="shared" si="61"/>
        <v>11</v>
      </c>
    </row>
    <row r="1656" spans="1:8" x14ac:dyDescent="0.25">
      <c r="A1656" s="22">
        <v>41897.465277777781</v>
      </c>
      <c r="B1656">
        <v>470.8</v>
      </c>
      <c r="C1656">
        <v>94.2</v>
      </c>
      <c r="D1656">
        <v>10.1</v>
      </c>
      <c r="E1656">
        <v>5.8</v>
      </c>
      <c r="G1656">
        <v>15</v>
      </c>
      <c r="H1656" s="23">
        <f t="shared" si="61"/>
        <v>11</v>
      </c>
    </row>
    <row r="1657" spans="1:8" x14ac:dyDescent="0.25">
      <c r="A1657" s="22">
        <v>41897.46875</v>
      </c>
      <c r="B1657">
        <v>466.5</v>
      </c>
      <c r="C1657">
        <v>94.1</v>
      </c>
      <c r="D1657">
        <v>10</v>
      </c>
      <c r="E1657">
        <v>5.8</v>
      </c>
      <c r="G1657">
        <v>15</v>
      </c>
      <c r="H1657" s="23">
        <f t="shared" si="61"/>
        <v>11</v>
      </c>
    </row>
    <row r="1658" spans="1:8" x14ac:dyDescent="0.25">
      <c r="A1658" s="22">
        <v>41897.472222222219</v>
      </c>
      <c r="B1658">
        <v>462</v>
      </c>
      <c r="C1658">
        <v>94.2</v>
      </c>
      <c r="D1658">
        <v>10</v>
      </c>
      <c r="E1658">
        <v>5.8</v>
      </c>
      <c r="G1658">
        <v>15</v>
      </c>
      <c r="H1658" s="23">
        <f t="shared" si="61"/>
        <v>11</v>
      </c>
    </row>
    <row r="1659" spans="1:8" x14ac:dyDescent="0.25">
      <c r="A1659" s="22">
        <v>41897.475694444445</v>
      </c>
      <c r="B1659">
        <v>447.4</v>
      </c>
      <c r="C1659">
        <v>94.2</v>
      </c>
      <c r="D1659">
        <v>9.8000000000000007</v>
      </c>
      <c r="E1659">
        <v>5.8</v>
      </c>
      <c r="G1659">
        <v>15</v>
      </c>
      <c r="H1659" s="23">
        <f t="shared" si="61"/>
        <v>11</v>
      </c>
    </row>
    <row r="1660" spans="1:8" x14ac:dyDescent="0.25">
      <c r="A1660" s="22">
        <v>41897.479166666664</v>
      </c>
      <c r="B1660">
        <v>440.5</v>
      </c>
      <c r="C1660">
        <v>94.2</v>
      </c>
      <c r="D1660">
        <v>9.8000000000000007</v>
      </c>
      <c r="E1660">
        <v>5.8</v>
      </c>
      <c r="G1660">
        <v>15</v>
      </c>
      <c r="H1660" s="23">
        <f t="shared" si="61"/>
        <v>11</v>
      </c>
    </row>
    <row r="1661" spans="1:8" x14ac:dyDescent="0.25">
      <c r="A1661" s="22">
        <v>41897.482638888891</v>
      </c>
      <c r="B1661">
        <v>436.6</v>
      </c>
      <c r="C1661">
        <v>94.1</v>
      </c>
      <c r="D1661">
        <v>9.8000000000000007</v>
      </c>
      <c r="E1661">
        <v>5.8</v>
      </c>
      <c r="G1661">
        <v>15</v>
      </c>
      <c r="H1661" s="23">
        <f t="shared" si="61"/>
        <v>11</v>
      </c>
    </row>
    <row r="1662" spans="1:8" x14ac:dyDescent="0.25">
      <c r="A1662" s="22">
        <v>41897.486111111109</v>
      </c>
      <c r="B1662">
        <v>435</v>
      </c>
      <c r="C1662">
        <v>94.1</v>
      </c>
      <c r="D1662">
        <v>9.8000000000000007</v>
      </c>
      <c r="E1662">
        <v>5.8</v>
      </c>
      <c r="G1662">
        <v>15</v>
      </c>
      <c r="H1662" s="23">
        <f t="shared" si="61"/>
        <v>11</v>
      </c>
    </row>
    <row r="1663" spans="1:8" x14ac:dyDescent="0.25">
      <c r="A1663" s="22">
        <v>41897.489583333336</v>
      </c>
      <c r="B1663">
        <v>435.8</v>
      </c>
      <c r="C1663">
        <v>94.2</v>
      </c>
      <c r="D1663">
        <v>9.8000000000000007</v>
      </c>
      <c r="E1663">
        <v>5.8</v>
      </c>
      <c r="G1663">
        <v>15</v>
      </c>
      <c r="H1663" s="23">
        <f t="shared" si="61"/>
        <v>11</v>
      </c>
    </row>
    <row r="1664" spans="1:8" x14ac:dyDescent="0.25">
      <c r="A1664" s="22">
        <v>41897.493055555555</v>
      </c>
      <c r="B1664">
        <v>434.6</v>
      </c>
      <c r="C1664">
        <v>94.2</v>
      </c>
      <c r="D1664">
        <v>9.6999999999999993</v>
      </c>
      <c r="E1664">
        <v>5.8</v>
      </c>
      <c r="G1664">
        <v>15</v>
      </c>
      <c r="H1664" s="23">
        <f t="shared" si="61"/>
        <v>11</v>
      </c>
    </row>
    <row r="1665" spans="1:8" x14ac:dyDescent="0.25">
      <c r="A1665" s="22">
        <v>41897.496527777781</v>
      </c>
      <c r="B1665">
        <v>430.5</v>
      </c>
      <c r="C1665">
        <v>94</v>
      </c>
      <c r="D1665">
        <v>9.6999999999999993</v>
      </c>
      <c r="E1665">
        <v>5.8</v>
      </c>
      <c r="G1665">
        <v>15</v>
      </c>
      <c r="H1665" s="23">
        <f t="shared" si="61"/>
        <v>11</v>
      </c>
    </row>
    <row r="1666" spans="1:8" x14ac:dyDescent="0.25">
      <c r="A1666" s="22">
        <v>41897.5</v>
      </c>
      <c r="B1666">
        <v>431.8</v>
      </c>
      <c r="C1666">
        <v>94.1</v>
      </c>
      <c r="D1666">
        <v>9.6999999999999993</v>
      </c>
      <c r="E1666">
        <v>5.8</v>
      </c>
      <c r="G1666">
        <v>15</v>
      </c>
      <c r="H1666" s="23">
        <f t="shared" si="61"/>
        <v>12</v>
      </c>
    </row>
    <row r="1667" spans="1:8" x14ac:dyDescent="0.25">
      <c r="A1667" s="22">
        <v>41897.503472222219</v>
      </c>
      <c r="B1667">
        <v>434.7</v>
      </c>
      <c r="C1667">
        <v>94.1</v>
      </c>
      <c r="D1667">
        <v>9.8000000000000007</v>
      </c>
      <c r="E1667">
        <v>5.8</v>
      </c>
      <c r="G1667">
        <v>15</v>
      </c>
      <c r="H1667" s="23">
        <f t="shared" si="61"/>
        <v>12</v>
      </c>
    </row>
    <row r="1668" spans="1:8" x14ac:dyDescent="0.25">
      <c r="A1668" s="22">
        <v>41897.506944444445</v>
      </c>
      <c r="B1668">
        <v>436.5</v>
      </c>
      <c r="C1668">
        <v>94</v>
      </c>
      <c r="D1668">
        <v>9.8000000000000007</v>
      </c>
      <c r="E1668">
        <v>5.8</v>
      </c>
      <c r="G1668">
        <v>15</v>
      </c>
      <c r="H1668" s="23">
        <f t="shared" si="61"/>
        <v>12</v>
      </c>
    </row>
    <row r="1669" spans="1:8" x14ac:dyDescent="0.25">
      <c r="A1669" s="22">
        <v>41897.510416666664</v>
      </c>
      <c r="B1669">
        <v>437.7</v>
      </c>
      <c r="C1669">
        <v>94.1</v>
      </c>
      <c r="D1669">
        <v>9.8000000000000007</v>
      </c>
      <c r="E1669">
        <v>5.8</v>
      </c>
      <c r="G1669">
        <v>15</v>
      </c>
      <c r="H1669" s="23">
        <f t="shared" si="61"/>
        <v>12</v>
      </c>
    </row>
    <row r="1670" spans="1:8" x14ac:dyDescent="0.25">
      <c r="A1670" s="22">
        <v>41897.513888888891</v>
      </c>
      <c r="B1670">
        <v>438.4</v>
      </c>
      <c r="C1670">
        <v>94.1</v>
      </c>
      <c r="D1670">
        <v>9.8000000000000007</v>
      </c>
      <c r="E1670">
        <v>5.8</v>
      </c>
      <c r="G1670">
        <v>15</v>
      </c>
      <c r="H1670" s="23">
        <f t="shared" ref="H1670:H1733" si="62">+HOUR(A1670)</f>
        <v>12</v>
      </c>
    </row>
    <row r="1671" spans="1:8" x14ac:dyDescent="0.25">
      <c r="A1671" s="22">
        <v>41897.517361111109</v>
      </c>
      <c r="B1671">
        <v>439.7</v>
      </c>
      <c r="C1671">
        <v>94.2</v>
      </c>
      <c r="D1671">
        <v>9.8000000000000007</v>
      </c>
      <c r="E1671">
        <v>5.8</v>
      </c>
      <c r="G1671">
        <v>15</v>
      </c>
      <c r="H1671" s="23">
        <f t="shared" si="62"/>
        <v>12</v>
      </c>
    </row>
    <row r="1672" spans="1:8" x14ac:dyDescent="0.25">
      <c r="A1672" s="22">
        <v>41897.520833333336</v>
      </c>
      <c r="B1672">
        <v>441.7</v>
      </c>
      <c r="C1672">
        <v>94.1</v>
      </c>
      <c r="D1672">
        <v>9.8000000000000007</v>
      </c>
      <c r="E1672">
        <v>5.8</v>
      </c>
      <c r="G1672">
        <v>15</v>
      </c>
      <c r="H1672" s="23">
        <f t="shared" si="62"/>
        <v>12</v>
      </c>
    </row>
    <row r="1673" spans="1:8" x14ac:dyDescent="0.25">
      <c r="A1673" s="22">
        <v>41897.524305555555</v>
      </c>
      <c r="B1673">
        <v>440.2</v>
      </c>
      <c r="C1673">
        <v>94.1</v>
      </c>
      <c r="D1673">
        <v>9.8000000000000007</v>
      </c>
      <c r="E1673">
        <v>5.8</v>
      </c>
      <c r="G1673">
        <v>15</v>
      </c>
      <c r="H1673" s="23">
        <f t="shared" si="62"/>
        <v>12</v>
      </c>
    </row>
    <row r="1674" spans="1:8" x14ac:dyDescent="0.25">
      <c r="A1674" s="22">
        <v>41897.527777777781</v>
      </c>
      <c r="B1674">
        <v>438.9</v>
      </c>
      <c r="C1674">
        <v>94.1</v>
      </c>
      <c r="D1674">
        <v>9.8000000000000007</v>
      </c>
      <c r="E1674">
        <v>5.8</v>
      </c>
      <c r="G1674">
        <v>15</v>
      </c>
      <c r="H1674" s="23">
        <f t="shared" si="62"/>
        <v>12</v>
      </c>
    </row>
    <row r="1675" spans="1:8" x14ac:dyDescent="0.25">
      <c r="A1675" s="22">
        <v>41897.53125</v>
      </c>
      <c r="B1675">
        <v>434.5</v>
      </c>
      <c r="C1675">
        <v>94.1</v>
      </c>
      <c r="D1675">
        <v>9.6999999999999993</v>
      </c>
      <c r="E1675">
        <v>5.8</v>
      </c>
      <c r="G1675">
        <v>15</v>
      </c>
      <c r="H1675" s="23">
        <f t="shared" si="62"/>
        <v>12</v>
      </c>
    </row>
    <row r="1676" spans="1:8" x14ac:dyDescent="0.25">
      <c r="A1676" s="22">
        <v>41897.534722222219</v>
      </c>
      <c r="B1676">
        <v>439.6</v>
      </c>
      <c r="C1676">
        <v>94.1</v>
      </c>
      <c r="D1676">
        <v>9.8000000000000007</v>
      </c>
      <c r="E1676">
        <v>5.8</v>
      </c>
      <c r="G1676">
        <v>15</v>
      </c>
      <c r="H1676" s="23">
        <f t="shared" si="62"/>
        <v>12</v>
      </c>
    </row>
    <row r="1677" spans="1:8" x14ac:dyDescent="0.25">
      <c r="A1677" s="22">
        <v>41897.538194444445</v>
      </c>
      <c r="B1677">
        <v>455.9</v>
      </c>
      <c r="C1677">
        <v>94.1</v>
      </c>
      <c r="D1677">
        <v>10</v>
      </c>
      <c r="E1677">
        <v>5.8</v>
      </c>
      <c r="G1677">
        <v>15</v>
      </c>
      <c r="H1677" s="23">
        <f t="shared" si="62"/>
        <v>12</v>
      </c>
    </row>
    <row r="1678" spans="1:8" x14ac:dyDescent="0.25">
      <c r="A1678" s="22">
        <v>41897.541666666664</v>
      </c>
      <c r="B1678">
        <v>459.9</v>
      </c>
      <c r="C1678">
        <v>94.1</v>
      </c>
      <c r="D1678">
        <v>10</v>
      </c>
      <c r="E1678">
        <v>5.8</v>
      </c>
      <c r="G1678">
        <v>15</v>
      </c>
      <c r="H1678" s="23">
        <f t="shared" si="62"/>
        <v>13</v>
      </c>
    </row>
    <row r="1679" spans="1:8" x14ac:dyDescent="0.25">
      <c r="A1679" s="22">
        <v>41897.545138888891</v>
      </c>
      <c r="B1679">
        <v>461.3</v>
      </c>
      <c r="C1679">
        <v>94.1</v>
      </c>
      <c r="D1679">
        <v>10.1</v>
      </c>
      <c r="E1679">
        <v>5.9</v>
      </c>
      <c r="G1679">
        <v>15</v>
      </c>
      <c r="H1679" s="23">
        <f t="shared" si="62"/>
        <v>13</v>
      </c>
    </row>
    <row r="1680" spans="1:8" x14ac:dyDescent="0.25">
      <c r="A1680" s="22">
        <v>41897.548611111109</v>
      </c>
      <c r="B1680">
        <v>461.8</v>
      </c>
      <c r="C1680">
        <v>94.2</v>
      </c>
      <c r="D1680">
        <v>10.1</v>
      </c>
      <c r="E1680">
        <v>5.9</v>
      </c>
      <c r="G1680">
        <v>15</v>
      </c>
      <c r="H1680" s="23">
        <f t="shared" si="62"/>
        <v>13</v>
      </c>
    </row>
    <row r="1681" spans="1:8" x14ac:dyDescent="0.25">
      <c r="A1681" s="22">
        <v>41897.552083333336</v>
      </c>
      <c r="B1681">
        <v>463.3</v>
      </c>
      <c r="C1681">
        <v>94.2</v>
      </c>
      <c r="D1681">
        <v>10.1</v>
      </c>
      <c r="E1681">
        <v>5.9</v>
      </c>
      <c r="G1681">
        <v>15</v>
      </c>
      <c r="H1681" s="23">
        <f t="shared" si="62"/>
        <v>13</v>
      </c>
    </row>
    <row r="1682" spans="1:8" x14ac:dyDescent="0.25">
      <c r="A1682" s="22">
        <v>41897.555555555555</v>
      </c>
      <c r="B1682">
        <v>464.5</v>
      </c>
      <c r="C1682">
        <v>94.1</v>
      </c>
      <c r="D1682">
        <v>10.199999999999999</v>
      </c>
      <c r="E1682">
        <v>6</v>
      </c>
      <c r="G1682">
        <v>15</v>
      </c>
      <c r="H1682" s="23">
        <f t="shared" si="62"/>
        <v>13</v>
      </c>
    </row>
    <row r="1683" spans="1:8" x14ac:dyDescent="0.25">
      <c r="A1683" s="22">
        <v>41897.559027777781</v>
      </c>
      <c r="B1683">
        <v>463.5</v>
      </c>
      <c r="C1683">
        <v>94.1</v>
      </c>
      <c r="D1683">
        <v>10.199999999999999</v>
      </c>
      <c r="E1683">
        <v>6</v>
      </c>
      <c r="G1683">
        <v>15</v>
      </c>
      <c r="H1683" s="23">
        <f t="shared" si="62"/>
        <v>13</v>
      </c>
    </row>
    <row r="1684" spans="1:8" x14ac:dyDescent="0.25">
      <c r="A1684" s="22">
        <v>41897.5625</v>
      </c>
      <c r="B1684">
        <v>461.6</v>
      </c>
      <c r="C1684">
        <v>94.2</v>
      </c>
      <c r="D1684">
        <v>10.199999999999999</v>
      </c>
      <c r="E1684">
        <v>6</v>
      </c>
      <c r="G1684">
        <v>15</v>
      </c>
      <c r="H1684" s="23">
        <f t="shared" si="62"/>
        <v>13</v>
      </c>
    </row>
    <row r="1685" spans="1:8" x14ac:dyDescent="0.25">
      <c r="A1685" s="22">
        <v>41897.565972222219</v>
      </c>
      <c r="B1685">
        <v>464.5</v>
      </c>
      <c r="C1685">
        <v>94.2</v>
      </c>
      <c r="D1685">
        <v>10.199999999999999</v>
      </c>
      <c r="E1685">
        <v>6</v>
      </c>
      <c r="G1685">
        <v>15</v>
      </c>
      <c r="H1685" s="23">
        <f t="shared" si="62"/>
        <v>13</v>
      </c>
    </row>
    <row r="1686" spans="1:8" x14ac:dyDescent="0.25">
      <c r="A1686" s="22">
        <v>41897.569444444445</v>
      </c>
      <c r="B1686">
        <v>460.1</v>
      </c>
      <c r="C1686">
        <v>94.2</v>
      </c>
      <c r="D1686">
        <v>10.199999999999999</v>
      </c>
      <c r="E1686">
        <v>6</v>
      </c>
      <c r="G1686">
        <v>15</v>
      </c>
      <c r="H1686" s="23">
        <f t="shared" si="62"/>
        <v>13</v>
      </c>
    </row>
    <row r="1687" spans="1:8" x14ac:dyDescent="0.25">
      <c r="A1687" s="22">
        <v>41897.572916666664</v>
      </c>
      <c r="B1687">
        <v>462.2</v>
      </c>
      <c r="C1687">
        <v>94.1</v>
      </c>
      <c r="D1687">
        <v>10.3</v>
      </c>
      <c r="E1687">
        <v>6</v>
      </c>
      <c r="G1687">
        <v>15</v>
      </c>
      <c r="H1687" s="23">
        <f t="shared" si="62"/>
        <v>13</v>
      </c>
    </row>
    <row r="1688" spans="1:8" x14ac:dyDescent="0.25">
      <c r="A1688" s="22">
        <v>41897.576388888891</v>
      </c>
      <c r="B1688">
        <v>459.5</v>
      </c>
      <c r="C1688">
        <v>94.1</v>
      </c>
      <c r="D1688">
        <v>10.3</v>
      </c>
      <c r="E1688">
        <v>6.1</v>
      </c>
      <c r="G1688">
        <v>15</v>
      </c>
      <c r="H1688" s="23">
        <f t="shared" si="62"/>
        <v>13</v>
      </c>
    </row>
    <row r="1689" spans="1:8" x14ac:dyDescent="0.25">
      <c r="A1689" s="22">
        <v>41897.579861111109</v>
      </c>
      <c r="B1689">
        <v>462.5</v>
      </c>
      <c r="C1689">
        <v>94.2</v>
      </c>
      <c r="D1689">
        <v>10.4</v>
      </c>
      <c r="E1689">
        <v>6.1</v>
      </c>
      <c r="G1689">
        <v>15</v>
      </c>
      <c r="H1689" s="23">
        <f t="shared" si="62"/>
        <v>13</v>
      </c>
    </row>
    <row r="1690" spans="1:8" x14ac:dyDescent="0.25">
      <c r="A1690" s="22">
        <v>41897.583333333336</v>
      </c>
      <c r="B1690">
        <v>463.8</v>
      </c>
      <c r="C1690">
        <v>94.2</v>
      </c>
      <c r="D1690">
        <v>10.4</v>
      </c>
      <c r="E1690">
        <v>6.1</v>
      </c>
      <c r="G1690">
        <v>15</v>
      </c>
      <c r="H1690" s="23">
        <f t="shared" si="62"/>
        <v>14</v>
      </c>
    </row>
    <row r="1691" spans="1:8" x14ac:dyDescent="0.25">
      <c r="A1691" s="22">
        <v>41897.586805555555</v>
      </c>
      <c r="B1691">
        <v>463.2</v>
      </c>
      <c r="C1691">
        <v>94.1</v>
      </c>
      <c r="D1691">
        <v>10.4</v>
      </c>
      <c r="E1691">
        <v>6.1</v>
      </c>
      <c r="G1691">
        <v>15</v>
      </c>
      <c r="H1691" s="23">
        <f t="shared" si="62"/>
        <v>14</v>
      </c>
    </row>
    <row r="1692" spans="1:8" x14ac:dyDescent="0.25">
      <c r="A1692" s="22">
        <v>41897.590277777781</v>
      </c>
      <c r="B1692">
        <v>465.1</v>
      </c>
      <c r="C1692">
        <v>94.1</v>
      </c>
      <c r="D1692">
        <v>10.4</v>
      </c>
      <c r="E1692">
        <v>6.1</v>
      </c>
      <c r="G1692">
        <v>15</v>
      </c>
      <c r="H1692" s="23">
        <f t="shared" si="62"/>
        <v>14</v>
      </c>
    </row>
    <row r="1693" spans="1:8" x14ac:dyDescent="0.25">
      <c r="A1693" s="22">
        <v>41897.59375</v>
      </c>
      <c r="B1693">
        <v>466.3</v>
      </c>
      <c r="C1693">
        <v>94.2</v>
      </c>
      <c r="D1693">
        <v>10.4</v>
      </c>
      <c r="E1693">
        <v>6.2</v>
      </c>
      <c r="G1693">
        <v>15</v>
      </c>
      <c r="H1693" s="23">
        <f t="shared" si="62"/>
        <v>14</v>
      </c>
    </row>
    <row r="1694" spans="1:8" x14ac:dyDescent="0.25">
      <c r="A1694" s="22">
        <v>41897.597222222219</v>
      </c>
      <c r="B1694">
        <v>465.5</v>
      </c>
      <c r="C1694">
        <v>94.3</v>
      </c>
      <c r="D1694">
        <v>10.4</v>
      </c>
      <c r="E1694">
        <v>6.2</v>
      </c>
      <c r="G1694">
        <v>15</v>
      </c>
      <c r="H1694" s="23">
        <f t="shared" si="62"/>
        <v>14</v>
      </c>
    </row>
    <row r="1695" spans="1:8" x14ac:dyDescent="0.25">
      <c r="A1695" s="22">
        <v>41897.600694444445</v>
      </c>
      <c r="B1695">
        <v>466.7</v>
      </c>
      <c r="C1695">
        <v>94.1</v>
      </c>
      <c r="D1695">
        <v>10.5</v>
      </c>
      <c r="E1695">
        <v>6.2</v>
      </c>
      <c r="G1695">
        <v>15</v>
      </c>
      <c r="H1695" s="23">
        <f t="shared" si="62"/>
        <v>14</v>
      </c>
    </row>
    <row r="1696" spans="1:8" x14ac:dyDescent="0.25">
      <c r="A1696" s="22">
        <v>41897.604166666664</v>
      </c>
      <c r="B1696">
        <v>464.6</v>
      </c>
      <c r="C1696">
        <v>94.1</v>
      </c>
      <c r="D1696">
        <v>10.5</v>
      </c>
      <c r="E1696">
        <v>6.3</v>
      </c>
      <c r="G1696">
        <v>15</v>
      </c>
      <c r="H1696" s="23">
        <f t="shared" si="62"/>
        <v>14</v>
      </c>
    </row>
    <row r="1697" spans="1:8" x14ac:dyDescent="0.25">
      <c r="A1697" s="22">
        <v>41897.607638888891</v>
      </c>
      <c r="B1697">
        <v>464.6</v>
      </c>
      <c r="C1697">
        <v>94.2</v>
      </c>
      <c r="D1697">
        <v>10.5</v>
      </c>
      <c r="E1697">
        <v>6.3</v>
      </c>
      <c r="G1697">
        <v>15</v>
      </c>
      <c r="H1697" s="23">
        <f t="shared" si="62"/>
        <v>14</v>
      </c>
    </row>
    <row r="1698" spans="1:8" x14ac:dyDescent="0.25">
      <c r="A1698" s="22">
        <v>41897.611111111109</v>
      </c>
      <c r="B1698">
        <v>461.4</v>
      </c>
      <c r="C1698">
        <v>94.2</v>
      </c>
      <c r="D1698">
        <v>10.5</v>
      </c>
      <c r="E1698">
        <v>6.3</v>
      </c>
      <c r="G1698">
        <v>15</v>
      </c>
      <c r="H1698" s="23">
        <f t="shared" si="62"/>
        <v>14</v>
      </c>
    </row>
    <row r="1699" spans="1:8" x14ac:dyDescent="0.25">
      <c r="A1699" s="22">
        <v>41897.614583333336</v>
      </c>
      <c r="B1699">
        <v>463</v>
      </c>
      <c r="C1699">
        <v>94.3</v>
      </c>
      <c r="D1699">
        <v>10.5</v>
      </c>
      <c r="E1699">
        <v>6.3</v>
      </c>
      <c r="G1699">
        <v>15</v>
      </c>
      <c r="H1699" s="23">
        <f t="shared" si="62"/>
        <v>14</v>
      </c>
    </row>
    <row r="1700" spans="1:8" x14ac:dyDescent="0.25">
      <c r="A1700" s="22">
        <v>41897.618055555555</v>
      </c>
      <c r="B1700">
        <v>462.1</v>
      </c>
      <c r="C1700">
        <v>94.2</v>
      </c>
      <c r="D1700">
        <v>10.5</v>
      </c>
      <c r="E1700">
        <v>6.3</v>
      </c>
      <c r="G1700">
        <v>15</v>
      </c>
      <c r="H1700" s="23">
        <f t="shared" si="62"/>
        <v>14</v>
      </c>
    </row>
    <row r="1701" spans="1:8" x14ac:dyDescent="0.25">
      <c r="A1701" s="22">
        <v>41897.621527777781</v>
      </c>
      <c r="B1701">
        <v>463.9</v>
      </c>
      <c r="C1701">
        <v>94.2</v>
      </c>
      <c r="D1701">
        <v>10.5</v>
      </c>
      <c r="E1701">
        <v>6.3</v>
      </c>
      <c r="G1701">
        <v>15</v>
      </c>
      <c r="H1701" s="23">
        <f t="shared" si="62"/>
        <v>14</v>
      </c>
    </row>
    <row r="1702" spans="1:8" x14ac:dyDescent="0.25">
      <c r="A1702" s="22">
        <v>41897.625</v>
      </c>
      <c r="B1702">
        <v>463.9</v>
      </c>
      <c r="C1702">
        <v>94.2</v>
      </c>
      <c r="D1702">
        <v>10.6</v>
      </c>
      <c r="E1702">
        <v>6.3</v>
      </c>
      <c r="G1702">
        <v>15</v>
      </c>
      <c r="H1702" s="23">
        <f t="shared" si="62"/>
        <v>15</v>
      </c>
    </row>
    <row r="1703" spans="1:8" x14ac:dyDescent="0.25">
      <c r="A1703" s="22">
        <v>41897.628472222219</v>
      </c>
      <c r="B1703">
        <v>464.6</v>
      </c>
      <c r="C1703">
        <v>94.2</v>
      </c>
      <c r="D1703">
        <v>10.6</v>
      </c>
      <c r="E1703">
        <v>6.4</v>
      </c>
      <c r="G1703">
        <v>15</v>
      </c>
      <c r="H1703" s="23">
        <f t="shared" si="62"/>
        <v>15</v>
      </c>
    </row>
    <row r="1704" spans="1:8" x14ac:dyDescent="0.25">
      <c r="A1704" s="22">
        <v>41897.631944444445</v>
      </c>
      <c r="B1704">
        <v>469.8</v>
      </c>
      <c r="C1704">
        <v>94.2</v>
      </c>
      <c r="D1704">
        <v>10.7</v>
      </c>
      <c r="E1704">
        <v>6.4</v>
      </c>
      <c r="G1704">
        <v>15</v>
      </c>
      <c r="H1704" s="23">
        <f t="shared" si="62"/>
        <v>15</v>
      </c>
    </row>
    <row r="1705" spans="1:8" x14ac:dyDescent="0.25">
      <c r="A1705" s="22">
        <v>41897.635416666664</v>
      </c>
      <c r="B1705">
        <v>467</v>
      </c>
      <c r="C1705">
        <v>94.1</v>
      </c>
      <c r="D1705">
        <v>10.9</v>
      </c>
      <c r="E1705">
        <v>6.7</v>
      </c>
      <c r="G1705">
        <v>15</v>
      </c>
      <c r="H1705" s="23">
        <f t="shared" si="62"/>
        <v>15</v>
      </c>
    </row>
    <row r="1706" spans="1:8" x14ac:dyDescent="0.25">
      <c r="A1706" s="22">
        <v>41897.638888888891</v>
      </c>
      <c r="B1706">
        <v>463.1</v>
      </c>
      <c r="C1706">
        <v>94.2</v>
      </c>
      <c r="D1706">
        <v>10.8</v>
      </c>
      <c r="E1706">
        <v>6.6</v>
      </c>
      <c r="G1706">
        <v>15</v>
      </c>
      <c r="H1706" s="23">
        <f t="shared" si="62"/>
        <v>15</v>
      </c>
    </row>
    <row r="1707" spans="1:8" x14ac:dyDescent="0.25">
      <c r="A1707" s="22">
        <v>41897.642361111109</v>
      </c>
      <c r="B1707">
        <v>463.7</v>
      </c>
      <c r="C1707">
        <v>94.2</v>
      </c>
      <c r="D1707">
        <v>10.9</v>
      </c>
      <c r="E1707">
        <v>6.6</v>
      </c>
      <c r="G1707">
        <v>15</v>
      </c>
      <c r="H1707" s="23">
        <f t="shared" si="62"/>
        <v>15</v>
      </c>
    </row>
    <row r="1708" spans="1:8" x14ac:dyDescent="0.25">
      <c r="A1708" s="22">
        <v>41897.645833333336</v>
      </c>
      <c r="B1708">
        <v>462.7</v>
      </c>
      <c r="C1708">
        <v>94.2</v>
      </c>
      <c r="D1708">
        <v>10.9</v>
      </c>
      <c r="E1708">
        <v>6.6</v>
      </c>
      <c r="G1708">
        <v>15</v>
      </c>
      <c r="H1708" s="23">
        <f t="shared" si="62"/>
        <v>15</v>
      </c>
    </row>
    <row r="1709" spans="1:8" x14ac:dyDescent="0.25">
      <c r="A1709" s="22">
        <v>41897.649305555555</v>
      </c>
      <c r="B1709">
        <v>461.7</v>
      </c>
      <c r="C1709">
        <v>94.2</v>
      </c>
      <c r="D1709">
        <v>10.9</v>
      </c>
      <c r="E1709">
        <v>6.7</v>
      </c>
      <c r="G1709">
        <v>15</v>
      </c>
      <c r="H1709" s="23">
        <f t="shared" si="62"/>
        <v>15</v>
      </c>
    </row>
    <row r="1710" spans="1:8" x14ac:dyDescent="0.25">
      <c r="A1710" s="22">
        <v>41897.652777777781</v>
      </c>
      <c r="B1710">
        <v>465.5</v>
      </c>
      <c r="C1710">
        <v>94.3</v>
      </c>
      <c r="D1710">
        <v>11</v>
      </c>
      <c r="E1710">
        <v>6.7</v>
      </c>
      <c r="G1710">
        <v>15</v>
      </c>
      <c r="H1710" s="23">
        <f t="shared" si="62"/>
        <v>15</v>
      </c>
    </row>
    <row r="1711" spans="1:8" x14ac:dyDescent="0.25">
      <c r="A1711" s="22">
        <v>41897.65625</v>
      </c>
      <c r="B1711">
        <v>468.3</v>
      </c>
      <c r="C1711">
        <v>94.2</v>
      </c>
      <c r="D1711">
        <v>11</v>
      </c>
      <c r="E1711">
        <v>6.8</v>
      </c>
      <c r="G1711">
        <v>15</v>
      </c>
      <c r="H1711" s="23">
        <f t="shared" si="62"/>
        <v>15</v>
      </c>
    </row>
    <row r="1712" spans="1:8" x14ac:dyDescent="0.25">
      <c r="A1712" s="22">
        <v>41897.659722222219</v>
      </c>
      <c r="B1712">
        <v>468.2</v>
      </c>
      <c r="C1712">
        <v>94.3</v>
      </c>
      <c r="D1712">
        <v>11.1</v>
      </c>
      <c r="E1712">
        <v>6.8</v>
      </c>
      <c r="G1712">
        <v>15</v>
      </c>
      <c r="H1712" s="23">
        <f t="shared" si="62"/>
        <v>15</v>
      </c>
    </row>
    <row r="1713" spans="1:8" x14ac:dyDescent="0.25">
      <c r="A1713" s="22">
        <v>41897.663194444445</v>
      </c>
      <c r="B1713">
        <v>468.1</v>
      </c>
      <c r="C1713">
        <v>94.3</v>
      </c>
      <c r="D1713">
        <v>11.1</v>
      </c>
      <c r="E1713">
        <v>6.9</v>
      </c>
      <c r="G1713">
        <v>15</v>
      </c>
      <c r="H1713" s="23">
        <f t="shared" si="62"/>
        <v>15</v>
      </c>
    </row>
    <row r="1714" spans="1:8" x14ac:dyDescent="0.25">
      <c r="A1714" s="22">
        <v>41897.666666666664</v>
      </c>
      <c r="B1714">
        <v>467.3</v>
      </c>
      <c r="C1714">
        <v>94.2</v>
      </c>
      <c r="D1714">
        <v>11.1</v>
      </c>
      <c r="E1714">
        <v>6.8</v>
      </c>
      <c r="G1714">
        <v>15</v>
      </c>
      <c r="H1714" s="23">
        <f t="shared" si="62"/>
        <v>16</v>
      </c>
    </row>
    <row r="1715" spans="1:8" x14ac:dyDescent="0.25">
      <c r="A1715" s="22">
        <v>41897.670138888891</v>
      </c>
      <c r="B1715">
        <v>467.9</v>
      </c>
      <c r="C1715">
        <v>94.3</v>
      </c>
      <c r="D1715">
        <v>11.1</v>
      </c>
      <c r="E1715">
        <v>6.8</v>
      </c>
      <c r="G1715">
        <v>15</v>
      </c>
      <c r="H1715" s="23">
        <f t="shared" si="62"/>
        <v>16</v>
      </c>
    </row>
    <row r="1716" spans="1:8" x14ac:dyDescent="0.25">
      <c r="A1716" s="22">
        <v>41897.673611111109</v>
      </c>
      <c r="B1716">
        <v>467.3</v>
      </c>
      <c r="C1716">
        <v>94.3</v>
      </c>
      <c r="D1716">
        <v>11.1</v>
      </c>
      <c r="E1716">
        <v>6.8</v>
      </c>
      <c r="G1716">
        <v>15</v>
      </c>
      <c r="H1716" s="23">
        <f t="shared" si="62"/>
        <v>16</v>
      </c>
    </row>
    <row r="1717" spans="1:8" x14ac:dyDescent="0.25">
      <c r="A1717" s="22">
        <v>41897.677083333336</v>
      </c>
      <c r="B1717">
        <v>466.8</v>
      </c>
      <c r="C1717">
        <v>94.2</v>
      </c>
      <c r="D1717">
        <v>11.2</v>
      </c>
      <c r="E1717">
        <v>6.9</v>
      </c>
      <c r="G1717">
        <v>15</v>
      </c>
      <c r="H1717" s="23">
        <f t="shared" si="62"/>
        <v>16</v>
      </c>
    </row>
    <row r="1718" spans="1:8" x14ac:dyDescent="0.25">
      <c r="A1718" s="22">
        <v>41897.680555555555</v>
      </c>
      <c r="B1718">
        <v>466.6</v>
      </c>
      <c r="C1718">
        <v>94.2</v>
      </c>
      <c r="D1718">
        <v>11.2</v>
      </c>
      <c r="E1718">
        <v>6.9</v>
      </c>
      <c r="G1718">
        <v>15</v>
      </c>
      <c r="H1718" s="23">
        <f t="shared" si="62"/>
        <v>16</v>
      </c>
    </row>
    <row r="1719" spans="1:8" x14ac:dyDescent="0.25">
      <c r="A1719" s="22">
        <v>41897.684027777781</v>
      </c>
      <c r="B1719">
        <v>467.2</v>
      </c>
      <c r="C1719">
        <v>94.3</v>
      </c>
      <c r="D1719">
        <v>11.1</v>
      </c>
      <c r="E1719">
        <v>6.9</v>
      </c>
      <c r="G1719">
        <v>15</v>
      </c>
      <c r="H1719" s="23">
        <f t="shared" si="62"/>
        <v>16</v>
      </c>
    </row>
    <row r="1720" spans="1:8" x14ac:dyDescent="0.25">
      <c r="A1720" s="22">
        <v>41897.6875</v>
      </c>
      <c r="B1720">
        <v>467.9</v>
      </c>
      <c r="C1720">
        <v>94.4</v>
      </c>
      <c r="D1720">
        <v>11.1</v>
      </c>
      <c r="E1720">
        <v>6.8</v>
      </c>
      <c r="G1720">
        <v>15</v>
      </c>
      <c r="H1720" s="23">
        <f t="shared" si="62"/>
        <v>16</v>
      </c>
    </row>
    <row r="1721" spans="1:8" x14ac:dyDescent="0.25">
      <c r="A1721" s="22">
        <v>41897.690972222219</v>
      </c>
      <c r="B1721">
        <v>468.9</v>
      </c>
      <c r="C1721">
        <v>94.3</v>
      </c>
      <c r="D1721">
        <v>11</v>
      </c>
      <c r="E1721">
        <v>6.8</v>
      </c>
      <c r="G1721">
        <v>15</v>
      </c>
      <c r="H1721" s="23">
        <f t="shared" si="62"/>
        <v>16</v>
      </c>
    </row>
    <row r="1722" spans="1:8" x14ac:dyDescent="0.25">
      <c r="A1722" s="22">
        <v>41897.694444444445</v>
      </c>
      <c r="B1722">
        <v>472.4</v>
      </c>
      <c r="C1722">
        <v>94.3</v>
      </c>
      <c r="D1722">
        <v>11.1</v>
      </c>
      <c r="E1722">
        <v>6.8</v>
      </c>
      <c r="G1722">
        <v>15</v>
      </c>
      <c r="H1722" s="23">
        <f t="shared" si="62"/>
        <v>16</v>
      </c>
    </row>
    <row r="1723" spans="1:8" x14ac:dyDescent="0.25">
      <c r="A1723" s="22">
        <v>41897.697916666664</v>
      </c>
      <c r="B1723">
        <v>472.5</v>
      </c>
      <c r="C1723">
        <v>94.2</v>
      </c>
      <c r="D1723">
        <v>11.1</v>
      </c>
      <c r="E1723">
        <v>6.8</v>
      </c>
      <c r="G1723">
        <v>15</v>
      </c>
      <c r="H1723" s="23">
        <f t="shared" si="62"/>
        <v>16</v>
      </c>
    </row>
    <row r="1724" spans="1:8" x14ac:dyDescent="0.25">
      <c r="A1724" s="22">
        <v>41897.701388888891</v>
      </c>
      <c r="B1724">
        <v>467.7</v>
      </c>
      <c r="C1724">
        <v>94.2</v>
      </c>
      <c r="D1724">
        <v>11.1</v>
      </c>
      <c r="E1724">
        <v>6.8</v>
      </c>
      <c r="G1724">
        <v>15</v>
      </c>
      <c r="H1724" s="23">
        <f t="shared" si="62"/>
        <v>16</v>
      </c>
    </row>
    <row r="1725" spans="1:8" x14ac:dyDescent="0.25">
      <c r="A1725" s="22">
        <v>41897.704861111109</v>
      </c>
      <c r="B1725">
        <v>466.5</v>
      </c>
      <c r="C1725">
        <v>94.3</v>
      </c>
      <c r="D1725">
        <v>11.1</v>
      </c>
      <c r="E1725">
        <v>6.8</v>
      </c>
      <c r="G1725">
        <v>15</v>
      </c>
      <c r="H1725" s="23">
        <f t="shared" si="62"/>
        <v>16</v>
      </c>
    </row>
    <row r="1726" spans="1:8" x14ac:dyDescent="0.25">
      <c r="A1726" s="22">
        <v>41897.708333333336</v>
      </c>
      <c r="B1726">
        <v>468.1</v>
      </c>
      <c r="C1726">
        <v>94.2</v>
      </c>
      <c r="D1726">
        <v>11</v>
      </c>
      <c r="E1726">
        <v>6.7</v>
      </c>
      <c r="G1726">
        <v>15</v>
      </c>
      <c r="H1726" s="23">
        <f t="shared" si="62"/>
        <v>17</v>
      </c>
    </row>
    <row r="1727" spans="1:8" x14ac:dyDescent="0.25">
      <c r="A1727" s="22">
        <v>41897.711805555555</v>
      </c>
      <c r="B1727">
        <v>469.3</v>
      </c>
      <c r="C1727">
        <v>94.2</v>
      </c>
      <c r="D1727">
        <v>11</v>
      </c>
      <c r="E1727">
        <v>6.7</v>
      </c>
      <c r="G1727">
        <v>15</v>
      </c>
      <c r="H1727" s="23">
        <f t="shared" si="62"/>
        <v>17</v>
      </c>
    </row>
    <row r="1728" spans="1:8" x14ac:dyDescent="0.25">
      <c r="A1728" s="22">
        <v>41897.715277777781</v>
      </c>
      <c r="B1728">
        <v>468</v>
      </c>
      <c r="C1728">
        <v>94.3</v>
      </c>
      <c r="D1728">
        <v>11</v>
      </c>
      <c r="E1728">
        <v>6.7</v>
      </c>
      <c r="G1728">
        <v>15</v>
      </c>
      <c r="H1728" s="23">
        <f t="shared" si="62"/>
        <v>17</v>
      </c>
    </row>
    <row r="1729" spans="1:8" x14ac:dyDescent="0.25">
      <c r="A1729" s="22">
        <v>41897.71875</v>
      </c>
      <c r="B1729">
        <v>465.4</v>
      </c>
      <c r="C1729">
        <v>94.2</v>
      </c>
      <c r="D1729">
        <v>11</v>
      </c>
      <c r="E1729">
        <v>6.7</v>
      </c>
      <c r="G1729">
        <v>15</v>
      </c>
      <c r="H1729" s="23">
        <f t="shared" si="62"/>
        <v>17</v>
      </c>
    </row>
    <row r="1730" spans="1:8" x14ac:dyDescent="0.25">
      <c r="A1730" s="22">
        <v>41897.722222222219</v>
      </c>
      <c r="B1730">
        <v>473.9</v>
      </c>
      <c r="C1730">
        <v>94.2</v>
      </c>
      <c r="D1730">
        <v>11.2</v>
      </c>
      <c r="E1730">
        <v>6.9</v>
      </c>
      <c r="G1730">
        <v>15</v>
      </c>
      <c r="H1730" s="23">
        <f t="shared" si="62"/>
        <v>17</v>
      </c>
    </row>
    <row r="1731" spans="1:8" x14ac:dyDescent="0.25">
      <c r="A1731" s="22">
        <v>41897.725694444445</v>
      </c>
      <c r="B1731">
        <v>475.5</v>
      </c>
      <c r="C1731">
        <v>94.4</v>
      </c>
      <c r="D1731">
        <v>11.7</v>
      </c>
      <c r="E1731">
        <v>7.4</v>
      </c>
      <c r="G1731">
        <v>15</v>
      </c>
      <c r="H1731" s="23">
        <f t="shared" si="62"/>
        <v>17</v>
      </c>
    </row>
    <row r="1732" spans="1:8" x14ac:dyDescent="0.25">
      <c r="A1732" s="22">
        <v>41897.729166666664</v>
      </c>
      <c r="B1732">
        <v>474.3</v>
      </c>
      <c r="C1732">
        <v>94.4</v>
      </c>
      <c r="D1732">
        <v>11.6</v>
      </c>
      <c r="E1732">
        <v>7.3</v>
      </c>
      <c r="G1732">
        <v>15</v>
      </c>
      <c r="H1732" s="23">
        <f t="shared" si="62"/>
        <v>17</v>
      </c>
    </row>
    <row r="1733" spans="1:8" x14ac:dyDescent="0.25">
      <c r="A1733" s="22">
        <v>41897.732638888891</v>
      </c>
      <c r="B1733">
        <v>481.3</v>
      </c>
      <c r="C1733">
        <v>94.4</v>
      </c>
      <c r="D1733">
        <v>11.8</v>
      </c>
      <c r="E1733">
        <v>7.4</v>
      </c>
      <c r="G1733">
        <v>15</v>
      </c>
      <c r="H1733" s="23">
        <f t="shared" si="62"/>
        <v>17</v>
      </c>
    </row>
    <row r="1734" spans="1:8" x14ac:dyDescent="0.25">
      <c r="A1734" s="22">
        <v>41897.736111111109</v>
      </c>
      <c r="B1734">
        <v>481.6</v>
      </c>
      <c r="C1734">
        <v>94.4</v>
      </c>
      <c r="D1734">
        <v>12.1</v>
      </c>
      <c r="E1734">
        <v>7.7</v>
      </c>
      <c r="G1734">
        <v>15</v>
      </c>
      <c r="H1734" s="23">
        <f t="shared" ref="H1734:H1797" si="63">+HOUR(A1734)</f>
        <v>17</v>
      </c>
    </row>
    <row r="1735" spans="1:8" x14ac:dyDescent="0.25">
      <c r="A1735" s="22">
        <v>41897.739583333336</v>
      </c>
      <c r="B1735">
        <v>483.2</v>
      </c>
      <c r="C1735">
        <v>94.4</v>
      </c>
      <c r="D1735">
        <v>12.1</v>
      </c>
      <c r="E1735">
        <v>7.8</v>
      </c>
      <c r="G1735">
        <v>15</v>
      </c>
      <c r="H1735" s="23">
        <f t="shared" si="63"/>
        <v>17</v>
      </c>
    </row>
    <row r="1736" spans="1:8" x14ac:dyDescent="0.25">
      <c r="A1736" s="22">
        <v>41897.743055555555</v>
      </c>
      <c r="B1736">
        <v>485.7</v>
      </c>
      <c r="C1736">
        <v>94.4</v>
      </c>
      <c r="D1736">
        <v>12.2</v>
      </c>
      <c r="E1736">
        <v>7.8</v>
      </c>
      <c r="G1736">
        <v>15</v>
      </c>
      <c r="H1736" s="23">
        <f t="shared" si="63"/>
        <v>17</v>
      </c>
    </row>
    <row r="1737" spans="1:8" x14ac:dyDescent="0.25">
      <c r="A1737" s="22">
        <v>41897.746527777781</v>
      </c>
      <c r="B1737">
        <v>487.2</v>
      </c>
      <c r="C1737">
        <v>94.5</v>
      </c>
      <c r="D1737">
        <v>12.3</v>
      </c>
      <c r="E1737">
        <v>7.9</v>
      </c>
      <c r="G1737">
        <v>15</v>
      </c>
      <c r="H1737" s="23">
        <f t="shared" si="63"/>
        <v>17</v>
      </c>
    </row>
    <row r="1738" spans="1:8" x14ac:dyDescent="0.25">
      <c r="A1738" s="22">
        <v>41897.75</v>
      </c>
      <c r="B1738">
        <v>486.3</v>
      </c>
      <c r="C1738">
        <v>94.4</v>
      </c>
      <c r="D1738">
        <v>12.4</v>
      </c>
      <c r="E1738">
        <v>7.9</v>
      </c>
      <c r="G1738">
        <v>15</v>
      </c>
      <c r="H1738" s="23">
        <f t="shared" si="63"/>
        <v>18</v>
      </c>
    </row>
    <row r="1739" spans="1:8" x14ac:dyDescent="0.25">
      <c r="A1739" s="22">
        <v>41897.753472222219</v>
      </c>
      <c r="B1739">
        <v>487.1</v>
      </c>
      <c r="C1739">
        <v>94.4</v>
      </c>
      <c r="D1739">
        <v>12.5</v>
      </c>
      <c r="E1739">
        <v>8</v>
      </c>
      <c r="G1739">
        <v>15</v>
      </c>
      <c r="H1739" s="23">
        <f t="shared" si="63"/>
        <v>18</v>
      </c>
    </row>
    <row r="1740" spans="1:8" x14ac:dyDescent="0.25">
      <c r="A1740" s="22">
        <v>41897.756944444445</v>
      </c>
      <c r="B1740">
        <v>488.4</v>
      </c>
      <c r="C1740">
        <v>94.4</v>
      </c>
      <c r="D1740">
        <v>12.5</v>
      </c>
      <c r="E1740">
        <v>8.1</v>
      </c>
      <c r="G1740">
        <v>15</v>
      </c>
      <c r="H1740" s="23">
        <f t="shared" si="63"/>
        <v>18</v>
      </c>
    </row>
    <row r="1741" spans="1:8" x14ac:dyDescent="0.25">
      <c r="A1741" s="22">
        <v>41897.760416666664</v>
      </c>
      <c r="B1741">
        <v>489.8</v>
      </c>
      <c r="C1741">
        <v>94.5</v>
      </c>
      <c r="D1741">
        <v>12.6</v>
      </c>
      <c r="E1741">
        <v>8.1</v>
      </c>
      <c r="G1741">
        <v>15</v>
      </c>
      <c r="H1741" s="23">
        <f t="shared" si="63"/>
        <v>18</v>
      </c>
    </row>
    <row r="1742" spans="1:8" x14ac:dyDescent="0.25">
      <c r="A1742" s="22">
        <v>41897.763888888891</v>
      </c>
      <c r="B1742">
        <v>492.1</v>
      </c>
      <c r="C1742">
        <v>94.5</v>
      </c>
      <c r="D1742">
        <v>12.6</v>
      </c>
      <c r="E1742">
        <v>8.1</v>
      </c>
      <c r="G1742">
        <v>15</v>
      </c>
      <c r="H1742" s="23">
        <f t="shared" si="63"/>
        <v>18</v>
      </c>
    </row>
    <row r="1743" spans="1:8" x14ac:dyDescent="0.25">
      <c r="A1743" s="22">
        <v>41897.767361111109</v>
      </c>
      <c r="B1743">
        <v>492.8</v>
      </c>
      <c r="C1743">
        <v>94.5</v>
      </c>
      <c r="D1743">
        <v>12.7</v>
      </c>
      <c r="E1743">
        <v>8.1999999999999993</v>
      </c>
      <c r="G1743">
        <v>15</v>
      </c>
      <c r="H1743" s="23">
        <f t="shared" si="63"/>
        <v>18</v>
      </c>
    </row>
    <row r="1744" spans="1:8" x14ac:dyDescent="0.25">
      <c r="A1744" s="22">
        <v>41897.770833333336</v>
      </c>
      <c r="B1744">
        <v>492.6</v>
      </c>
      <c r="C1744">
        <v>94.5</v>
      </c>
      <c r="D1744">
        <v>12.7</v>
      </c>
      <c r="E1744">
        <v>8.1999999999999993</v>
      </c>
      <c r="G1744">
        <v>15</v>
      </c>
      <c r="H1744" s="23">
        <f t="shared" si="63"/>
        <v>18</v>
      </c>
    </row>
    <row r="1745" spans="1:8" x14ac:dyDescent="0.25">
      <c r="A1745" s="22">
        <v>41897.774305555555</v>
      </c>
      <c r="B1745">
        <v>490.2</v>
      </c>
      <c r="C1745">
        <v>94.5</v>
      </c>
      <c r="D1745">
        <v>12.7</v>
      </c>
      <c r="E1745">
        <v>8.1999999999999993</v>
      </c>
      <c r="G1745">
        <v>15</v>
      </c>
      <c r="H1745" s="23">
        <f t="shared" si="63"/>
        <v>18</v>
      </c>
    </row>
    <row r="1746" spans="1:8" x14ac:dyDescent="0.25">
      <c r="A1746" s="22">
        <v>41897.777777777781</v>
      </c>
      <c r="B1746">
        <v>488.8</v>
      </c>
      <c r="C1746">
        <v>94.5</v>
      </c>
      <c r="D1746">
        <v>12.7</v>
      </c>
      <c r="E1746">
        <v>8.1999999999999993</v>
      </c>
      <c r="G1746">
        <v>15</v>
      </c>
      <c r="H1746" s="23">
        <f t="shared" si="63"/>
        <v>18</v>
      </c>
    </row>
    <row r="1747" spans="1:8" x14ac:dyDescent="0.25">
      <c r="A1747" s="22">
        <v>41897.78125</v>
      </c>
      <c r="B1747">
        <v>489.6</v>
      </c>
      <c r="C1747">
        <v>94.5</v>
      </c>
      <c r="D1747">
        <v>12.7</v>
      </c>
      <c r="E1747">
        <v>8.1999999999999993</v>
      </c>
      <c r="G1747">
        <v>15</v>
      </c>
      <c r="H1747" s="23">
        <f t="shared" si="63"/>
        <v>18</v>
      </c>
    </row>
    <row r="1748" spans="1:8" x14ac:dyDescent="0.25">
      <c r="A1748" s="22">
        <v>41897.784722222219</v>
      </c>
      <c r="B1748">
        <v>489.8</v>
      </c>
      <c r="C1748">
        <v>94.5</v>
      </c>
      <c r="D1748">
        <v>12.7</v>
      </c>
      <c r="E1748">
        <v>8.1999999999999993</v>
      </c>
      <c r="G1748">
        <v>15</v>
      </c>
      <c r="H1748" s="23">
        <f t="shared" si="63"/>
        <v>18</v>
      </c>
    </row>
    <row r="1749" spans="1:8" x14ac:dyDescent="0.25">
      <c r="A1749" s="22">
        <v>41897.788194444445</v>
      </c>
      <c r="B1749">
        <v>489.6</v>
      </c>
      <c r="C1749">
        <v>94.4</v>
      </c>
      <c r="D1749">
        <v>12.7</v>
      </c>
      <c r="E1749">
        <v>8.1999999999999993</v>
      </c>
      <c r="G1749">
        <v>15</v>
      </c>
      <c r="H1749" s="23">
        <f t="shared" si="63"/>
        <v>18</v>
      </c>
    </row>
    <row r="1750" spans="1:8" x14ac:dyDescent="0.25">
      <c r="A1750" s="22">
        <v>41897.791666666664</v>
      </c>
      <c r="B1750">
        <v>492.2</v>
      </c>
      <c r="C1750">
        <v>94.5</v>
      </c>
      <c r="D1750">
        <v>12.7</v>
      </c>
      <c r="E1750">
        <v>8.1999999999999993</v>
      </c>
      <c r="G1750">
        <v>15</v>
      </c>
      <c r="H1750" s="23">
        <f t="shared" si="63"/>
        <v>19</v>
      </c>
    </row>
    <row r="1751" spans="1:8" x14ac:dyDescent="0.25">
      <c r="A1751" s="22">
        <v>41897.795138888891</v>
      </c>
      <c r="B1751">
        <v>490.8</v>
      </c>
      <c r="C1751">
        <v>94.4</v>
      </c>
      <c r="D1751">
        <v>12.7</v>
      </c>
      <c r="E1751">
        <v>8.3000000000000007</v>
      </c>
      <c r="G1751">
        <v>15</v>
      </c>
      <c r="H1751" s="23">
        <f t="shared" si="63"/>
        <v>19</v>
      </c>
    </row>
    <row r="1752" spans="1:8" x14ac:dyDescent="0.25">
      <c r="A1752" s="22">
        <v>41897.798611111109</v>
      </c>
      <c r="B1752">
        <v>490.6</v>
      </c>
      <c r="C1752">
        <v>94.5</v>
      </c>
      <c r="D1752">
        <v>12.7</v>
      </c>
      <c r="E1752">
        <v>8.3000000000000007</v>
      </c>
      <c r="G1752">
        <v>15</v>
      </c>
      <c r="H1752" s="23">
        <f t="shared" si="63"/>
        <v>19</v>
      </c>
    </row>
    <row r="1753" spans="1:8" x14ac:dyDescent="0.25">
      <c r="A1753" s="22">
        <v>41897.802083333336</v>
      </c>
      <c r="B1753">
        <v>490</v>
      </c>
      <c r="C1753">
        <v>94.5</v>
      </c>
      <c r="D1753">
        <v>12.7</v>
      </c>
      <c r="E1753">
        <v>8.3000000000000007</v>
      </c>
      <c r="G1753">
        <v>15</v>
      </c>
      <c r="H1753" s="23">
        <f t="shared" si="63"/>
        <v>19</v>
      </c>
    </row>
    <row r="1754" spans="1:8" x14ac:dyDescent="0.25">
      <c r="A1754" s="22">
        <v>41897.805555555555</v>
      </c>
      <c r="B1754">
        <v>489.4</v>
      </c>
      <c r="C1754">
        <v>94.5</v>
      </c>
      <c r="D1754">
        <v>12.8</v>
      </c>
      <c r="E1754">
        <v>8.3000000000000007</v>
      </c>
      <c r="G1754">
        <v>15</v>
      </c>
      <c r="H1754" s="23">
        <f t="shared" si="63"/>
        <v>19</v>
      </c>
    </row>
    <row r="1755" spans="1:8" x14ac:dyDescent="0.25">
      <c r="A1755" s="22">
        <v>41897.809027777781</v>
      </c>
      <c r="B1755">
        <v>492.6</v>
      </c>
      <c r="C1755">
        <v>94.6</v>
      </c>
      <c r="D1755">
        <v>12.8</v>
      </c>
      <c r="E1755">
        <v>8.3000000000000007</v>
      </c>
      <c r="G1755">
        <v>15</v>
      </c>
      <c r="H1755" s="23">
        <f t="shared" si="63"/>
        <v>19</v>
      </c>
    </row>
    <row r="1756" spans="1:8" x14ac:dyDescent="0.25">
      <c r="A1756" s="22">
        <v>41897.8125</v>
      </c>
      <c r="B1756">
        <v>493</v>
      </c>
      <c r="C1756">
        <v>94.5</v>
      </c>
      <c r="D1756">
        <v>12.8</v>
      </c>
      <c r="E1756">
        <v>8.3000000000000007</v>
      </c>
      <c r="G1756">
        <v>15</v>
      </c>
      <c r="H1756" s="23">
        <f t="shared" si="63"/>
        <v>19</v>
      </c>
    </row>
    <row r="1757" spans="1:8" x14ac:dyDescent="0.25">
      <c r="A1757" s="22">
        <v>41897.815972222219</v>
      </c>
      <c r="B1757">
        <v>495.2</v>
      </c>
      <c r="C1757">
        <v>94.5</v>
      </c>
      <c r="D1757">
        <v>12.8</v>
      </c>
      <c r="E1757">
        <v>8.3000000000000007</v>
      </c>
      <c r="G1757">
        <v>15</v>
      </c>
      <c r="H1757" s="23">
        <f t="shared" si="63"/>
        <v>19</v>
      </c>
    </row>
    <row r="1758" spans="1:8" x14ac:dyDescent="0.25">
      <c r="A1758" s="22">
        <v>41897.819444444445</v>
      </c>
      <c r="B1758">
        <v>495.8</v>
      </c>
      <c r="C1758">
        <v>94.5</v>
      </c>
      <c r="D1758">
        <v>12.9</v>
      </c>
      <c r="E1758">
        <v>8.4</v>
      </c>
      <c r="G1758">
        <v>15</v>
      </c>
      <c r="H1758" s="23">
        <f t="shared" si="63"/>
        <v>19</v>
      </c>
    </row>
    <row r="1759" spans="1:8" x14ac:dyDescent="0.25">
      <c r="A1759" s="22">
        <v>41897.822916666664</v>
      </c>
      <c r="B1759">
        <v>496</v>
      </c>
      <c r="C1759">
        <v>94.5</v>
      </c>
      <c r="D1759">
        <v>12.9</v>
      </c>
      <c r="E1759">
        <v>8.4</v>
      </c>
      <c r="G1759">
        <v>15</v>
      </c>
      <c r="H1759" s="23">
        <f t="shared" si="63"/>
        <v>19</v>
      </c>
    </row>
    <row r="1760" spans="1:8" x14ac:dyDescent="0.25">
      <c r="A1760" s="22">
        <v>41897.826388888891</v>
      </c>
      <c r="B1760">
        <v>497.7</v>
      </c>
      <c r="C1760">
        <v>94.6</v>
      </c>
      <c r="D1760">
        <v>12.9</v>
      </c>
      <c r="E1760">
        <v>8.4</v>
      </c>
      <c r="G1760">
        <v>15</v>
      </c>
      <c r="H1760" s="23">
        <f t="shared" si="63"/>
        <v>19</v>
      </c>
    </row>
    <row r="1761" spans="1:8" x14ac:dyDescent="0.25">
      <c r="A1761" s="22">
        <v>41897.829861111109</v>
      </c>
      <c r="B1761">
        <v>495.8</v>
      </c>
      <c r="C1761">
        <v>94.5</v>
      </c>
      <c r="D1761">
        <v>12.9</v>
      </c>
      <c r="E1761">
        <v>8.4</v>
      </c>
      <c r="G1761">
        <v>15</v>
      </c>
      <c r="H1761" s="23">
        <f t="shared" si="63"/>
        <v>19</v>
      </c>
    </row>
    <row r="1762" spans="1:8" x14ac:dyDescent="0.25">
      <c r="A1762" s="22">
        <v>41897.833333333336</v>
      </c>
      <c r="B1762">
        <v>497.1</v>
      </c>
      <c r="C1762">
        <v>94.5</v>
      </c>
      <c r="D1762">
        <v>12.9</v>
      </c>
      <c r="E1762">
        <v>8.4</v>
      </c>
      <c r="G1762">
        <v>15</v>
      </c>
      <c r="H1762" s="23">
        <f t="shared" si="63"/>
        <v>20</v>
      </c>
    </row>
    <row r="1763" spans="1:8" x14ac:dyDescent="0.25">
      <c r="A1763" s="22">
        <v>41897.836805555555</v>
      </c>
      <c r="B1763">
        <v>500.4</v>
      </c>
      <c r="C1763">
        <v>94.6</v>
      </c>
      <c r="D1763">
        <v>13</v>
      </c>
      <c r="E1763">
        <v>8.4</v>
      </c>
      <c r="G1763">
        <v>15</v>
      </c>
      <c r="H1763" s="23">
        <f t="shared" si="63"/>
        <v>20</v>
      </c>
    </row>
    <row r="1764" spans="1:8" x14ac:dyDescent="0.25">
      <c r="A1764" s="22">
        <v>41897.840277777781</v>
      </c>
      <c r="B1764">
        <v>499.7</v>
      </c>
      <c r="C1764">
        <v>94.7</v>
      </c>
      <c r="D1764">
        <v>13</v>
      </c>
      <c r="E1764">
        <v>8.5</v>
      </c>
      <c r="G1764">
        <v>15</v>
      </c>
      <c r="H1764" s="23">
        <f t="shared" si="63"/>
        <v>20</v>
      </c>
    </row>
    <row r="1765" spans="1:8" x14ac:dyDescent="0.25">
      <c r="A1765" s="22">
        <v>41897.84375</v>
      </c>
      <c r="B1765">
        <v>497.9</v>
      </c>
      <c r="C1765">
        <v>94.6</v>
      </c>
      <c r="D1765">
        <v>13</v>
      </c>
      <c r="E1765">
        <v>8.5</v>
      </c>
      <c r="G1765">
        <v>15</v>
      </c>
      <c r="H1765" s="23">
        <f t="shared" si="63"/>
        <v>20</v>
      </c>
    </row>
    <row r="1766" spans="1:8" x14ac:dyDescent="0.25">
      <c r="A1766" s="22">
        <v>41897.847222222219</v>
      </c>
      <c r="B1766">
        <v>496</v>
      </c>
      <c r="C1766">
        <v>94.5</v>
      </c>
      <c r="D1766">
        <v>13</v>
      </c>
      <c r="E1766">
        <v>8.5</v>
      </c>
      <c r="G1766">
        <v>15</v>
      </c>
      <c r="H1766" s="23">
        <f t="shared" si="63"/>
        <v>20</v>
      </c>
    </row>
    <row r="1767" spans="1:8" x14ac:dyDescent="0.25">
      <c r="A1767" s="22">
        <v>41897.850694444445</v>
      </c>
      <c r="B1767">
        <v>495.6</v>
      </c>
      <c r="C1767">
        <v>94.5</v>
      </c>
      <c r="D1767">
        <v>13</v>
      </c>
      <c r="E1767">
        <v>8.5</v>
      </c>
      <c r="G1767">
        <v>15</v>
      </c>
      <c r="H1767" s="23">
        <f t="shared" si="63"/>
        <v>20</v>
      </c>
    </row>
    <row r="1768" spans="1:8" x14ac:dyDescent="0.25">
      <c r="A1768" s="22">
        <v>41897.854166666664</v>
      </c>
      <c r="B1768">
        <v>496.6</v>
      </c>
      <c r="C1768">
        <v>94.5</v>
      </c>
      <c r="D1768">
        <v>13</v>
      </c>
      <c r="E1768">
        <v>8.5</v>
      </c>
      <c r="G1768">
        <v>15</v>
      </c>
      <c r="H1768" s="23">
        <f t="shared" si="63"/>
        <v>20</v>
      </c>
    </row>
    <row r="1769" spans="1:8" x14ac:dyDescent="0.25">
      <c r="A1769" s="22">
        <v>41897.857638888891</v>
      </c>
      <c r="B1769">
        <v>496.4</v>
      </c>
      <c r="C1769">
        <v>94.5</v>
      </c>
      <c r="D1769">
        <v>13</v>
      </c>
      <c r="E1769">
        <v>8.5</v>
      </c>
      <c r="G1769">
        <v>15</v>
      </c>
      <c r="H1769" s="23">
        <f t="shared" si="63"/>
        <v>20</v>
      </c>
    </row>
    <row r="1770" spans="1:8" x14ac:dyDescent="0.25">
      <c r="A1770" s="22">
        <v>41897.861111111109</v>
      </c>
      <c r="B1770">
        <v>495.8</v>
      </c>
      <c r="C1770">
        <v>94.5</v>
      </c>
      <c r="D1770">
        <v>13</v>
      </c>
      <c r="E1770">
        <v>8.5</v>
      </c>
      <c r="G1770">
        <v>15</v>
      </c>
      <c r="H1770" s="23">
        <f t="shared" si="63"/>
        <v>20</v>
      </c>
    </row>
    <row r="1771" spans="1:8" x14ac:dyDescent="0.25">
      <c r="A1771" s="22">
        <v>41897.864583333336</v>
      </c>
      <c r="B1771">
        <v>495.4</v>
      </c>
      <c r="C1771">
        <v>94.5</v>
      </c>
      <c r="D1771">
        <v>13.1</v>
      </c>
      <c r="E1771">
        <v>8.6</v>
      </c>
      <c r="G1771">
        <v>15</v>
      </c>
      <c r="H1771" s="23">
        <f t="shared" si="63"/>
        <v>20</v>
      </c>
    </row>
    <row r="1772" spans="1:8" x14ac:dyDescent="0.25">
      <c r="A1772" s="22">
        <v>41897.868055555555</v>
      </c>
      <c r="B1772">
        <v>497.8</v>
      </c>
      <c r="C1772">
        <v>94.6</v>
      </c>
      <c r="D1772">
        <v>13.1</v>
      </c>
      <c r="E1772">
        <v>8.6</v>
      </c>
      <c r="G1772">
        <v>15</v>
      </c>
      <c r="H1772" s="23">
        <f t="shared" si="63"/>
        <v>20</v>
      </c>
    </row>
    <row r="1773" spans="1:8" x14ac:dyDescent="0.25">
      <c r="A1773" s="22">
        <v>41897.871527777781</v>
      </c>
      <c r="B1773">
        <v>498.8</v>
      </c>
      <c r="C1773">
        <v>94.6</v>
      </c>
      <c r="D1773">
        <v>13.1</v>
      </c>
      <c r="E1773">
        <v>8.6</v>
      </c>
      <c r="G1773">
        <v>15</v>
      </c>
      <c r="H1773" s="23">
        <f t="shared" si="63"/>
        <v>20</v>
      </c>
    </row>
    <row r="1774" spans="1:8" x14ac:dyDescent="0.25">
      <c r="A1774" s="22">
        <v>41897.875</v>
      </c>
      <c r="B1774">
        <v>498.4</v>
      </c>
      <c r="C1774">
        <v>94.5</v>
      </c>
      <c r="D1774">
        <v>13.1</v>
      </c>
      <c r="E1774">
        <v>8.6</v>
      </c>
      <c r="G1774">
        <v>15</v>
      </c>
      <c r="H1774" s="23">
        <f t="shared" si="63"/>
        <v>21</v>
      </c>
    </row>
    <row r="1775" spans="1:8" x14ac:dyDescent="0.25">
      <c r="A1775" s="22">
        <v>41897.878472222219</v>
      </c>
      <c r="B1775">
        <v>494.8</v>
      </c>
      <c r="C1775">
        <v>94.5</v>
      </c>
      <c r="D1775">
        <v>13.1</v>
      </c>
      <c r="E1775">
        <v>8.6</v>
      </c>
      <c r="G1775">
        <v>15</v>
      </c>
      <c r="H1775" s="23">
        <f t="shared" si="63"/>
        <v>21</v>
      </c>
    </row>
    <row r="1776" spans="1:8" x14ac:dyDescent="0.25">
      <c r="A1776" s="22">
        <v>41897.881944444445</v>
      </c>
      <c r="B1776">
        <v>496.9</v>
      </c>
      <c r="C1776">
        <v>94.5</v>
      </c>
      <c r="D1776">
        <v>13.1</v>
      </c>
      <c r="E1776">
        <v>8.6</v>
      </c>
      <c r="G1776">
        <v>15</v>
      </c>
      <c r="H1776" s="23">
        <f t="shared" si="63"/>
        <v>21</v>
      </c>
    </row>
    <row r="1777" spans="1:8" x14ac:dyDescent="0.25">
      <c r="A1777" s="22">
        <v>41897.885416666664</v>
      </c>
      <c r="B1777">
        <v>496.4</v>
      </c>
      <c r="C1777">
        <v>94.5</v>
      </c>
      <c r="D1777">
        <v>13.1</v>
      </c>
      <c r="E1777">
        <v>8.6</v>
      </c>
      <c r="G1777">
        <v>15</v>
      </c>
      <c r="H1777" s="23">
        <f t="shared" si="63"/>
        <v>21</v>
      </c>
    </row>
    <row r="1778" spans="1:8" x14ac:dyDescent="0.25">
      <c r="A1778" s="22">
        <v>41897.888888888891</v>
      </c>
      <c r="B1778">
        <v>497.2</v>
      </c>
      <c r="C1778">
        <v>94.5</v>
      </c>
      <c r="D1778">
        <v>13.1</v>
      </c>
      <c r="E1778">
        <v>8.6</v>
      </c>
      <c r="G1778">
        <v>15</v>
      </c>
      <c r="H1778" s="23">
        <f t="shared" si="63"/>
        <v>21</v>
      </c>
    </row>
    <row r="1779" spans="1:8" x14ac:dyDescent="0.25">
      <c r="A1779" s="22">
        <v>41897.892361111109</v>
      </c>
      <c r="B1779">
        <v>493.4</v>
      </c>
      <c r="C1779">
        <v>94.6</v>
      </c>
      <c r="D1779">
        <v>13.2</v>
      </c>
      <c r="E1779">
        <v>8.6999999999999993</v>
      </c>
      <c r="G1779">
        <v>15</v>
      </c>
      <c r="H1779" s="23">
        <f t="shared" si="63"/>
        <v>21</v>
      </c>
    </row>
    <row r="1780" spans="1:8" x14ac:dyDescent="0.25">
      <c r="A1780" s="22">
        <v>41897.895833333336</v>
      </c>
      <c r="B1780">
        <v>494.9</v>
      </c>
      <c r="C1780">
        <v>94.6</v>
      </c>
      <c r="D1780">
        <v>13.2</v>
      </c>
      <c r="E1780">
        <v>8.6999999999999993</v>
      </c>
      <c r="G1780">
        <v>15</v>
      </c>
      <c r="H1780" s="23">
        <f t="shared" si="63"/>
        <v>21</v>
      </c>
    </row>
    <row r="1781" spans="1:8" x14ac:dyDescent="0.25">
      <c r="A1781" s="22">
        <v>41897.899305555555</v>
      </c>
      <c r="B1781">
        <v>495.5</v>
      </c>
      <c r="C1781">
        <v>94.6</v>
      </c>
      <c r="D1781">
        <v>13.1</v>
      </c>
      <c r="E1781">
        <v>8.6</v>
      </c>
      <c r="G1781">
        <v>15</v>
      </c>
      <c r="H1781" s="23">
        <f t="shared" si="63"/>
        <v>21</v>
      </c>
    </row>
    <row r="1782" spans="1:8" x14ac:dyDescent="0.25">
      <c r="A1782" s="22">
        <v>41897.90625</v>
      </c>
      <c r="B1782">
        <v>264.5</v>
      </c>
      <c r="C1782">
        <v>50.6</v>
      </c>
      <c r="D1782">
        <v>13.1</v>
      </c>
      <c r="E1782">
        <v>8.6999999999999993</v>
      </c>
      <c r="G1782">
        <v>15</v>
      </c>
      <c r="H1782" s="23">
        <f t="shared" si="63"/>
        <v>21</v>
      </c>
    </row>
    <row r="1783" spans="1:8" x14ac:dyDescent="0.25">
      <c r="A1783" s="22">
        <v>41897.909722222219</v>
      </c>
      <c r="B1783">
        <v>29.6</v>
      </c>
      <c r="C1783">
        <v>46.8</v>
      </c>
      <c r="D1783">
        <v>13.3</v>
      </c>
      <c r="E1783">
        <v>12.8</v>
      </c>
      <c r="G1783">
        <v>15</v>
      </c>
      <c r="H1783" s="23">
        <f t="shared" si="63"/>
        <v>21</v>
      </c>
    </row>
    <row r="1784" spans="1:8" x14ac:dyDescent="0.25">
      <c r="A1784" s="22">
        <v>41897.913194444445</v>
      </c>
      <c r="B1784">
        <v>83.6</v>
      </c>
      <c r="C1784">
        <v>88.1</v>
      </c>
      <c r="D1784">
        <v>13.2</v>
      </c>
      <c r="E1784">
        <v>12.8</v>
      </c>
      <c r="G1784">
        <v>15</v>
      </c>
      <c r="H1784" s="23">
        <f t="shared" si="63"/>
        <v>21</v>
      </c>
    </row>
    <row r="1785" spans="1:8" x14ac:dyDescent="0.25">
      <c r="A1785" s="22">
        <v>41897.916666666664</v>
      </c>
      <c r="B1785">
        <v>327.5</v>
      </c>
      <c r="C1785">
        <v>94.6</v>
      </c>
      <c r="D1785">
        <v>13.9</v>
      </c>
      <c r="E1785">
        <v>10.9</v>
      </c>
      <c r="G1785">
        <v>15</v>
      </c>
      <c r="H1785" s="23">
        <f t="shared" si="63"/>
        <v>22</v>
      </c>
    </row>
    <row r="1786" spans="1:8" x14ac:dyDescent="0.25">
      <c r="A1786" s="22">
        <v>41897.920138888891</v>
      </c>
      <c r="B1786">
        <v>395.6</v>
      </c>
      <c r="C1786">
        <v>94.6</v>
      </c>
      <c r="D1786">
        <v>14.1</v>
      </c>
      <c r="E1786">
        <v>10.5</v>
      </c>
      <c r="G1786">
        <v>15</v>
      </c>
      <c r="H1786" s="23">
        <f t="shared" si="63"/>
        <v>22</v>
      </c>
    </row>
    <row r="1787" spans="1:8" x14ac:dyDescent="0.25">
      <c r="A1787" s="22">
        <v>41897.923611111109</v>
      </c>
      <c r="B1787">
        <v>362.3</v>
      </c>
      <c r="C1787">
        <v>94.7</v>
      </c>
      <c r="D1787">
        <v>14.6</v>
      </c>
      <c r="E1787">
        <v>11.3</v>
      </c>
      <c r="G1787">
        <v>15</v>
      </c>
      <c r="H1787" s="23">
        <f t="shared" si="63"/>
        <v>22</v>
      </c>
    </row>
    <row r="1788" spans="1:8" x14ac:dyDescent="0.25">
      <c r="A1788" s="22">
        <v>41897.927083333336</v>
      </c>
      <c r="B1788">
        <v>334.9</v>
      </c>
      <c r="C1788">
        <v>94.6</v>
      </c>
      <c r="D1788">
        <v>14.8</v>
      </c>
      <c r="E1788">
        <v>11.7</v>
      </c>
      <c r="G1788">
        <v>15</v>
      </c>
      <c r="H1788" s="23">
        <f t="shared" si="63"/>
        <v>22</v>
      </c>
    </row>
    <row r="1789" spans="1:8" x14ac:dyDescent="0.25">
      <c r="A1789" s="22">
        <v>41897.930555555555</v>
      </c>
      <c r="B1789">
        <v>328</v>
      </c>
      <c r="C1789">
        <v>94.7</v>
      </c>
      <c r="D1789">
        <v>15</v>
      </c>
      <c r="E1789">
        <v>12</v>
      </c>
      <c r="G1789">
        <v>15</v>
      </c>
      <c r="H1789" s="23">
        <f t="shared" si="63"/>
        <v>22</v>
      </c>
    </row>
    <row r="1790" spans="1:8" x14ac:dyDescent="0.25">
      <c r="A1790" s="22">
        <v>41897.934027777781</v>
      </c>
      <c r="B1790">
        <v>327.9</v>
      </c>
      <c r="C1790">
        <v>94.8</v>
      </c>
      <c r="D1790">
        <v>15.2</v>
      </c>
      <c r="E1790">
        <v>12.3</v>
      </c>
      <c r="G1790">
        <v>15</v>
      </c>
      <c r="H1790" s="23">
        <f t="shared" si="63"/>
        <v>22</v>
      </c>
    </row>
    <row r="1791" spans="1:8" x14ac:dyDescent="0.25">
      <c r="A1791" s="22">
        <v>41897.9375</v>
      </c>
      <c r="B1791">
        <v>328</v>
      </c>
      <c r="C1791">
        <v>94.8</v>
      </c>
      <c r="D1791">
        <v>15.5</v>
      </c>
      <c r="E1791">
        <v>12.5</v>
      </c>
      <c r="G1791">
        <v>15</v>
      </c>
      <c r="H1791" s="23">
        <f t="shared" si="63"/>
        <v>22</v>
      </c>
    </row>
    <row r="1792" spans="1:8" x14ac:dyDescent="0.25">
      <c r="A1792" s="22">
        <v>41897.940972222219</v>
      </c>
      <c r="B1792">
        <v>200.2</v>
      </c>
      <c r="C1792">
        <v>94.9</v>
      </c>
      <c r="D1792">
        <v>15.8</v>
      </c>
      <c r="E1792">
        <v>14</v>
      </c>
      <c r="G1792">
        <v>15</v>
      </c>
      <c r="H1792" s="23">
        <f t="shared" si="63"/>
        <v>22</v>
      </c>
    </row>
    <row r="1793" spans="1:8" x14ac:dyDescent="0.25">
      <c r="A1793" s="22">
        <v>41897.944444444445</v>
      </c>
      <c r="B1793">
        <v>229.6</v>
      </c>
      <c r="C1793">
        <v>95</v>
      </c>
      <c r="D1793">
        <v>16.100000000000001</v>
      </c>
      <c r="E1793">
        <v>14</v>
      </c>
      <c r="G1793">
        <v>15</v>
      </c>
      <c r="H1793" s="23">
        <f t="shared" si="63"/>
        <v>22</v>
      </c>
    </row>
    <row r="1794" spans="1:8" x14ac:dyDescent="0.25">
      <c r="A1794" s="22">
        <v>41897.947916666664</v>
      </c>
      <c r="B1794">
        <v>131</v>
      </c>
      <c r="C1794">
        <v>95.1</v>
      </c>
      <c r="D1794">
        <v>16.399999999999999</v>
      </c>
      <c r="E1794">
        <v>15.7</v>
      </c>
      <c r="G1794">
        <v>15</v>
      </c>
      <c r="H1794" s="23">
        <f t="shared" si="63"/>
        <v>22</v>
      </c>
    </row>
    <row r="1795" spans="1:8" x14ac:dyDescent="0.25">
      <c r="A1795" s="22">
        <v>41897.951388888891</v>
      </c>
      <c r="B1795">
        <v>83.1</v>
      </c>
      <c r="C1795">
        <v>95.2</v>
      </c>
      <c r="D1795">
        <v>16.7</v>
      </c>
      <c r="E1795">
        <v>16.2</v>
      </c>
      <c r="G1795">
        <v>15</v>
      </c>
      <c r="H1795" s="23">
        <f t="shared" si="63"/>
        <v>22</v>
      </c>
    </row>
    <row r="1796" spans="1:8" x14ac:dyDescent="0.25">
      <c r="A1796" s="22">
        <v>41897.954861111109</v>
      </c>
      <c r="B1796">
        <v>140.1</v>
      </c>
      <c r="C1796">
        <v>95.4</v>
      </c>
      <c r="D1796">
        <v>16.7</v>
      </c>
      <c r="E1796">
        <v>16.100000000000001</v>
      </c>
      <c r="G1796">
        <v>15</v>
      </c>
      <c r="H1796" s="23">
        <f t="shared" si="63"/>
        <v>22</v>
      </c>
    </row>
    <row r="1797" spans="1:8" x14ac:dyDescent="0.25">
      <c r="A1797" s="22">
        <v>41897.958333333336</v>
      </c>
      <c r="B1797">
        <v>156.9</v>
      </c>
      <c r="C1797">
        <v>95.5</v>
      </c>
      <c r="D1797">
        <v>16.899999999999999</v>
      </c>
      <c r="E1797">
        <v>15.5</v>
      </c>
      <c r="G1797">
        <v>15</v>
      </c>
      <c r="H1797" s="23">
        <f t="shared" si="63"/>
        <v>23</v>
      </c>
    </row>
    <row r="1798" spans="1:8" x14ac:dyDescent="0.25">
      <c r="A1798" s="22">
        <v>41897.961805555555</v>
      </c>
      <c r="B1798">
        <v>420.8</v>
      </c>
      <c r="C1798">
        <v>95.2</v>
      </c>
      <c r="D1798">
        <v>17.100000000000001</v>
      </c>
      <c r="E1798">
        <v>13.3</v>
      </c>
      <c r="G1798">
        <v>15</v>
      </c>
      <c r="H1798" s="23">
        <f t="shared" ref="H1798:H1861" si="64">+HOUR(A1798)</f>
        <v>23</v>
      </c>
    </row>
    <row r="1799" spans="1:8" x14ac:dyDescent="0.25">
      <c r="A1799" s="22">
        <v>41897.965277777781</v>
      </c>
      <c r="B1799">
        <v>547.9</v>
      </c>
      <c r="C1799">
        <v>95.1</v>
      </c>
      <c r="D1799">
        <v>17.399999999999999</v>
      </c>
      <c r="E1799">
        <v>12.4</v>
      </c>
      <c r="G1799">
        <v>15</v>
      </c>
      <c r="H1799" s="23">
        <f t="shared" si="64"/>
        <v>23</v>
      </c>
    </row>
    <row r="1800" spans="1:8" x14ac:dyDescent="0.25">
      <c r="A1800" s="22">
        <v>41897.96875</v>
      </c>
      <c r="B1800">
        <v>550.70000000000005</v>
      </c>
      <c r="C1800">
        <v>95.1</v>
      </c>
      <c r="D1800">
        <v>17.5</v>
      </c>
      <c r="E1800">
        <v>12.6</v>
      </c>
      <c r="G1800">
        <v>15</v>
      </c>
      <c r="H1800" s="23">
        <f t="shared" si="64"/>
        <v>23</v>
      </c>
    </row>
    <row r="1801" spans="1:8" x14ac:dyDescent="0.25">
      <c r="A1801" s="22">
        <v>41897.972222222219</v>
      </c>
      <c r="B1801">
        <v>544.79999999999995</v>
      </c>
      <c r="C1801">
        <v>95.1</v>
      </c>
      <c r="D1801">
        <v>17.3</v>
      </c>
      <c r="E1801">
        <v>12.4</v>
      </c>
      <c r="G1801">
        <v>15</v>
      </c>
      <c r="H1801" s="23">
        <f t="shared" si="64"/>
        <v>23</v>
      </c>
    </row>
    <row r="1802" spans="1:8" x14ac:dyDescent="0.25">
      <c r="A1802" s="22">
        <v>41897.975694444445</v>
      </c>
      <c r="B1802">
        <v>539.4</v>
      </c>
      <c r="C1802">
        <v>94.9</v>
      </c>
      <c r="D1802">
        <v>16.8</v>
      </c>
      <c r="E1802">
        <v>11.9</v>
      </c>
      <c r="G1802">
        <v>15</v>
      </c>
      <c r="H1802" s="23">
        <f t="shared" si="64"/>
        <v>23</v>
      </c>
    </row>
    <row r="1803" spans="1:8" x14ac:dyDescent="0.25">
      <c r="A1803" s="22">
        <v>41897.979166666664</v>
      </c>
      <c r="B1803">
        <v>537.79999999999995</v>
      </c>
      <c r="C1803">
        <v>95</v>
      </c>
      <c r="D1803">
        <v>16.399999999999999</v>
      </c>
      <c r="E1803">
        <v>11.5</v>
      </c>
      <c r="G1803">
        <v>15</v>
      </c>
      <c r="H1803" s="23">
        <f t="shared" si="64"/>
        <v>23</v>
      </c>
    </row>
    <row r="1804" spans="1:8" x14ac:dyDescent="0.25">
      <c r="A1804" s="22">
        <v>41897.982638888891</v>
      </c>
      <c r="B1804">
        <v>534.9</v>
      </c>
      <c r="C1804">
        <v>95</v>
      </c>
      <c r="D1804">
        <v>16.100000000000001</v>
      </c>
      <c r="E1804">
        <v>11.3</v>
      </c>
      <c r="G1804">
        <v>15</v>
      </c>
      <c r="H1804" s="23">
        <f t="shared" si="64"/>
        <v>23</v>
      </c>
    </row>
    <row r="1805" spans="1:8" x14ac:dyDescent="0.25">
      <c r="A1805" s="22">
        <v>41897.986111111109</v>
      </c>
      <c r="B1805">
        <v>530.20000000000005</v>
      </c>
      <c r="C1805">
        <v>94.8</v>
      </c>
      <c r="D1805">
        <v>15.9</v>
      </c>
      <c r="E1805">
        <v>11.1</v>
      </c>
      <c r="G1805">
        <v>15</v>
      </c>
      <c r="H1805" s="23">
        <f t="shared" si="64"/>
        <v>23</v>
      </c>
    </row>
    <row r="1806" spans="1:8" x14ac:dyDescent="0.25">
      <c r="A1806" s="22">
        <v>41897.989583333336</v>
      </c>
      <c r="B1806">
        <v>527.4</v>
      </c>
      <c r="C1806">
        <v>94.8</v>
      </c>
      <c r="D1806">
        <v>15.7</v>
      </c>
      <c r="E1806">
        <v>10.9</v>
      </c>
      <c r="G1806">
        <v>15</v>
      </c>
      <c r="H1806" s="23">
        <f t="shared" si="64"/>
        <v>23</v>
      </c>
    </row>
    <row r="1807" spans="1:8" x14ac:dyDescent="0.25">
      <c r="A1807" s="22">
        <v>41897.993055555555</v>
      </c>
      <c r="B1807">
        <v>524.79999999999995</v>
      </c>
      <c r="C1807">
        <v>94.9</v>
      </c>
      <c r="D1807">
        <v>15.4</v>
      </c>
      <c r="E1807">
        <v>10.7</v>
      </c>
      <c r="G1807">
        <v>15</v>
      </c>
      <c r="H1807" s="23">
        <f t="shared" si="64"/>
        <v>23</v>
      </c>
    </row>
    <row r="1808" spans="1:8" x14ac:dyDescent="0.25">
      <c r="A1808" s="22">
        <v>41897.996527777781</v>
      </c>
      <c r="B1808">
        <v>523.6</v>
      </c>
      <c r="C1808">
        <v>94.8</v>
      </c>
      <c r="D1808">
        <v>15.2</v>
      </c>
      <c r="E1808">
        <v>10.4</v>
      </c>
      <c r="G1808">
        <v>15</v>
      </c>
      <c r="H1808" s="23">
        <f t="shared" si="64"/>
        <v>23</v>
      </c>
    </row>
    <row r="1809" spans="1:8" x14ac:dyDescent="0.25">
      <c r="A1809" s="22">
        <v>41898</v>
      </c>
      <c r="B1809">
        <v>520.70000000000005</v>
      </c>
      <c r="C1809">
        <v>94.7</v>
      </c>
      <c r="D1809">
        <v>15</v>
      </c>
      <c r="E1809">
        <v>10.3</v>
      </c>
      <c r="G1809">
        <v>16</v>
      </c>
      <c r="H1809" s="23">
        <f t="shared" si="64"/>
        <v>0</v>
      </c>
    </row>
    <row r="1810" spans="1:8" x14ac:dyDescent="0.25">
      <c r="A1810" s="22">
        <v>41898.003472222219</v>
      </c>
      <c r="B1810">
        <v>520.29999999999995</v>
      </c>
      <c r="C1810">
        <v>94.7</v>
      </c>
      <c r="D1810">
        <v>14.8</v>
      </c>
      <c r="E1810">
        <v>10</v>
      </c>
      <c r="G1810">
        <v>16</v>
      </c>
      <c r="H1810" s="23">
        <f t="shared" si="64"/>
        <v>0</v>
      </c>
    </row>
    <row r="1811" spans="1:8" x14ac:dyDescent="0.25">
      <c r="A1811" s="22">
        <v>41898.006944444445</v>
      </c>
      <c r="B1811">
        <v>518.29999999999995</v>
      </c>
      <c r="C1811">
        <v>94.6</v>
      </c>
      <c r="D1811">
        <v>14.6</v>
      </c>
      <c r="E1811">
        <v>9.9</v>
      </c>
      <c r="G1811">
        <v>16</v>
      </c>
      <c r="H1811" s="23">
        <f t="shared" si="64"/>
        <v>0</v>
      </c>
    </row>
    <row r="1812" spans="1:8" x14ac:dyDescent="0.25">
      <c r="A1812" s="22">
        <v>41898.010416666664</v>
      </c>
      <c r="B1812">
        <v>516.79999999999995</v>
      </c>
      <c r="C1812">
        <v>94.7</v>
      </c>
      <c r="D1812">
        <v>14.4</v>
      </c>
      <c r="E1812">
        <v>9.8000000000000007</v>
      </c>
      <c r="G1812">
        <v>16</v>
      </c>
      <c r="H1812" s="23">
        <f t="shared" si="64"/>
        <v>0</v>
      </c>
    </row>
    <row r="1813" spans="1:8" x14ac:dyDescent="0.25">
      <c r="A1813" s="22">
        <v>41898.013888888891</v>
      </c>
      <c r="B1813">
        <v>515.29999999999995</v>
      </c>
      <c r="C1813">
        <v>94.7</v>
      </c>
      <c r="D1813">
        <v>14.3</v>
      </c>
      <c r="E1813">
        <v>9.6</v>
      </c>
      <c r="G1813">
        <v>16</v>
      </c>
      <c r="H1813" s="23">
        <f t="shared" si="64"/>
        <v>0</v>
      </c>
    </row>
    <row r="1814" spans="1:8" x14ac:dyDescent="0.25">
      <c r="A1814" s="22">
        <v>41898.017361111109</v>
      </c>
      <c r="B1814">
        <v>512.6</v>
      </c>
      <c r="C1814">
        <v>94.5</v>
      </c>
      <c r="D1814">
        <v>14.1</v>
      </c>
      <c r="E1814">
        <v>9.4</v>
      </c>
      <c r="G1814">
        <v>16</v>
      </c>
      <c r="H1814" s="23">
        <f t="shared" si="64"/>
        <v>0</v>
      </c>
    </row>
    <row r="1815" spans="1:8" x14ac:dyDescent="0.25">
      <c r="A1815" s="22">
        <v>41898.020833333336</v>
      </c>
      <c r="B1815">
        <v>510.4</v>
      </c>
      <c r="C1815">
        <v>94.5</v>
      </c>
      <c r="D1815">
        <v>13.9</v>
      </c>
      <c r="E1815">
        <v>9.3000000000000007</v>
      </c>
      <c r="G1815">
        <v>16</v>
      </c>
      <c r="H1815" s="23">
        <f t="shared" si="64"/>
        <v>0</v>
      </c>
    </row>
    <row r="1816" spans="1:8" x14ac:dyDescent="0.25">
      <c r="A1816" s="22">
        <v>41898.024305555555</v>
      </c>
      <c r="B1816">
        <v>509.6</v>
      </c>
      <c r="C1816">
        <v>94.5</v>
      </c>
      <c r="D1816">
        <v>13.8</v>
      </c>
      <c r="E1816">
        <v>9.1999999999999993</v>
      </c>
      <c r="G1816">
        <v>16</v>
      </c>
      <c r="H1816" s="23">
        <f t="shared" si="64"/>
        <v>0</v>
      </c>
    </row>
    <row r="1817" spans="1:8" x14ac:dyDescent="0.25">
      <c r="A1817" s="22">
        <v>41898.027777777781</v>
      </c>
      <c r="B1817">
        <v>508.9</v>
      </c>
      <c r="C1817">
        <v>94.5</v>
      </c>
      <c r="D1817">
        <v>13.7</v>
      </c>
      <c r="E1817">
        <v>9.1</v>
      </c>
      <c r="G1817">
        <v>16</v>
      </c>
      <c r="H1817" s="23">
        <f t="shared" si="64"/>
        <v>0</v>
      </c>
    </row>
    <row r="1818" spans="1:8" x14ac:dyDescent="0.25">
      <c r="A1818" s="22">
        <v>41898.03125</v>
      </c>
      <c r="B1818">
        <v>507.7</v>
      </c>
      <c r="C1818">
        <v>94.4</v>
      </c>
      <c r="D1818">
        <v>13.5</v>
      </c>
      <c r="E1818">
        <v>8.9</v>
      </c>
      <c r="G1818">
        <v>16</v>
      </c>
      <c r="H1818" s="23">
        <f t="shared" si="64"/>
        <v>0</v>
      </c>
    </row>
    <row r="1819" spans="1:8" x14ac:dyDescent="0.25">
      <c r="A1819" s="22">
        <v>41898.034722222219</v>
      </c>
      <c r="B1819">
        <v>505.6</v>
      </c>
      <c r="C1819">
        <v>94.4</v>
      </c>
      <c r="D1819">
        <v>13.4</v>
      </c>
      <c r="E1819">
        <v>8.8000000000000007</v>
      </c>
      <c r="G1819">
        <v>16</v>
      </c>
      <c r="H1819" s="23">
        <f t="shared" si="64"/>
        <v>0</v>
      </c>
    </row>
    <row r="1820" spans="1:8" x14ac:dyDescent="0.25">
      <c r="A1820" s="22">
        <v>41898.038194444445</v>
      </c>
      <c r="B1820">
        <v>504.3</v>
      </c>
      <c r="C1820">
        <v>94.4</v>
      </c>
      <c r="D1820">
        <v>13.3</v>
      </c>
      <c r="E1820">
        <v>8.6999999999999993</v>
      </c>
      <c r="G1820">
        <v>16</v>
      </c>
      <c r="H1820" s="23">
        <f t="shared" si="64"/>
        <v>0</v>
      </c>
    </row>
    <row r="1821" spans="1:8" x14ac:dyDescent="0.25">
      <c r="A1821" s="22">
        <v>41898.041666666664</v>
      </c>
      <c r="B1821">
        <v>502.8</v>
      </c>
      <c r="C1821">
        <v>94.4</v>
      </c>
      <c r="D1821">
        <v>13.1</v>
      </c>
      <c r="E1821">
        <v>8.6</v>
      </c>
      <c r="G1821">
        <v>16</v>
      </c>
      <c r="H1821" s="23">
        <f t="shared" si="64"/>
        <v>1</v>
      </c>
    </row>
    <row r="1822" spans="1:8" x14ac:dyDescent="0.25">
      <c r="A1822" s="22">
        <v>41898.045138888891</v>
      </c>
      <c r="B1822">
        <v>500.9</v>
      </c>
      <c r="C1822">
        <v>94.4</v>
      </c>
      <c r="D1822">
        <v>13</v>
      </c>
      <c r="E1822">
        <v>8.5</v>
      </c>
      <c r="G1822">
        <v>16</v>
      </c>
      <c r="H1822" s="23">
        <f t="shared" si="64"/>
        <v>1</v>
      </c>
    </row>
    <row r="1823" spans="1:8" x14ac:dyDescent="0.25">
      <c r="A1823" s="22">
        <v>41898.048611111109</v>
      </c>
      <c r="B1823">
        <v>495.1</v>
      </c>
      <c r="C1823">
        <v>94.3</v>
      </c>
      <c r="D1823">
        <v>12.9</v>
      </c>
      <c r="E1823">
        <v>8.4</v>
      </c>
      <c r="G1823">
        <v>16</v>
      </c>
      <c r="H1823" s="23">
        <f t="shared" si="64"/>
        <v>1</v>
      </c>
    </row>
    <row r="1824" spans="1:8" x14ac:dyDescent="0.25">
      <c r="A1824" s="22">
        <v>41898.052083333336</v>
      </c>
      <c r="B1824">
        <v>487.3</v>
      </c>
      <c r="C1824">
        <v>94.4</v>
      </c>
      <c r="D1824">
        <v>12.8</v>
      </c>
      <c r="E1824">
        <v>8.4</v>
      </c>
      <c r="G1824">
        <v>16</v>
      </c>
      <c r="H1824" s="23">
        <f t="shared" si="64"/>
        <v>1</v>
      </c>
    </row>
    <row r="1825" spans="1:8" x14ac:dyDescent="0.25">
      <c r="A1825" s="22">
        <v>41898.055555555555</v>
      </c>
      <c r="B1825">
        <v>486</v>
      </c>
      <c r="C1825">
        <v>94.4</v>
      </c>
      <c r="D1825">
        <v>12.7</v>
      </c>
      <c r="E1825">
        <v>8.3000000000000007</v>
      </c>
      <c r="G1825">
        <v>16</v>
      </c>
      <c r="H1825" s="23">
        <f t="shared" si="64"/>
        <v>1</v>
      </c>
    </row>
    <row r="1826" spans="1:8" x14ac:dyDescent="0.25">
      <c r="A1826" s="22">
        <v>41898.059027777781</v>
      </c>
      <c r="B1826">
        <v>485.3</v>
      </c>
      <c r="C1826">
        <v>94.4</v>
      </c>
      <c r="D1826">
        <v>12.6</v>
      </c>
      <c r="E1826">
        <v>8.1999999999999993</v>
      </c>
      <c r="G1826">
        <v>16</v>
      </c>
      <c r="H1826" s="23">
        <f t="shared" si="64"/>
        <v>1</v>
      </c>
    </row>
    <row r="1827" spans="1:8" x14ac:dyDescent="0.25">
      <c r="A1827" s="22">
        <v>41898.0625</v>
      </c>
      <c r="B1827">
        <v>484.2</v>
      </c>
      <c r="C1827">
        <v>94.3</v>
      </c>
      <c r="D1827">
        <v>12.5</v>
      </c>
      <c r="E1827">
        <v>8.1</v>
      </c>
      <c r="G1827">
        <v>16</v>
      </c>
      <c r="H1827" s="23">
        <f t="shared" si="64"/>
        <v>1</v>
      </c>
    </row>
    <row r="1828" spans="1:8" x14ac:dyDescent="0.25">
      <c r="A1828" s="22">
        <v>41898.065972222219</v>
      </c>
      <c r="B1828">
        <v>482.8</v>
      </c>
      <c r="C1828">
        <v>94.3</v>
      </c>
      <c r="D1828">
        <v>12.4</v>
      </c>
      <c r="E1828">
        <v>8</v>
      </c>
      <c r="G1828">
        <v>16</v>
      </c>
      <c r="H1828" s="23">
        <f t="shared" si="64"/>
        <v>1</v>
      </c>
    </row>
    <row r="1829" spans="1:8" x14ac:dyDescent="0.25">
      <c r="A1829" s="22">
        <v>41898.069444444445</v>
      </c>
      <c r="B1829">
        <v>483</v>
      </c>
      <c r="C1829">
        <v>94.4</v>
      </c>
      <c r="D1829">
        <v>12.3</v>
      </c>
      <c r="E1829">
        <v>7.9</v>
      </c>
      <c r="G1829">
        <v>16</v>
      </c>
      <c r="H1829" s="23">
        <f t="shared" si="64"/>
        <v>1</v>
      </c>
    </row>
    <row r="1830" spans="1:8" x14ac:dyDescent="0.25">
      <c r="A1830" s="22">
        <v>41898.072916666664</v>
      </c>
      <c r="B1830">
        <v>483.7</v>
      </c>
      <c r="C1830">
        <v>94.3</v>
      </c>
      <c r="D1830">
        <v>12.3</v>
      </c>
      <c r="E1830">
        <v>7.9</v>
      </c>
      <c r="G1830">
        <v>16</v>
      </c>
      <c r="H1830" s="23">
        <f t="shared" si="64"/>
        <v>1</v>
      </c>
    </row>
    <row r="1831" spans="1:8" x14ac:dyDescent="0.25">
      <c r="A1831" s="22">
        <v>41898.076388888891</v>
      </c>
      <c r="B1831">
        <v>483.4</v>
      </c>
      <c r="C1831">
        <v>94.2</v>
      </c>
      <c r="D1831">
        <v>12.2</v>
      </c>
      <c r="E1831">
        <v>7.8</v>
      </c>
      <c r="G1831">
        <v>16</v>
      </c>
      <c r="H1831" s="23">
        <f t="shared" si="64"/>
        <v>1</v>
      </c>
    </row>
    <row r="1832" spans="1:8" x14ac:dyDescent="0.25">
      <c r="A1832" s="22">
        <v>41898.079861111109</v>
      </c>
      <c r="B1832">
        <v>484.2</v>
      </c>
      <c r="C1832">
        <v>94.2</v>
      </c>
      <c r="D1832">
        <v>12.1</v>
      </c>
      <c r="E1832">
        <v>7.7</v>
      </c>
      <c r="G1832">
        <v>16</v>
      </c>
      <c r="H1832" s="23">
        <f t="shared" si="64"/>
        <v>1</v>
      </c>
    </row>
    <row r="1833" spans="1:8" x14ac:dyDescent="0.25">
      <c r="A1833" s="22">
        <v>41898.083333333336</v>
      </c>
      <c r="B1833">
        <v>485.6</v>
      </c>
      <c r="C1833">
        <v>94.2</v>
      </c>
      <c r="D1833">
        <v>12</v>
      </c>
      <c r="E1833">
        <v>7.6</v>
      </c>
      <c r="G1833">
        <v>16</v>
      </c>
      <c r="H1833" s="23">
        <f t="shared" si="64"/>
        <v>2</v>
      </c>
    </row>
    <row r="1834" spans="1:8" x14ac:dyDescent="0.25">
      <c r="A1834" s="22">
        <v>41898.086805555555</v>
      </c>
      <c r="B1834">
        <v>484.6</v>
      </c>
      <c r="C1834">
        <v>94.2</v>
      </c>
      <c r="D1834">
        <v>11.9</v>
      </c>
      <c r="E1834">
        <v>7.5</v>
      </c>
      <c r="G1834">
        <v>16</v>
      </c>
      <c r="H1834" s="23">
        <f t="shared" si="64"/>
        <v>2</v>
      </c>
    </row>
    <row r="1835" spans="1:8" x14ac:dyDescent="0.25">
      <c r="A1835" s="22">
        <v>41898.090277777781</v>
      </c>
      <c r="B1835">
        <v>482.8</v>
      </c>
      <c r="C1835">
        <v>94.1</v>
      </c>
      <c r="D1835">
        <v>11.8</v>
      </c>
      <c r="E1835">
        <v>7.4</v>
      </c>
      <c r="G1835">
        <v>16</v>
      </c>
      <c r="H1835" s="23">
        <f t="shared" si="64"/>
        <v>2</v>
      </c>
    </row>
    <row r="1836" spans="1:8" x14ac:dyDescent="0.25">
      <c r="A1836" s="22">
        <v>41898.09375</v>
      </c>
      <c r="B1836">
        <v>483.6</v>
      </c>
      <c r="C1836">
        <v>94.2</v>
      </c>
      <c r="D1836">
        <v>11.8</v>
      </c>
      <c r="E1836">
        <v>7.3</v>
      </c>
      <c r="G1836">
        <v>16</v>
      </c>
      <c r="H1836" s="23">
        <f t="shared" si="64"/>
        <v>2</v>
      </c>
    </row>
    <row r="1837" spans="1:8" x14ac:dyDescent="0.25">
      <c r="A1837" s="22">
        <v>41898.097222222219</v>
      </c>
      <c r="B1837">
        <v>482.7</v>
      </c>
      <c r="C1837">
        <v>94.2</v>
      </c>
      <c r="D1837">
        <v>11.6</v>
      </c>
      <c r="E1837">
        <v>7.2</v>
      </c>
      <c r="G1837">
        <v>16</v>
      </c>
      <c r="H1837" s="23">
        <f t="shared" si="64"/>
        <v>2</v>
      </c>
    </row>
    <row r="1838" spans="1:8" x14ac:dyDescent="0.25">
      <c r="A1838" s="22">
        <v>41898.100694444445</v>
      </c>
      <c r="B1838">
        <v>481.6</v>
      </c>
      <c r="C1838">
        <v>94.2</v>
      </c>
      <c r="D1838">
        <v>11.5</v>
      </c>
      <c r="E1838">
        <v>7.2</v>
      </c>
      <c r="G1838">
        <v>16</v>
      </c>
      <c r="H1838" s="23">
        <f t="shared" si="64"/>
        <v>2</v>
      </c>
    </row>
    <row r="1839" spans="1:8" x14ac:dyDescent="0.25">
      <c r="A1839" s="22">
        <v>41898.104166666664</v>
      </c>
      <c r="B1839">
        <v>480.3</v>
      </c>
      <c r="C1839">
        <v>94.1</v>
      </c>
      <c r="D1839">
        <v>11.5</v>
      </c>
      <c r="E1839">
        <v>7.1</v>
      </c>
      <c r="G1839">
        <v>16</v>
      </c>
      <c r="H1839" s="23">
        <f t="shared" si="64"/>
        <v>2</v>
      </c>
    </row>
    <row r="1840" spans="1:8" x14ac:dyDescent="0.25">
      <c r="A1840" s="22">
        <v>41898.107638888891</v>
      </c>
      <c r="B1840">
        <v>479.8</v>
      </c>
      <c r="C1840">
        <v>94.1</v>
      </c>
      <c r="D1840">
        <v>11.4</v>
      </c>
      <c r="E1840">
        <v>7</v>
      </c>
      <c r="G1840">
        <v>16</v>
      </c>
      <c r="H1840" s="23">
        <f t="shared" si="64"/>
        <v>2</v>
      </c>
    </row>
    <row r="1841" spans="1:8" x14ac:dyDescent="0.25">
      <c r="A1841" s="22">
        <v>41898.111111111109</v>
      </c>
      <c r="B1841">
        <v>479.2</v>
      </c>
      <c r="C1841">
        <v>94.1</v>
      </c>
      <c r="D1841">
        <v>11.3</v>
      </c>
      <c r="E1841">
        <v>6.9</v>
      </c>
      <c r="G1841">
        <v>16</v>
      </c>
      <c r="H1841" s="23">
        <f t="shared" si="64"/>
        <v>2</v>
      </c>
    </row>
    <row r="1842" spans="1:8" x14ac:dyDescent="0.25">
      <c r="A1842" s="22">
        <v>41898.114583333336</v>
      </c>
      <c r="B1842">
        <v>479.6</v>
      </c>
      <c r="C1842">
        <v>94.2</v>
      </c>
      <c r="D1842">
        <v>11.2</v>
      </c>
      <c r="E1842">
        <v>6.9</v>
      </c>
      <c r="G1842">
        <v>16</v>
      </c>
      <c r="H1842" s="23">
        <f t="shared" si="64"/>
        <v>2</v>
      </c>
    </row>
    <row r="1843" spans="1:8" x14ac:dyDescent="0.25">
      <c r="A1843" s="22">
        <v>41898.118055555555</v>
      </c>
      <c r="B1843">
        <v>478.4</v>
      </c>
      <c r="C1843">
        <v>94.2</v>
      </c>
      <c r="D1843">
        <v>11.1</v>
      </c>
      <c r="E1843">
        <v>6.8</v>
      </c>
      <c r="G1843">
        <v>16</v>
      </c>
      <c r="H1843" s="23">
        <f t="shared" si="64"/>
        <v>2</v>
      </c>
    </row>
    <row r="1844" spans="1:8" x14ac:dyDescent="0.25">
      <c r="A1844" s="22">
        <v>41898.121527777781</v>
      </c>
      <c r="B1844">
        <v>477.5</v>
      </c>
      <c r="C1844">
        <v>94.2</v>
      </c>
      <c r="D1844">
        <v>11.1</v>
      </c>
      <c r="E1844">
        <v>6.7</v>
      </c>
      <c r="G1844">
        <v>16</v>
      </c>
      <c r="H1844" s="23">
        <f t="shared" si="64"/>
        <v>2</v>
      </c>
    </row>
    <row r="1845" spans="1:8" x14ac:dyDescent="0.25">
      <c r="A1845" s="22">
        <v>41898.125</v>
      </c>
      <c r="B1845">
        <v>476.4</v>
      </c>
      <c r="C1845">
        <v>94.1</v>
      </c>
      <c r="D1845">
        <v>11</v>
      </c>
      <c r="E1845">
        <v>6.6</v>
      </c>
      <c r="G1845">
        <v>16</v>
      </c>
      <c r="H1845" s="23">
        <f t="shared" si="64"/>
        <v>3</v>
      </c>
    </row>
    <row r="1846" spans="1:8" x14ac:dyDescent="0.25">
      <c r="A1846" s="22">
        <v>41898.128472222219</v>
      </c>
      <c r="B1846">
        <v>475</v>
      </c>
      <c r="C1846">
        <v>94.2</v>
      </c>
      <c r="D1846">
        <v>10.9</v>
      </c>
      <c r="E1846">
        <v>6.6</v>
      </c>
      <c r="G1846">
        <v>16</v>
      </c>
      <c r="H1846" s="23">
        <f t="shared" si="64"/>
        <v>3</v>
      </c>
    </row>
    <row r="1847" spans="1:8" x14ac:dyDescent="0.25">
      <c r="A1847" s="22">
        <v>41898.131944444445</v>
      </c>
      <c r="B1847">
        <v>475</v>
      </c>
      <c r="C1847">
        <v>94.1</v>
      </c>
      <c r="D1847">
        <v>10.9</v>
      </c>
      <c r="E1847">
        <v>6.5</v>
      </c>
      <c r="G1847">
        <v>16</v>
      </c>
      <c r="H1847" s="23">
        <f t="shared" si="64"/>
        <v>3</v>
      </c>
    </row>
    <row r="1848" spans="1:8" x14ac:dyDescent="0.25">
      <c r="A1848" s="22">
        <v>41898.135416666664</v>
      </c>
      <c r="B1848">
        <v>474.3</v>
      </c>
      <c r="C1848">
        <v>94.1</v>
      </c>
      <c r="D1848">
        <v>10.8</v>
      </c>
      <c r="E1848">
        <v>6.5</v>
      </c>
      <c r="G1848">
        <v>16</v>
      </c>
      <c r="H1848" s="23">
        <f t="shared" si="64"/>
        <v>3</v>
      </c>
    </row>
    <row r="1849" spans="1:8" x14ac:dyDescent="0.25">
      <c r="A1849" s="22">
        <v>41898.138888888891</v>
      </c>
      <c r="B1849">
        <v>473.4</v>
      </c>
      <c r="C1849">
        <v>94.1</v>
      </c>
      <c r="D1849">
        <v>10.7</v>
      </c>
      <c r="E1849">
        <v>6.4</v>
      </c>
      <c r="G1849">
        <v>16</v>
      </c>
      <c r="H1849" s="23">
        <f t="shared" si="64"/>
        <v>3</v>
      </c>
    </row>
    <row r="1850" spans="1:8" x14ac:dyDescent="0.25">
      <c r="A1850" s="22">
        <v>41898.142361111109</v>
      </c>
      <c r="B1850">
        <v>471.1</v>
      </c>
      <c r="C1850">
        <v>94</v>
      </c>
      <c r="D1850">
        <v>10.6</v>
      </c>
      <c r="E1850">
        <v>6.4</v>
      </c>
      <c r="G1850">
        <v>16</v>
      </c>
      <c r="H1850" s="23">
        <f t="shared" si="64"/>
        <v>3</v>
      </c>
    </row>
    <row r="1851" spans="1:8" x14ac:dyDescent="0.25">
      <c r="A1851" s="22">
        <v>41898.145833333336</v>
      </c>
      <c r="B1851">
        <v>472.7</v>
      </c>
      <c r="C1851">
        <v>94.1</v>
      </c>
      <c r="D1851">
        <v>10.6</v>
      </c>
      <c r="E1851">
        <v>6.3</v>
      </c>
      <c r="G1851">
        <v>16</v>
      </c>
      <c r="H1851" s="23">
        <f t="shared" si="64"/>
        <v>3</v>
      </c>
    </row>
    <row r="1852" spans="1:8" x14ac:dyDescent="0.25">
      <c r="A1852" s="22">
        <v>41898.149305555555</v>
      </c>
      <c r="B1852">
        <v>471.2</v>
      </c>
      <c r="C1852">
        <v>94</v>
      </c>
      <c r="D1852">
        <v>10.5</v>
      </c>
      <c r="E1852">
        <v>6.2</v>
      </c>
      <c r="G1852">
        <v>16</v>
      </c>
      <c r="H1852" s="23">
        <f t="shared" si="64"/>
        <v>3</v>
      </c>
    </row>
    <row r="1853" spans="1:8" x14ac:dyDescent="0.25">
      <c r="A1853" s="22">
        <v>41898.152777777781</v>
      </c>
      <c r="B1853">
        <v>469.5</v>
      </c>
      <c r="C1853">
        <v>94</v>
      </c>
      <c r="D1853">
        <v>10.5</v>
      </c>
      <c r="E1853">
        <v>6.2</v>
      </c>
      <c r="G1853">
        <v>16</v>
      </c>
      <c r="H1853" s="23">
        <f t="shared" si="64"/>
        <v>3</v>
      </c>
    </row>
    <row r="1854" spans="1:8" x14ac:dyDescent="0.25">
      <c r="A1854" s="22">
        <v>41898.15625</v>
      </c>
      <c r="B1854">
        <v>467.6</v>
      </c>
      <c r="C1854">
        <v>93.9</v>
      </c>
      <c r="D1854">
        <v>10.4</v>
      </c>
      <c r="E1854">
        <v>6.1</v>
      </c>
      <c r="G1854">
        <v>16</v>
      </c>
      <c r="H1854" s="23">
        <f t="shared" si="64"/>
        <v>3</v>
      </c>
    </row>
    <row r="1855" spans="1:8" x14ac:dyDescent="0.25">
      <c r="A1855" s="22">
        <v>41898.159722222219</v>
      </c>
      <c r="B1855">
        <v>469</v>
      </c>
      <c r="C1855">
        <v>94.1</v>
      </c>
      <c r="D1855">
        <v>10.3</v>
      </c>
      <c r="E1855">
        <v>6.1</v>
      </c>
      <c r="G1855">
        <v>16</v>
      </c>
      <c r="H1855" s="23">
        <f t="shared" si="64"/>
        <v>3</v>
      </c>
    </row>
    <row r="1856" spans="1:8" x14ac:dyDescent="0.25">
      <c r="A1856" s="22">
        <v>41898.163194444445</v>
      </c>
      <c r="B1856">
        <v>468.6</v>
      </c>
      <c r="C1856">
        <v>94.1</v>
      </c>
      <c r="D1856">
        <v>10.3</v>
      </c>
      <c r="E1856">
        <v>6</v>
      </c>
      <c r="G1856">
        <v>16</v>
      </c>
      <c r="H1856" s="23">
        <f t="shared" si="64"/>
        <v>3</v>
      </c>
    </row>
    <row r="1857" spans="1:8" x14ac:dyDescent="0.25">
      <c r="A1857" s="22">
        <v>41898.166666666664</v>
      </c>
      <c r="B1857">
        <v>467.8</v>
      </c>
      <c r="C1857">
        <v>94</v>
      </c>
      <c r="D1857">
        <v>10.199999999999999</v>
      </c>
      <c r="E1857">
        <v>6</v>
      </c>
      <c r="G1857">
        <v>16</v>
      </c>
      <c r="H1857" s="23">
        <f t="shared" si="64"/>
        <v>4</v>
      </c>
    </row>
    <row r="1858" spans="1:8" x14ac:dyDescent="0.25">
      <c r="A1858" s="22">
        <v>41898.170138888891</v>
      </c>
      <c r="B1858">
        <v>467.7</v>
      </c>
      <c r="C1858">
        <v>94</v>
      </c>
      <c r="D1858">
        <v>10.199999999999999</v>
      </c>
      <c r="E1858">
        <v>5.9</v>
      </c>
      <c r="G1858">
        <v>16</v>
      </c>
      <c r="H1858" s="23">
        <f t="shared" si="64"/>
        <v>4</v>
      </c>
    </row>
    <row r="1859" spans="1:8" x14ac:dyDescent="0.25">
      <c r="A1859" s="22">
        <v>41898.173611111109</v>
      </c>
      <c r="B1859">
        <v>466.4</v>
      </c>
      <c r="C1859">
        <v>94</v>
      </c>
      <c r="D1859">
        <v>10.1</v>
      </c>
      <c r="E1859">
        <v>5.9</v>
      </c>
      <c r="G1859">
        <v>16</v>
      </c>
      <c r="H1859" s="23">
        <f t="shared" si="64"/>
        <v>4</v>
      </c>
    </row>
    <row r="1860" spans="1:8" x14ac:dyDescent="0.25">
      <c r="A1860" s="22">
        <v>41898.177083333336</v>
      </c>
      <c r="B1860">
        <v>464.6</v>
      </c>
      <c r="C1860">
        <v>94.1</v>
      </c>
      <c r="D1860">
        <v>10.1</v>
      </c>
      <c r="E1860">
        <v>5.9</v>
      </c>
      <c r="G1860">
        <v>16</v>
      </c>
      <c r="H1860" s="23">
        <f t="shared" si="64"/>
        <v>4</v>
      </c>
    </row>
    <row r="1861" spans="1:8" x14ac:dyDescent="0.25">
      <c r="A1861" s="22">
        <v>41898.180555555555</v>
      </c>
      <c r="B1861">
        <v>461.6</v>
      </c>
      <c r="C1861">
        <v>94</v>
      </c>
      <c r="D1861">
        <v>10</v>
      </c>
      <c r="E1861">
        <v>5.8</v>
      </c>
      <c r="G1861">
        <v>16</v>
      </c>
      <c r="H1861" s="23">
        <f t="shared" si="64"/>
        <v>4</v>
      </c>
    </row>
    <row r="1862" spans="1:8" x14ac:dyDescent="0.25">
      <c r="A1862" s="22">
        <v>41898.184027777781</v>
      </c>
      <c r="B1862">
        <v>457.1</v>
      </c>
      <c r="C1862">
        <v>94</v>
      </c>
      <c r="D1862">
        <v>10</v>
      </c>
      <c r="E1862">
        <v>5.8</v>
      </c>
      <c r="G1862">
        <v>16</v>
      </c>
      <c r="H1862" s="23">
        <f t="shared" ref="H1862:H1925" si="65">+HOUR(A1862)</f>
        <v>4</v>
      </c>
    </row>
    <row r="1863" spans="1:8" x14ac:dyDescent="0.25">
      <c r="A1863" s="22">
        <v>41898.1875</v>
      </c>
      <c r="B1863">
        <v>452.4</v>
      </c>
      <c r="C1863">
        <v>93.9</v>
      </c>
      <c r="D1863">
        <v>9.9</v>
      </c>
      <c r="E1863">
        <v>5.8</v>
      </c>
      <c r="G1863">
        <v>16</v>
      </c>
      <c r="H1863" s="23">
        <f t="shared" si="65"/>
        <v>4</v>
      </c>
    </row>
    <row r="1864" spans="1:8" x14ac:dyDescent="0.25">
      <c r="A1864" s="22">
        <v>41898.190972222219</v>
      </c>
      <c r="B1864">
        <v>447.1</v>
      </c>
      <c r="C1864">
        <v>93.9</v>
      </c>
      <c r="D1864">
        <v>9.9</v>
      </c>
      <c r="E1864">
        <v>5.8</v>
      </c>
      <c r="G1864">
        <v>16</v>
      </c>
      <c r="H1864" s="23">
        <f t="shared" si="65"/>
        <v>4</v>
      </c>
    </row>
    <row r="1865" spans="1:8" x14ac:dyDescent="0.25">
      <c r="A1865" s="22">
        <v>41898.194444444445</v>
      </c>
      <c r="B1865">
        <v>444</v>
      </c>
      <c r="C1865">
        <v>94.1</v>
      </c>
      <c r="D1865">
        <v>9.8000000000000007</v>
      </c>
      <c r="E1865">
        <v>5.8</v>
      </c>
      <c r="G1865">
        <v>16</v>
      </c>
      <c r="H1865" s="23">
        <f t="shared" si="65"/>
        <v>4</v>
      </c>
    </row>
    <row r="1866" spans="1:8" x14ac:dyDescent="0.25">
      <c r="A1866" s="22">
        <v>41898.197916666664</v>
      </c>
      <c r="B1866">
        <v>438.9</v>
      </c>
      <c r="C1866">
        <v>94</v>
      </c>
      <c r="D1866">
        <v>9.8000000000000007</v>
      </c>
      <c r="E1866">
        <v>5.8</v>
      </c>
      <c r="G1866">
        <v>16</v>
      </c>
      <c r="H1866" s="23">
        <f t="shared" si="65"/>
        <v>4</v>
      </c>
    </row>
    <row r="1867" spans="1:8" x14ac:dyDescent="0.25">
      <c r="A1867" s="22">
        <v>41898.201388888891</v>
      </c>
      <c r="B1867">
        <v>432.5</v>
      </c>
      <c r="C1867">
        <v>93.9</v>
      </c>
      <c r="D1867">
        <v>9.6999999999999993</v>
      </c>
      <c r="E1867">
        <v>5.8</v>
      </c>
      <c r="G1867">
        <v>16</v>
      </c>
      <c r="H1867" s="23">
        <f t="shared" si="65"/>
        <v>4</v>
      </c>
    </row>
    <row r="1868" spans="1:8" x14ac:dyDescent="0.25">
      <c r="A1868" s="22">
        <v>41898.204861111109</v>
      </c>
      <c r="B1868">
        <v>427.9</v>
      </c>
      <c r="C1868">
        <v>94.1</v>
      </c>
      <c r="D1868">
        <v>9.6999999999999993</v>
      </c>
      <c r="E1868">
        <v>5.8</v>
      </c>
      <c r="G1868">
        <v>16</v>
      </c>
      <c r="H1868" s="23">
        <f t="shared" si="65"/>
        <v>4</v>
      </c>
    </row>
    <row r="1869" spans="1:8" x14ac:dyDescent="0.25">
      <c r="A1869" s="22">
        <v>41898.208333333336</v>
      </c>
      <c r="B1869">
        <v>425.9</v>
      </c>
      <c r="C1869">
        <v>94.1</v>
      </c>
      <c r="D1869">
        <v>9.6999999999999993</v>
      </c>
      <c r="E1869">
        <v>5.8</v>
      </c>
      <c r="G1869">
        <v>16</v>
      </c>
      <c r="H1869" s="23">
        <f t="shared" si="65"/>
        <v>5</v>
      </c>
    </row>
    <row r="1870" spans="1:8" x14ac:dyDescent="0.25">
      <c r="A1870" s="22">
        <v>41898.211805555555</v>
      </c>
      <c r="B1870">
        <v>424.3</v>
      </c>
      <c r="C1870">
        <v>94.1</v>
      </c>
      <c r="D1870">
        <v>9.6999999999999993</v>
      </c>
      <c r="E1870">
        <v>5.8</v>
      </c>
      <c r="G1870">
        <v>16</v>
      </c>
      <c r="H1870" s="23">
        <f t="shared" si="65"/>
        <v>5</v>
      </c>
    </row>
    <row r="1871" spans="1:8" x14ac:dyDescent="0.25">
      <c r="A1871" s="22">
        <v>41898.215277777781</v>
      </c>
      <c r="B1871">
        <v>424</v>
      </c>
      <c r="C1871">
        <v>94</v>
      </c>
      <c r="D1871">
        <v>9.6999999999999993</v>
      </c>
      <c r="E1871">
        <v>5.8</v>
      </c>
      <c r="G1871">
        <v>16</v>
      </c>
      <c r="H1871" s="23">
        <f t="shared" si="65"/>
        <v>5</v>
      </c>
    </row>
    <row r="1872" spans="1:8" x14ac:dyDescent="0.25">
      <c r="A1872" s="22">
        <v>41898.21875</v>
      </c>
      <c r="B1872">
        <v>421.5</v>
      </c>
      <c r="C1872">
        <v>94</v>
      </c>
      <c r="D1872">
        <v>9.6</v>
      </c>
      <c r="E1872">
        <v>5.8</v>
      </c>
      <c r="G1872">
        <v>16</v>
      </c>
      <c r="H1872" s="23">
        <f t="shared" si="65"/>
        <v>5</v>
      </c>
    </row>
    <row r="1873" spans="1:8" x14ac:dyDescent="0.25">
      <c r="A1873" s="22">
        <v>41898.222222222219</v>
      </c>
      <c r="B1873">
        <v>418.7</v>
      </c>
      <c r="C1873">
        <v>94.1</v>
      </c>
      <c r="D1873">
        <v>9.6</v>
      </c>
      <c r="E1873">
        <v>5.8</v>
      </c>
      <c r="G1873">
        <v>16</v>
      </c>
      <c r="H1873" s="23">
        <f t="shared" si="65"/>
        <v>5</v>
      </c>
    </row>
    <row r="1874" spans="1:8" x14ac:dyDescent="0.25">
      <c r="A1874" s="22">
        <v>41898.996527777781</v>
      </c>
      <c r="B1874">
        <v>435.6</v>
      </c>
      <c r="C1874">
        <v>94.1</v>
      </c>
      <c r="D1874">
        <v>10</v>
      </c>
      <c r="E1874">
        <v>6</v>
      </c>
      <c r="G1874">
        <v>16</v>
      </c>
      <c r="H1874" s="23">
        <f t="shared" si="65"/>
        <v>23</v>
      </c>
    </row>
    <row r="1875" spans="1:8" x14ac:dyDescent="0.25">
      <c r="A1875" s="22">
        <v>41899</v>
      </c>
      <c r="B1875">
        <v>477.2</v>
      </c>
      <c r="C1875">
        <v>94.3</v>
      </c>
      <c r="D1875">
        <v>10.7</v>
      </c>
      <c r="E1875">
        <v>6.3</v>
      </c>
      <c r="G1875">
        <v>17</v>
      </c>
      <c r="H1875" s="23">
        <f t="shared" si="65"/>
        <v>0</v>
      </c>
    </row>
    <row r="1876" spans="1:8" x14ac:dyDescent="0.25">
      <c r="A1876" s="22">
        <v>41899.003472222219</v>
      </c>
      <c r="B1876">
        <v>476.8</v>
      </c>
      <c r="C1876">
        <v>94.2</v>
      </c>
      <c r="D1876">
        <v>10.7</v>
      </c>
      <c r="E1876">
        <v>6.3</v>
      </c>
      <c r="G1876">
        <v>17</v>
      </c>
      <c r="H1876" s="23">
        <f t="shared" si="65"/>
        <v>0</v>
      </c>
    </row>
    <row r="1877" spans="1:8" x14ac:dyDescent="0.25">
      <c r="A1877" s="22">
        <v>41899.006944444445</v>
      </c>
      <c r="B1877">
        <v>474.4</v>
      </c>
      <c r="C1877">
        <v>94.2</v>
      </c>
      <c r="D1877">
        <v>10.7</v>
      </c>
      <c r="E1877">
        <v>6.3</v>
      </c>
      <c r="G1877">
        <v>17</v>
      </c>
      <c r="H1877" s="23">
        <f t="shared" si="65"/>
        <v>0</v>
      </c>
    </row>
    <row r="1878" spans="1:8" x14ac:dyDescent="0.25">
      <c r="A1878" s="22">
        <v>41899.010416666664</v>
      </c>
      <c r="B1878">
        <v>470.2</v>
      </c>
      <c r="C1878">
        <v>94.3</v>
      </c>
      <c r="D1878">
        <v>10.6</v>
      </c>
      <c r="E1878">
        <v>6.3</v>
      </c>
      <c r="G1878">
        <v>17</v>
      </c>
      <c r="H1878" s="23">
        <f t="shared" si="65"/>
        <v>0</v>
      </c>
    </row>
    <row r="1879" spans="1:8" x14ac:dyDescent="0.25">
      <c r="A1879" s="22">
        <v>41899.013888888891</v>
      </c>
      <c r="B1879">
        <v>468.7</v>
      </c>
      <c r="C1879">
        <v>94.2</v>
      </c>
      <c r="D1879">
        <v>10.6</v>
      </c>
      <c r="E1879">
        <v>6.3</v>
      </c>
      <c r="G1879">
        <v>17</v>
      </c>
      <c r="H1879" s="23">
        <f t="shared" si="65"/>
        <v>0</v>
      </c>
    </row>
    <row r="1880" spans="1:8" x14ac:dyDescent="0.25">
      <c r="A1880" s="22">
        <v>41899.017361111109</v>
      </c>
      <c r="B1880">
        <v>468.4</v>
      </c>
      <c r="C1880">
        <v>94.1</v>
      </c>
      <c r="D1880">
        <v>10.6</v>
      </c>
      <c r="E1880">
        <v>6.3</v>
      </c>
      <c r="G1880">
        <v>17</v>
      </c>
      <c r="H1880" s="23">
        <f t="shared" si="65"/>
        <v>0</v>
      </c>
    </row>
    <row r="1881" spans="1:8" x14ac:dyDescent="0.25">
      <c r="A1881" s="22">
        <v>41899.020833333336</v>
      </c>
      <c r="B1881">
        <v>467.8</v>
      </c>
      <c r="C1881">
        <v>94.2</v>
      </c>
      <c r="D1881">
        <v>10.5</v>
      </c>
      <c r="E1881">
        <v>6.3</v>
      </c>
      <c r="G1881">
        <v>17</v>
      </c>
      <c r="H1881" s="23">
        <f t="shared" si="65"/>
        <v>0</v>
      </c>
    </row>
    <row r="1882" spans="1:8" x14ac:dyDescent="0.25">
      <c r="A1882" s="22">
        <v>41899.024305555555</v>
      </c>
      <c r="B1882">
        <v>468.5</v>
      </c>
      <c r="C1882">
        <v>94.2</v>
      </c>
      <c r="D1882">
        <v>10.5</v>
      </c>
      <c r="E1882">
        <v>6.2</v>
      </c>
      <c r="G1882">
        <v>17</v>
      </c>
      <c r="H1882" s="23">
        <f t="shared" si="65"/>
        <v>0</v>
      </c>
    </row>
    <row r="1883" spans="1:8" x14ac:dyDescent="0.25">
      <c r="A1883" s="22">
        <v>41899.027777777781</v>
      </c>
      <c r="B1883">
        <v>468.3</v>
      </c>
      <c r="C1883">
        <v>94.2</v>
      </c>
      <c r="D1883">
        <v>10.5</v>
      </c>
      <c r="E1883">
        <v>6.2</v>
      </c>
      <c r="G1883">
        <v>17</v>
      </c>
      <c r="H1883" s="23">
        <f t="shared" si="65"/>
        <v>0</v>
      </c>
    </row>
    <row r="1884" spans="1:8" x14ac:dyDescent="0.25">
      <c r="A1884" s="22">
        <v>41899.03125</v>
      </c>
      <c r="B1884">
        <v>469.7</v>
      </c>
      <c r="C1884">
        <v>94.2</v>
      </c>
      <c r="D1884">
        <v>10.5</v>
      </c>
      <c r="E1884">
        <v>6.2</v>
      </c>
      <c r="G1884">
        <v>17</v>
      </c>
      <c r="H1884" s="23">
        <f t="shared" si="65"/>
        <v>0</v>
      </c>
    </row>
    <row r="1885" spans="1:8" x14ac:dyDescent="0.25">
      <c r="A1885" s="22">
        <v>41899.034722222219</v>
      </c>
      <c r="B1885">
        <v>472.8</v>
      </c>
      <c r="C1885">
        <v>94.1</v>
      </c>
      <c r="D1885">
        <v>10.4</v>
      </c>
      <c r="E1885">
        <v>6.1</v>
      </c>
      <c r="G1885">
        <v>17</v>
      </c>
      <c r="H1885" s="23">
        <f t="shared" si="65"/>
        <v>0</v>
      </c>
    </row>
    <row r="1886" spans="1:8" x14ac:dyDescent="0.25">
      <c r="A1886" s="22">
        <v>41899.038194444445</v>
      </c>
      <c r="B1886">
        <v>476.4</v>
      </c>
      <c r="C1886">
        <v>94</v>
      </c>
      <c r="D1886">
        <v>10.4</v>
      </c>
      <c r="E1886">
        <v>6</v>
      </c>
      <c r="G1886">
        <v>17</v>
      </c>
      <c r="H1886" s="23">
        <f t="shared" si="65"/>
        <v>0</v>
      </c>
    </row>
    <row r="1887" spans="1:8" x14ac:dyDescent="0.25">
      <c r="A1887" s="22">
        <v>41899.041666666664</v>
      </c>
      <c r="B1887">
        <v>487.7</v>
      </c>
      <c r="C1887">
        <v>94.1</v>
      </c>
      <c r="D1887">
        <v>10.4</v>
      </c>
      <c r="E1887">
        <v>5.9</v>
      </c>
      <c r="G1887">
        <v>17</v>
      </c>
      <c r="H1887" s="23">
        <f t="shared" si="65"/>
        <v>1</v>
      </c>
    </row>
    <row r="1888" spans="1:8" x14ac:dyDescent="0.25">
      <c r="A1888" s="22">
        <v>41899.045138888891</v>
      </c>
      <c r="B1888">
        <v>490.7</v>
      </c>
      <c r="C1888">
        <v>94.1</v>
      </c>
      <c r="D1888">
        <v>10.4</v>
      </c>
      <c r="E1888">
        <v>5.9</v>
      </c>
      <c r="G1888">
        <v>17</v>
      </c>
      <c r="H1888" s="23">
        <f t="shared" si="65"/>
        <v>1</v>
      </c>
    </row>
    <row r="1889" spans="1:8" x14ac:dyDescent="0.25">
      <c r="A1889" s="22">
        <v>41899.048611111109</v>
      </c>
      <c r="B1889">
        <v>497.5</v>
      </c>
      <c r="C1889">
        <v>94.1</v>
      </c>
      <c r="D1889">
        <v>10.5</v>
      </c>
      <c r="E1889">
        <v>6</v>
      </c>
      <c r="G1889">
        <v>17</v>
      </c>
      <c r="H1889" s="23">
        <f t="shared" si="65"/>
        <v>1</v>
      </c>
    </row>
    <row r="1890" spans="1:8" x14ac:dyDescent="0.25">
      <c r="A1890" s="22">
        <v>41899.052083333336</v>
      </c>
      <c r="B1890">
        <v>498.7</v>
      </c>
      <c r="C1890">
        <v>94</v>
      </c>
      <c r="D1890">
        <v>10.7</v>
      </c>
      <c r="E1890">
        <v>6.2</v>
      </c>
      <c r="G1890">
        <v>17</v>
      </c>
      <c r="H1890" s="23">
        <f t="shared" si="65"/>
        <v>1</v>
      </c>
    </row>
    <row r="1891" spans="1:8" x14ac:dyDescent="0.25">
      <c r="A1891" s="22">
        <v>41899.055555555555</v>
      </c>
      <c r="B1891">
        <v>506.7</v>
      </c>
      <c r="C1891">
        <v>94.1</v>
      </c>
      <c r="D1891">
        <v>10.9</v>
      </c>
      <c r="E1891">
        <v>6.3</v>
      </c>
      <c r="G1891">
        <v>17</v>
      </c>
      <c r="H1891" s="23">
        <f t="shared" si="65"/>
        <v>1</v>
      </c>
    </row>
    <row r="1892" spans="1:8" x14ac:dyDescent="0.25">
      <c r="A1892" s="22">
        <v>41899.059027777781</v>
      </c>
      <c r="B1892">
        <v>518.5</v>
      </c>
      <c r="C1892">
        <v>94.2</v>
      </c>
      <c r="D1892">
        <v>11</v>
      </c>
      <c r="E1892">
        <v>6.3</v>
      </c>
      <c r="G1892">
        <v>17</v>
      </c>
      <c r="H1892" s="23">
        <f t="shared" si="65"/>
        <v>1</v>
      </c>
    </row>
    <row r="1893" spans="1:8" x14ac:dyDescent="0.25">
      <c r="A1893" s="22">
        <v>41899.0625</v>
      </c>
      <c r="B1893">
        <v>260.2</v>
      </c>
      <c r="C1893">
        <v>90.6</v>
      </c>
      <c r="D1893">
        <v>11.3</v>
      </c>
      <c r="E1893">
        <v>8.8000000000000007</v>
      </c>
      <c r="G1893">
        <v>17</v>
      </c>
      <c r="H1893" s="23">
        <f t="shared" si="65"/>
        <v>1</v>
      </c>
    </row>
    <row r="1894" spans="1:8" x14ac:dyDescent="0.25">
      <c r="A1894" s="22">
        <v>41899.065972222219</v>
      </c>
      <c r="B1894">
        <v>247.4</v>
      </c>
      <c r="C1894">
        <v>90.6</v>
      </c>
      <c r="D1894">
        <v>11.5</v>
      </c>
      <c r="E1894">
        <v>9.1</v>
      </c>
      <c r="G1894">
        <v>17</v>
      </c>
      <c r="H1894" s="23">
        <f t="shared" si="65"/>
        <v>1</v>
      </c>
    </row>
    <row r="1895" spans="1:8" x14ac:dyDescent="0.25">
      <c r="A1895" s="22">
        <v>41899.069444444445</v>
      </c>
      <c r="B1895">
        <v>137.30000000000001</v>
      </c>
      <c r="C1895">
        <v>86.1</v>
      </c>
      <c r="D1895">
        <v>11.5</v>
      </c>
      <c r="E1895">
        <v>10.4</v>
      </c>
      <c r="G1895">
        <v>17</v>
      </c>
      <c r="H1895" s="23">
        <f t="shared" si="65"/>
        <v>1</v>
      </c>
    </row>
    <row r="1896" spans="1:8" x14ac:dyDescent="0.25">
      <c r="A1896" s="22">
        <v>41899.072916666664</v>
      </c>
      <c r="B1896">
        <v>277.39999999999998</v>
      </c>
      <c r="C1896">
        <v>94.5</v>
      </c>
      <c r="D1896">
        <v>11.7</v>
      </c>
      <c r="E1896">
        <v>9.1999999999999993</v>
      </c>
      <c r="G1896">
        <v>17</v>
      </c>
      <c r="H1896" s="23">
        <f t="shared" si="65"/>
        <v>1</v>
      </c>
    </row>
    <row r="1897" spans="1:8" x14ac:dyDescent="0.25">
      <c r="A1897" s="22">
        <v>41899.076388888891</v>
      </c>
      <c r="B1897">
        <v>524.4</v>
      </c>
      <c r="C1897">
        <v>94.2</v>
      </c>
      <c r="D1897">
        <v>12.1</v>
      </c>
      <c r="E1897">
        <v>7.3</v>
      </c>
      <c r="G1897">
        <v>17</v>
      </c>
      <c r="H1897" s="23">
        <f t="shared" si="65"/>
        <v>1</v>
      </c>
    </row>
    <row r="1898" spans="1:8" x14ac:dyDescent="0.25">
      <c r="A1898" s="22">
        <v>41899.079861111109</v>
      </c>
      <c r="B1898">
        <v>538</v>
      </c>
      <c r="C1898">
        <v>94.2</v>
      </c>
      <c r="D1898">
        <v>12.4</v>
      </c>
      <c r="E1898">
        <v>7.5</v>
      </c>
      <c r="G1898">
        <v>17</v>
      </c>
      <c r="H1898" s="23">
        <f t="shared" si="65"/>
        <v>1</v>
      </c>
    </row>
    <row r="1899" spans="1:8" x14ac:dyDescent="0.25">
      <c r="A1899" s="22">
        <v>41899.083333333336</v>
      </c>
      <c r="B1899">
        <v>517.79999999999995</v>
      </c>
      <c r="C1899">
        <v>94.2</v>
      </c>
      <c r="D1899">
        <v>12.6</v>
      </c>
      <c r="E1899">
        <v>7.9</v>
      </c>
      <c r="G1899">
        <v>17</v>
      </c>
      <c r="H1899" s="23">
        <f t="shared" si="65"/>
        <v>2</v>
      </c>
    </row>
    <row r="1900" spans="1:8" x14ac:dyDescent="0.25">
      <c r="A1900" s="22">
        <v>41899.086805555555</v>
      </c>
      <c r="B1900">
        <v>516.6</v>
      </c>
      <c r="C1900">
        <v>94.3</v>
      </c>
      <c r="D1900">
        <v>12.6</v>
      </c>
      <c r="E1900">
        <v>7.9</v>
      </c>
      <c r="G1900">
        <v>17</v>
      </c>
      <c r="H1900" s="23">
        <f t="shared" si="65"/>
        <v>2</v>
      </c>
    </row>
    <row r="1901" spans="1:8" x14ac:dyDescent="0.25">
      <c r="A1901" s="22">
        <v>41899.090277777781</v>
      </c>
      <c r="B1901">
        <v>517.20000000000005</v>
      </c>
      <c r="C1901">
        <v>94.4</v>
      </c>
      <c r="D1901">
        <v>12.6</v>
      </c>
      <c r="E1901">
        <v>7.9</v>
      </c>
      <c r="G1901">
        <v>17</v>
      </c>
      <c r="H1901" s="23">
        <f t="shared" si="65"/>
        <v>2</v>
      </c>
    </row>
    <row r="1902" spans="1:8" x14ac:dyDescent="0.25">
      <c r="A1902" s="22">
        <v>41899.09375</v>
      </c>
      <c r="B1902">
        <v>516.29999999999995</v>
      </c>
      <c r="C1902">
        <v>94.2</v>
      </c>
      <c r="D1902">
        <v>12.6</v>
      </c>
      <c r="E1902">
        <v>7.9</v>
      </c>
      <c r="G1902">
        <v>17</v>
      </c>
      <c r="H1902" s="23">
        <f t="shared" si="65"/>
        <v>2</v>
      </c>
    </row>
    <row r="1903" spans="1:8" x14ac:dyDescent="0.25">
      <c r="A1903" s="22">
        <v>41899.097222222219</v>
      </c>
      <c r="B1903">
        <v>516.29999999999995</v>
      </c>
      <c r="C1903">
        <v>94.3</v>
      </c>
      <c r="D1903">
        <v>12.7</v>
      </c>
      <c r="E1903">
        <v>8</v>
      </c>
      <c r="G1903">
        <v>17</v>
      </c>
      <c r="H1903" s="23">
        <f t="shared" si="65"/>
        <v>2</v>
      </c>
    </row>
    <row r="1904" spans="1:8" x14ac:dyDescent="0.25">
      <c r="A1904" s="22">
        <v>41899.100694444445</v>
      </c>
      <c r="B1904">
        <v>514.5</v>
      </c>
      <c r="C1904">
        <v>94.3</v>
      </c>
      <c r="D1904">
        <v>12.7</v>
      </c>
      <c r="E1904">
        <v>8.1</v>
      </c>
      <c r="G1904">
        <v>17</v>
      </c>
      <c r="H1904" s="23">
        <f t="shared" si="65"/>
        <v>2</v>
      </c>
    </row>
    <row r="1905" spans="1:8" x14ac:dyDescent="0.25">
      <c r="A1905" s="22">
        <v>41899.104166666664</v>
      </c>
      <c r="B1905">
        <v>515.79999999999995</v>
      </c>
      <c r="C1905">
        <v>95.5</v>
      </c>
      <c r="D1905">
        <v>12.8</v>
      </c>
      <c r="E1905">
        <v>8.1999999999999993</v>
      </c>
      <c r="G1905">
        <v>17</v>
      </c>
      <c r="H1905" s="23">
        <f t="shared" si="65"/>
        <v>2</v>
      </c>
    </row>
    <row r="1906" spans="1:8" x14ac:dyDescent="0.25">
      <c r="A1906" s="22">
        <v>41899.107638888891</v>
      </c>
      <c r="B1906">
        <v>514.29999999999995</v>
      </c>
      <c r="C1906">
        <v>92.3</v>
      </c>
      <c r="D1906">
        <v>12.9</v>
      </c>
      <c r="E1906">
        <v>8.1999999999999993</v>
      </c>
      <c r="G1906">
        <v>17</v>
      </c>
      <c r="H1906" s="23">
        <f t="shared" si="65"/>
        <v>2</v>
      </c>
    </row>
    <row r="1907" spans="1:8" x14ac:dyDescent="0.25">
      <c r="A1907" s="22">
        <v>41899.111111111109</v>
      </c>
      <c r="B1907">
        <v>515.4</v>
      </c>
      <c r="C1907">
        <v>93.9</v>
      </c>
      <c r="D1907">
        <v>13</v>
      </c>
      <c r="E1907">
        <v>8.3000000000000007</v>
      </c>
      <c r="G1907">
        <v>17</v>
      </c>
      <c r="H1907" s="23">
        <f t="shared" si="65"/>
        <v>2</v>
      </c>
    </row>
    <row r="1908" spans="1:8" x14ac:dyDescent="0.25">
      <c r="A1908" s="22">
        <v>41899.114583333336</v>
      </c>
      <c r="B1908">
        <v>521</v>
      </c>
      <c r="C1908">
        <v>93.9</v>
      </c>
      <c r="D1908">
        <v>13</v>
      </c>
      <c r="E1908">
        <v>8.3000000000000007</v>
      </c>
      <c r="G1908">
        <v>17</v>
      </c>
      <c r="H1908" s="23">
        <f t="shared" si="65"/>
        <v>2</v>
      </c>
    </row>
    <row r="1909" spans="1:8" x14ac:dyDescent="0.25">
      <c r="A1909" s="22">
        <v>41899.118055555555</v>
      </c>
      <c r="B1909">
        <v>526.5</v>
      </c>
      <c r="C1909">
        <v>94.7</v>
      </c>
      <c r="D1909">
        <v>13.1</v>
      </c>
      <c r="E1909">
        <v>8.3000000000000007</v>
      </c>
      <c r="G1909">
        <v>17</v>
      </c>
      <c r="H1909" s="23">
        <f t="shared" si="65"/>
        <v>2</v>
      </c>
    </row>
    <row r="1910" spans="1:8" x14ac:dyDescent="0.25">
      <c r="A1910" s="22">
        <v>41899.121527777781</v>
      </c>
      <c r="B1910">
        <v>527.70000000000005</v>
      </c>
      <c r="C1910">
        <v>94.8</v>
      </c>
      <c r="D1910">
        <v>13.1</v>
      </c>
      <c r="E1910">
        <v>8.3000000000000007</v>
      </c>
      <c r="G1910">
        <v>17</v>
      </c>
      <c r="H1910" s="23">
        <f t="shared" si="65"/>
        <v>2</v>
      </c>
    </row>
    <row r="1911" spans="1:8" x14ac:dyDescent="0.25">
      <c r="A1911" s="22">
        <v>41899.125</v>
      </c>
      <c r="B1911">
        <v>530</v>
      </c>
      <c r="C1911">
        <v>94.1</v>
      </c>
      <c r="D1911">
        <v>13.2</v>
      </c>
      <c r="E1911">
        <v>8.3000000000000007</v>
      </c>
      <c r="G1911">
        <v>17</v>
      </c>
      <c r="H1911" s="23">
        <f t="shared" si="65"/>
        <v>3</v>
      </c>
    </row>
    <row r="1912" spans="1:8" x14ac:dyDescent="0.25">
      <c r="A1912" s="22">
        <v>41899.128472222219</v>
      </c>
      <c r="B1912">
        <v>529.5</v>
      </c>
      <c r="C1912">
        <v>94.2</v>
      </c>
      <c r="D1912">
        <v>13.2</v>
      </c>
      <c r="E1912">
        <v>8.4</v>
      </c>
      <c r="G1912">
        <v>17</v>
      </c>
      <c r="H1912" s="23">
        <f t="shared" si="65"/>
        <v>3</v>
      </c>
    </row>
    <row r="1913" spans="1:8" x14ac:dyDescent="0.25">
      <c r="A1913" s="22">
        <v>41899.131944444445</v>
      </c>
      <c r="B1913">
        <v>529.5</v>
      </c>
      <c r="C1913">
        <v>94.2</v>
      </c>
      <c r="D1913">
        <v>13.2</v>
      </c>
      <c r="E1913">
        <v>8.4</v>
      </c>
      <c r="G1913">
        <v>17</v>
      </c>
      <c r="H1913" s="23">
        <f t="shared" si="65"/>
        <v>3</v>
      </c>
    </row>
    <row r="1914" spans="1:8" x14ac:dyDescent="0.25">
      <c r="A1914" s="22">
        <v>41899.135416666664</v>
      </c>
      <c r="B1914">
        <v>529.4</v>
      </c>
      <c r="C1914">
        <v>94.3</v>
      </c>
      <c r="D1914">
        <v>13.2</v>
      </c>
      <c r="E1914">
        <v>8.4</v>
      </c>
      <c r="G1914">
        <v>17</v>
      </c>
      <c r="H1914" s="23">
        <f t="shared" si="65"/>
        <v>3</v>
      </c>
    </row>
    <row r="1915" spans="1:8" x14ac:dyDescent="0.25">
      <c r="A1915" s="22">
        <v>41899.138888888891</v>
      </c>
      <c r="B1915">
        <v>529.1</v>
      </c>
      <c r="C1915">
        <v>94.1</v>
      </c>
      <c r="D1915">
        <v>13.2</v>
      </c>
      <c r="E1915">
        <v>8.4</v>
      </c>
      <c r="G1915">
        <v>17</v>
      </c>
      <c r="H1915" s="23">
        <f t="shared" si="65"/>
        <v>3</v>
      </c>
    </row>
    <row r="1916" spans="1:8" x14ac:dyDescent="0.25">
      <c r="A1916" s="22">
        <v>41899.142361111109</v>
      </c>
      <c r="B1916">
        <v>530.20000000000005</v>
      </c>
      <c r="C1916">
        <v>94.2</v>
      </c>
      <c r="D1916">
        <v>13.2</v>
      </c>
      <c r="E1916">
        <v>8.4</v>
      </c>
      <c r="G1916">
        <v>17</v>
      </c>
      <c r="H1916" s="23">
        <f t="shared" si="65"/>
        <v>3</v>
      </c>
    </row>
    <row r="1917" spans="1:8" x14ac:dyDescent="0.25">
      <c r="A1917" s="22">
        <v>41899.145833333336</v>
      </c>
      <c r="B1917">
        <v>529.70000000000005</v>
      </c>
      <c r="C1917">
        <v>94.1</v>
      </c>
      <c r="D1917">
        <v>13.3</v>
      </c>
      <c r="E1917">
        <v>8.4</v>
      </c>
      <c r="G1917">
        <v>17</v>
      </c>
      <c r="H1917" s="23">
        <f t="shared" si="65"/>
        <v>3</v>
      </c>
    </row>
    <row r="1918" spans="1:8" x14ac:dyDescent="0.25">
      <c r="A1918" s="22">
        <v>41899.149305555555</v>
      </c>
      <c r="B1918">
        <v>530.70000000000005</v>
      </c>
      <c r="C1918">
        <v>94.2</v>
      </c>
      <c r="D1918">
        <v>13.3</v>
      </c>
      <c r="E1918">
        <v>8.4</v>
      </c>
      <c r="G1918">
        <v>17</v>
      </c>
      <c r="H1918" s="23">
        <f t="shared" si="65"/>
        <v>3</v>
      </c>
    </row>
    <row r="1919" spans="1:8" x14ac:dyDescent="0.25">
      <c r="A1919" s="22">
        <v>41899.152777777781</v>
      </c>
      <c r="B1919">
        <v>530.1</v>
      </c>
      <c r="C1919">
        <v>94.2</v>
      </c>
      <c r="D1919">
        <v>13.3</v>
      </c>
      <c r="E1919">
        <v>8.5</v>
      </c>
      <c r="G1919">
        <v>17</v>
      </c>
      <c r="H1919" s="23">
        <f t="shared" si="65"/>
        <v>3</v>
      </c>
    </row>
    <row r="1920" spans="1:8" x14ac:dyDescent="0.25">
      <c r="A1920" s="22">
        <v>41899.15625</v>
      </c>
      <c r="B1920">
        <v>531.70000000000005</v>
      </c>
      <c r="C1920">
        <v>94.2</v>
      </c>
      <c r="D1920">
        <v>13.3</v>
      </c>
      <c r="E1920">
        <v>8.4</v>
      </c>
      <c r="G1920">
        <v>17</v>
      </c>
      <c r="H1920" s="23">
        <f t="shared" si="65"/>
        <v>3</v>
      </c>
    </row>
    <row r="1921" spans="1:8" x14ac:dyDescent="0.25">
      <c r="A1921" s="22">
        <v>41899.159722222219</v>
      </c>
      <c r="B1921">
        <v>531.29999999999995</v>
      </c>
      <c r="C1921">
        <v>94.2</v>
      </c>
      <c r="D1921">
        <v>13.3</v>
      </c>
      <c r="E1921">
        <v>8.5</v>
      </c>
      <c r="G1921">
        <v>17</v>
      </c>
      <c r="H1921" s="23">
        <f t="shared" si="65"/>
        <v>3</v>
      </c>
    </row>
    <row r="1922" spans="1:8" x14ac:dyDescent="0.25">
      <c r="A1922" s="22">
        <v>41899.163194444445</v>
      </c>
      <c r="B1922">
        <v>531.1</v>
      </c>
      <c r="C1922">
        <v>94.2</v>
      </c>
      <c r="D1922">
        <v>13.3</v>
      </c>
      <c r="E1922">
        <v>8.5</v>
      </c>
      <c r="G1922">
        <v>17</v>
      </c>
      <c r="H1922" s="23">
        <f t="shared" si="65"/>
        <v>3</v>
      </c>
    </row>
    <row r="1923" spans="1:8" x14ac:dyDescent="0.25">
      <c r="A1923" s="22">
        <v>41899.166666666664</v>
      </c>
      <c r="B1923">
        <v>532.29999999999995</v>
      </c>
      <c r="C1923">
        <v>94.3</v>
      </c>
      <c r="D1923">
        <v>13.3</v>
      </c>
      <c r="E1923">
        <v>8.5</v>
      </c>
      <c r="G1923">
        <v>17</v>
      </c>
      <c r="H1923" s="23">
        <f t="shared" si="65"/>
        <v>4</v>
      </c>
    </row>
    <row r="1924" spans="1:8" x14ac:dyDescent="0.25">
      <c r="A1924" s="22">
        <v>41899.170138888891</v>
      </c>
      <c r="B1924">
        <v>533.1</v>
      </c>
      <c r="C1924">
        <v>94.2</v>
      </c>
      <c r="D1924">
        <v>13.3</v>
      </c>
      <c r="E1924">
        <v>8.5</v>
      </c>
      <c r="G1924">
        <v>17</v>
      </c>
      <c r="H1924" s="23">
        <f t="shared" si="65"/>
        <v>4</v>
      </c>
    </row>
    <row r="1925" spans="1:8" x14ac:dyDescent="0.25">
      <c r="A1925" s="22">
        <v>41899.173611111109</v>
      </c>
      <c r="B1925">
        <v>533.9</v>
      </c>
      <c r="C1925">
        <v>94.2</v>
      </c>
      <c r="D1925">
        <v>13.3</v>
      </c>
      <c r="E1925">
        <v>8.5</v>
      </c>
      <c r="G1925">
        <v>17</v>
      </c>
      <c r="H1925" s="23">
        <f t="shared" si="65"/>
        <v>4</v>
      </c>
    </row>
    <row r="1926" spans="1:8" x14ac:dyDescent="0.25">
      <c r="A1926" s="22">
        <v>41899.177083333336</v>
      </c>
      <c r="B1926">
        <v>534</v>
      </c>
      <c r="C1926">
        <v>94.3</v>
      </c>
      <c r="D1926">
        <v>13.4</v>
      </c>
      <c r="E1926">
        <v>8.5</v>
      </c>
      <c r="G1926">
        <v>17</v>
      </c>
      <c r="H1926" s="23">
        <f t="shared" ref="H1926:H1989" si="66">+HOUR(A1926)</f>
        <v>4</v>
      </c>
    </row>
    <row r="1927" spans="1:8" x14ac:dyDescent="0.25">
      <c r="A1927" s="22">
        <v>41899.180555555555</v>
      </c>
      <c r="B1927">
        <v>535</v>
      </c>
      <c r="C1927">
        <v>94.3</v>
      </c>
      <c r="D1927">
        <v>13.4</v>
      </c>
      <c r="E1927">
        <v>8.5</v>
      </c>
      <c r="G1927">
        <v>17</v>
      </c>
      <c r="H1927" s="23">
        <f t="shared" si="66"/>
        <v>4</v>
      </c>
    </row>
    <row r="1928" spans="1:8" x14ac:dyDescent="0.25">
      <c r="A1928" s="22">
        <v>41899.184027777781</v>
      </c>
      <c r="B1928">
        <v>535.1</v>
      </c>
      <c r="C1928">
        <v>94.2</v>
      </c>
      <c r="D1928">
        <v>13.3</v>
      </c>
      <c r="E1928">
        <v>8.5</v>
      </c>
      <c r="G1928">
        <v>17</v>
      </c>
      <c r="H1928" s="23">
        <f t="shared" si="66"/>
        <v>4</v>
      </c>
    </row>
    <row r="1929" spans="1:8" x14ac:dyDescent="0.25">
      <c r="A1929" s="22">
        <v>41899.1875</v>
      </c>
      <c r="B1929">
        <v>533.79999999999995</v>
      </c>
      <c r="C1929">
        <v>94.1</v>
      </c>
      <c r="D1929">
        <v>13.3</v>
      </c>
      <c r="E1929">
        <v>8.5</v>
      </c>
      <c r="G1929">
        <v>17</v>
      </c>
      <c r="H1929" s="23">
        <f t="shared" si="66"/>
        <v>4</v>
      </c>
    </row>
    <row r="1930" spans="1:8" x14ac:dyDescent="0.25">
      <c r="A1930" s="22">
        <v>41899.190972222219</v>
      </c>
      <c r="B1930">
        <v>536.1</v>
      </c>
      <c r="C1930">
        <v>94.2</v>
      </c>
      <c r="D1930">
        <v>13.3</v>
      </c>
      <c r="E1930">
        <v>8.4</v>
      </c>
      <c r="G1930">
        <v>17</v>
      </c>
      <c r="H1930" s="23">
        <f t="shared" si="66"/>
        <v>4</v>
      </c>
    </row>
    <row r="1931" spans="1:8" x14ac:dyDescent="0.25">
      <c r="A1931" s="22">
        <v>41899.194444444445</v>
      </c>
      <c r="B1931">
        <v>538.5</v>
      </c>
      <c r="C1931">
        <v>94.3</v>
      </c>
      <c r="D1931">
        <v>13.3</v>
      </c>
      <c r="E1931">
        <v>8.4</v>
      </c>
      <c r="G1931">
        <v>17</v>
      </c>
      <c r="H1931" s="23">
        <f t="shared" si="66"/>
        <v>4</v>
      </c>
    </row>
    <row r="1932" spans="1:8" x14ac:dyDescent="0.25">
      <c r="A1932" s="22">
        <v>41899.197916666664</v>
      </c>
      <c r="B1932">
        <v>537.29999999999995</v>
      </c>
      <c r="C1932">
        <v>94.2</v>
      </c>
      <c r="D1932">
        <v>13.2</v>
      </c>
      <c r="E1932">
        <v>8.3000000000000007</v>
      </c>
      <c r="G1932">
        <v>17</v>
      </c>
      <c r="H1932" s="23">
        <f t="shared" si="66"/>
        <v>4</v>
      </c>
    </row>
    <row r="1933" spans="1:8" x14ac:dyDescent="0.25">
      <c r="A1933" s="22">
        <v>41899.201388888891</v>
      </c>
      <c r="B1933">
        <v>537</v>
      </c>
      <c r="C1933">
        <v>94.2</v>
      </c>
      <c r="D1933">
        <v>13.2</v>
      </c>
      <c r="E1933">
        <v>8.3000000000000007</v>
      </c>
      <c r="G1933">
        <v>17</v>
      </c>
      <c r="H1933" s="23">
        <f t="shared" si="66"/>
        <v>4</v>
      </c>
    </row>
    <row r="1934" spans="1:8" x14ac:dyDescent="0.25">
      <c r="A1934" s="22">
        <v>41899.204861111109</v>
      </c>
      <c r="B1934">
        <v>542.20000000000005</v>
      </c>
      <c r="C1934">
        <v>94.2</v>
      </c>
      <c r="D1934">
        <v>13.4</v>
      </c>
      <c r="E1934">
        <v>8.4</v>
      </c>
      <c r="G1934">
        <v>17</v>
      </c>
      <c r="H1934" s="23">
        <f t="shared" si="66"/>
        <v>4</v>
      </c>
    </row>
    <row r="1935" spans="1:8" x14ac:dyDescent="0.25">
      <c r="A1935" s="22">
        <v>41899.208333333336</v>
      </c>
      <c r="B1935">
        <v>547</v>
      </c>
      <c r="C1935">
        <v>94.3</v>
      </c>
      <c r="D1935">
        <v>13.7</v>
      </c>
      <c r="E1935">
        <v>8.6999999999999993</v>
      </c>
      <c r="G1935">
        <v>17</v>
      </c>
      <c r="H1935" s="23">
        <f t="shared" si="66"/>
        <v>5</v>
      </c>
    </row>
    <row r="1936" spans="1:8" x14ac:dyDescent="0.25">
      <c r="A1936" s="22">
        <v>41899.211805555555</v>
      </c>
      <c r="B1936">
        <v>547.1</v>
      </c>
      <c r="C1936">
        <v>94.3</v>
      </c>
      <c r="D1936">
        <v>13.9</v>
      </c>
      <c r="E1936">
        <v>8.9</v>
      </c>
      <c r="G1936">
        <v>17</v>
      </c>
      <c r="H1936" s="23">
        <f t="shared" si="66"/>
        <v>5</v>
      </c>
    </row>
    <row r="1937" spans="1:8" x14ac:dyDescent="0.25">
      <c r="A1937" s="22">
        <v>41899.215277777781</v>
      </c>
      <c r="B1937">
        <v>543.6</v>
      </c>
      <c r="C1937">
        <v>94.3</v>
      </c>
      <c r="D1937">
        <v>13.9</v>
      </c>
      <c r="E1937">
        <v>8.9</v>
      </c>
      <c r="G1937">
        <v>17</v>
      </c>
      <c r="H1937" s="23">
        <f t="shared" si="66"/>
        <v>5</v>
      </c>
    </row>
    <row r="1938" spans="1:8" x14ac:dyDescent="0.25">
      <c r="A1938" s="22">
        <v>41899.21875</v>
      </c>
      <c r="B1938">
        <v>545.4</v>
      </c>
      <c r="C1938">
        <v>94.2</v>
      </c>
      <c r="D1938">
        <v>13.9</v>
      </c>
      <c r="E1938">
        <v>8.9</v>
      </c>
      <c r="G1938">
        <v>17</v>
      </c>
      <c r="H1938" s="23">
        <f t="shared" si="66"/>
        <v>5</v>
      </c>
    </row>
    <row r="1939" spans="1:8" x14ac:dyDescent="0.25">
      <c r="A1939" s="22">
        <v>41899.222222222219</v>
      </c>
      <c r="B1939">
        <v>547.1</v>
      </c>
      <c r="C1939">
        <v>94.3</v>
      </c>
      <c r="D1939">
        <v>13.8</v>
      </c>
      <c r="E1939">
        <v>8.8000000000000007</v>
      </c>
      <c r="G1939">
        <v>17</v>
      </c>
      <c r="H1939" s="23">
        <f t="shared" si="66"/>
        <v>5</v>
      </c>
    </row>
    <row r="1940" spans="1:8" x14ac:dyDescent="0.25">
      <c r="A1940" s="22">
        <v>41899.225694444445</v>
      </c>
      <c r="B1940">
        <v>547.5</v>
      </c>
      <c r="C1940">
        <v>94.3</v>
      </c>
      <c r="D1940">
        <v>13.8</v>
      </c>
      <c r="E1940">
        <v>8.8000000000000007</v>
      </c>
      <c r="G1940">
        <v>17</v>
      </c>
      <c r="H1940" s="23">
        <f t="shared" si="66"/>
        <v>5</v>
      </c>
    </row>
    <row r="1941" spans="1:8" x14ac:dyDescent="0.25">
      <c r="A1941" s="22">
        <v>41899.229166666664</v>
      </c>
      <c r="B1941">
        <v>543</v>
      </c>
      <c r="C1941">
        <v>94.3</v>
      </c>
      <c r="D1941">
        <v>13.7</v>
      </c>
      <c r="E1941">
        <v>8.6999999999999993</v>
      </c>
      <c r="G1941">
        <v>17</v>
      </c>
      <c r="H1941" s="23">
        <f t="shared" si="66"/>
        <v>5</v>
      </c>
    </row>
    <row r="1942" spans="1:8" x14ac:dyDescent="0.25">
      <c r="A1942" s="22">
        <v>41899.232638888891</v>
      </c>
      <c r="B1942">
        <v>528.70000000000005</v>
      </c>
      <c r="C1942">
        <v>94.2</v>
      </c>
      <c r="D1942">
        <v>13.3</v>
      </c>
      <c r="E1942">
        <v>8.5</v>
      </c>
      <c r="G1942">
        <v>17</v>
      </c>
      <c r="H1942" s="23">
        <f t="shared" si="66"/>
        <v>5</v>
      </c>
    </row>
    <row r="1943" spans="1:8" x14ac:dyDescent="0.25">
      <c r="A1943" s="22">
        <v>41899.236111111109</v>
      </c>
      <c r="B1943">
        <v>511.2</v>
      </c>
      <c r="C1943">
        <v>94.3</v>
      </c>
      <c r="D1943">
        <v>12.3</v>
      </c>
      <c r="E1943">
        <v>7.6</v>
      </c>
      <c r="G1943">
        <v>17</v>
      </c>
      <c r="H1943" s="23">
        <f t="shared" si="66"/>
        <v>5</v>
      </c>
    </row>
    <row r="1944" spans="1:8" x14ac:dyDescent="0.25">
      <c r="A1944" s="22">
        <v>41899.239583333336</v>
      </c>
      <c r="B1944">
        <v>498.6</v>
      </c>
      <c r="C1944">
        <v>94.2</v>
      </c>
      <c r="D1944">
        <v>11.9</v>
      </c>
      <c r="E1944">
        <v>7.3</v>
      </c>
      <c r="G1944">
        <v>17</v>
      </c>
      <c r="H1944" s="23">
        <f t="shared" si="66"/>
        <v>5</v>
      </c>
    </row>
    <row r="1945" spans="1:8" x14ac:dyDescent="0.25">
      <c r="A1945" s="22">
        <v>41899.243055555555</v>
      </c>
      <c r="B1945">
        <v>512.1</v>
      </c>
      <c r="C1945">
        <v>94.3</v>
      </c>
      <c r="D1945">
        <v>12.5</v>
      </c>
      <c r="E1945">
        <v>7.9</v>
      </c>
      <c r="G1945">
        <v>17</v>
      </c>
      <c r="H1945" s="23">
        <f t="shared" si="66"/>
        <v>5</v>
      </c>
    </row>
    <row r="1946" spans="1:8" x14ac:dyDescent="0.25">
      <c r="A1946" s="22">
        <v>41899.246527777781</v>
      </c>
      <c r="B1946">
        <v>509.7</v>
      </c>
      <c r="C1946">
        <v>94.5</v>
      </c>
      <c r="D1946">
        <v>13.4</v>
      </c>
      <c r="E1946">
        <v>8.6999999999999993</v>
      </c>
      <c r="G1946">
        <v>17</v>
      </c>
      <c r="H1946" s="23">
        <f t="shared" si="66"/>
        <v>5</v>
      </c>
    </row>
    <row r="1947" spans="1:8" x14ac:dyDescent="0.25">
      <c r="A1947" s="22">
        <v>41899.25</v>
      </c>
      <c r="B1947">
        <v>504.7</v>
      </c>
      <c r="C1947">
        <v>94.4</v>
      </c>
      <c r="D1947">
        <v>13.2</v>
      </c>
      <c r="E1947">
        <v>8.6</v>
      </c>
      <c r="G1947">
        <v>17</v>
      </c>
      <c r="H1947" s="23">
        <f t="shared" si="66"/>
        <v>6</v>
      </c>
    </row>
    <row r="1948" spans="1:8" x14ac:dyDescent="0.25">
      <c r="A1948" s="22">
        <v>41899.253472222219</v>
      </c>
      <c r="B1948">
        <v>501.6</v>
      </c>
      <c r="C1948">
        <v>94.4</v>
      </c>
      <c r="D1948">
        <v>12.4</v>
      </c>
      <c r="E1948">
        <v>7.9</v>
      </c>
      <c r="G1948">
        <v>17</v>
      </c>
      <c r="H1948" s="23">
        <f t="shared" si="66"/>
        <v>6</v>
      </c>
    </row>
    <row r="1949" spans="1:8" x14ac:dyDescent="0.25">
      <c r="A1949" s="22">
        <v>41899.256944444445</v>
      </c>
      <c r="B1949">
        <v>505.2</v>
      </c>
      <c r="C1949">
        <v>94.4</v>
      </c>
      <c r="D1949">
        <v>12.3</v>
      </c>
      <c r="E1949">
        <v>7.7</v>
      </c>
      <c r="G1949">
        <v>17</v>
      </c>
      <c r="H1949" s="23">
        <f t="shared" si="66"/>
        <v>6</v>
      </c>
    </row>
    <row r="1950" spans="1:8" x14ac:dyDescent="0.25">
      <c r="A1950" s="22">
        <v>41899.260416666664</v>
      </c>
      <c r="B1950">
        <v>502.8</v>
      </c>
      <c r="C1950">
        <v>94.3</v>
      </c>
      <c r="D1950">
        <v>12.2</v>
      </c>
      <c r="E1950">
        <v>7.6</v>
      </c>
      <c r="G1950">
        <v>17</v>
      </c>
      <c r="H1950" s="23">
        <f t="shared" si="66"/>
        <v>6</v>
      </c>
    </row>
    <row r="1951" spans="1:8" x14ac:dyDescent="0.25">
      <c r="A1951" s="22">
        <v>41899.263888888891</v>
      </c>
      <c r="B1951">
        <v>498.7</v>
      </c>
      <c r="C1951">
        <v>94.3</v>
      </c>
      <c r="D1951">
        <v>12</v>
      </c>
      <c r="E1951">
        <v>7.5</v>
      </c>
      <c r="G1951">
        <v>17</v>
      </c>
      <c r="H1951" s="23">
        <f t="shared" si="66"/>
        <v>6</v>
      </c>
    </row>
    <row r="1952" spans="1:8" x14ac:dyDescent="0.25">
      <c r="A1952" s="22">
        <v>41899.267361111109</v>
      </c>
      <c r="B1952">
        <v>494.4</v>
      </c>
      <c r="C1952">
        <v>94.2</v>
      </c>
      <c r="D1952">
        <v>11.9</v>
      </c>
      <c r="E1952">
        <v>7.4</v>
      </c>
      <c r="G1952">
        <v>17</v>
      </c>
      <c r="H1952" s="23">
        <f t="shared" si="66"/>
        <v>6</v>
      </c>
    </row>
    <row r="1953" spans="1:8" x14ac:dyDescent="0.25">
      <c r="A1953" s="22">
        <v>41899.270833333336</v>
      </c>
      <c r="B1953">
        <v>491.3</v>
      </c>
      <c r="C1953">
        <v>94.2</v>
      </c>
      <c r="D1953">
        <v>11.7</v>
      </c>
      <c r="E1953">
        <v>7.2</v>
      </c>
      <c r="G1953">
        <v>17</v>
      </c>
      <c r="H1953" s="23">
        <f t="shared" si="66"/>
        <v>6</v>
      </c>
    </row>
    <row r="1954" spans="1:8" x14ac:dyDescent="0.25">
      <c r="A1954" s="22">
        <v>41899.274305555555</v>
      </c>
      <c r="B1954">
        <v>490</v>
      </c>
      <c r="C1954">
        <v>94.2</v>
      </c>
      <c r="D1954">
        <v>11.6</v>
      </c>
      <c r="E1954">
        <v>7.1</v>
      </c>
      <c r="G1954">
        <v>17</v>
      </c>
      <c r="H1954" s="23">
        <f t="shared" si="66"/>
        <v>6</v>
      </c>
    </row>
    <row r="1955" spans="1:8" x14ac:dyDescent="0.25">
      <c r="A1955" s="22">
        <v>41899.277777777781</v>
      </c>
      <c r="B1955">
        <v>486.8</v>
      </c>
      <c r="C1955">
        <v>94</v>
      </c>
      <c r="D1955">
        <v>11.4</v>
      </c>
      <c r="E1955">
        <v>7</v>
      </c>
      <c r="G1955">
        <v>17</v>
      </c>
      <c r="H1955" s="23">
        <f t="shared" si="66"/>
        <v>6</v>
      </c>
    </row>
    <row r="1956" spans="1:8" x14ac:dyDescent="0.25">
      <c r="A1956" s="22">
        <v>41899.28125</v>
      </c>
      <c r="B1956">
        <v>484.6</v>
      </c>
      <c r="C1956">
        <v>94.2</v>
      </c>
      <c r="D1956">
        <v>11.3</v>
      </c>
      <c r="E1956">
        <v>6.9</v>
      </c>
      <c r="G1956">
        <v>17</v>
      </c>
      <c r="H1956" s="23">
        <f t="shared" si="66"/>
        <v>6</v>
      </c>
    </row>
    <row r="1957" spans="1:8" x14ac:dyDescent="0.25">
      <c r="A1957" s="22">
        <v>41899.284722222219</v>
      </c>
      <c r="B1957">
        <v>487</v>
      </c>
      <c r="C1957">
        <v>94.2</v>
      </c>
      <c r="D1957">
        <v>11.1</v>
      </c>
      <c r="E1957">
        <v>6.7</v>
      </c>
      <c r="G1957">
        <v>17</v>
      </c>
      <c r="H1957" s="23">
        <f t="shared" si="66"/>
        <v>6</v>
      </c>
    </row>
    <row r="1958" spans="1:8" x14ac:dyDescent="0.25">
      <c r="A1958" s="22">
        <v>41899.288194444445</v>
      </c>
      <c r="B1958">
        <v>490.3</v>
      </c>
      <c r="C1958">
        <v>94.1</v>
      </c>
      <c r="D1958">
        <v>11</v>
      </c>
      <c r="E1958">
        <v>6.5</v>
      </c>
      <c r="G1958">
        <v>17</v>
      </c>
      <c r="H1958" s="23">
        <f t="shared" si="66"/>
        <v>6</v>
      </c>
    </row>
    <row r="1959" spans="1:8" x14ac:dyDescent="0.25">
      <c r="A1959" s="22">
        <v>41899.291666666664</v>
      </c>
      <c r="B1959">
        <v>488.4</v>
      </c>
      <c r="C1959">
        <v>94</v>
      </c>
      <c r="D1959">
        <v>10.9</v>
      </c>
      <c r="E1959">
        <v>6.4</v>
      </c>
      <c r="G1959">
        <v>17</v>
      </c>
      <c r="H1959" s="23">
        <f t="shared" si="66"/>
        <v>7</v>
      </c>
    </row>
    <row r="1960" spans="1:8" x14ac:dyDescent="0.25">
      <c r="A1960" s="22">
        <v>41899.295138888891</v>
      </c>
      <c r="B1960">
        <v>486.9</v>
      </c>
      <c r="C1960">
        <v>94</v>
      </c>
      <c r="D1960">
        <v>10.7</v>
      </c>
      <c r="E1960">
        <v>6.3</v>
      </c>
      <c r="G1960">
        <v>17</v>
      </c>
      <c r="H1960" s="23">
        <f t="shared" si="66"/>
        <v>7</v>
      </c>
    </row>
    <row r="1961" spans="1:8" x14ac:dyDescent="0.25">
      <c r="A1961" s="22">
        <v>41899.298611111109</v>
      </c>
      <c r="B1961">
        <v>482.6</v>
      </c>
      <c r="C1961">
        <v>94</v>
      </c>
      <c r="D1961">
        <v>10.6</v>
      </c>
      <c r="E1961">
        <v>6.2</v>
      </c>
      <c r="G1961">
        <v>17</v>
      </c>
      <c r="H1961" s="23">
        <f t="shared" si="66"/>
        <v>7</v>
      </c>
    </row>
    <row r="1962" spans="1:8" x14ac:dyDescent="0.25">
      <c r="A1962" s="22">
        <v>41899.302083333336</v>
      </c>
      <c r="B1962">
        <v>480.3</v>
      </c>
      <c r="C1962">
        <v>94.1</v>
      </c>
      <c r="D1962">
        <v>10.5</v>
      </c>
      <c r="E1962">
        <v>6.1</v>
      </c>
      <c r="G1962">
        <v>17</v>
      </c>
      <c r="H1962" s="23">
        <f t="shared" si="66"/>
        <v>7</v>
      </c>
    </row>
    <row r="1963" spans="1:8" x14ac:dyDescent="0.25">
      <c r="A1963" s="22">
        <v>41899.305555555555</v>
      </c>
      <c r="B1963">
        <v>503.7</v>
      </c>
      <c r="C1963">
        <v>94</v>
      </c>
      <c r="D1963">
        <v>11.3</v>
      </c>
      <c r="E1963">
        <v>6.7</v>
      </c>
      <c r="G1963">
        <v>17</v>
      </c>
      <c r="H1963" s="23">
        <f t="shared" si="66"/>
        <v>7</v>
      </c>
    </row>
    <row r="1964" spans="1:8" x14ac:dyDescent="0.25">
      <c r="A1964" s="22">
        <v>41899.309027777781</v>
      </c>
      <c r="B1964">
        <v>469.7</v>
      </c>
      <c r="C1964">
        <v>94</v>
      </c>
      <c r="D1964">
        <v>11.1</v>
      </c>
      <c r="E1964">
        <v>6.8</v>
      </c>
      <c r="G1964">
        <v>17</v>
      </c>
      <c r="H1964" s="23">
        <f t="shared" si="66"/>
        <v>7</v>
      </c>
    </row>
    <row r="1965" spans="1:8" x14ac:dyDescent="0.25">
      <c r="A1965" s="22">
        <v>41899.3125</v>
      </c>
      <c r="B1965">
        <v>473.2</v>
      </c>
      <c r="C1965">
        <v>94</v>
      </c>
      <c r="D1965">
        <v>10.5</v>
      </c>
      <c r="E1965">
        <v>6.2</v>
      </c>
      <c r="G1965">
        <v>17</v>
      </c>
      <c r="H1965" s="23">
        <f t="shared" si="66"/>
        <v>7</v>
      </c>
    </row>
    <row r="1966" spans="1:8" x14ac:dyDescent="0.25">
      <c r="A1966" s="22">
        <v>41899.315972222219</v>
      </c>
      <c r="B1966">
        <v>471.8</v>
      </c>
      <c r="C1966">
        <v>93.9</v>
      </c>
      <c r="D1966">
        <v>10.4</v>
      </c>
      <c r="E1966">
        <v>6.1</v>
      </c>
      <c r="G1966">
        <v>17</v>
      </c>
      <c r="H1966" s="23">
        <f t="shared" si="66"/>
        <v>7</v>
      </c>
    </row>
    <row r="1967" spans="1:8" x14ac:dyDescent="0.25">
      <c r="A1967" s="22">
        <v>41899.319444444445</v>
      </c>
      <c r="B1967">
        <v>470.5</v>
      </c>
      <c r="C1967">
        <v>94</v>
      </c>
      <c r="D1967">
        <v>10.4</v>
      </c>
      <c r="E1967">
        <v>6.1</v>
      </c>
      <c r="G1967">
        <v>17</v>
      </c>
      <c r="H1967" s="23">
        <f t="shared" si="66"/>
        <v>7</v>
      </c>
    </row>
    <row r="1968" spans="1:8" x14ac:dyDescent="0.25">
      <c r="A1968" s="22">
        <v>41899.322916666664</v>
      </c>
      <c r="B1968">
        <v>466.4</v>
      </c>
      <c r="C1968">
        <v>93.9</v>
      </c>
      <c r="D1968">
        <v>10.4</v>
      </c>
      <c r="E1968">
        <v>6.1</v>
      </c>
      <c r="G1968">
        <v>17</v>
      </c>
      <c r="H1968" s="23">
        <f t="shared" si="66"/>
        <v>7</v>
      </c>
    </row>
    <row r="1969" spans="1:8" x14ac:dyDescent="0.25">
      <c r="A1969" s="22">
        <v>41899.326388888891</v>
      </c>
      <c r="B1969">
        <v>462.4</v>
      </c>
      <c r="C1969">
        <v>93.9</v>
      </c>
      <c r="D1969">
        <v>10.5</v>
      </c>
      <c r="E1969">
        <v>6.2</v>
      </c>
      <c r="G1969">
        <v>17</v>
      </c>
      <c r="H1969" s="23">
        <f t="shared" si="66"/>
        <v>7</v>
      </c>
    </row>
    <row r="1970" spans="1:8" x14ac:dyDescent="0.25">
      <c r="A1970" s="22">
        <v>41899.329861111109</v>
      </c>
      <c r="B1970">
        <v>464.1</v>
      </c>
      <c r="C1970">
        <v>94.1</v>
      </c>
      <c r="D1970">
        <v>10.3</v>
      </c>
      <c r="E1970">
        <v>6.1</v>
      </c>
      <c r="G1970">
        <v>17</v>
      </c>
      <c r="H1970" s="23">
        <f t="shared" si="66"/>
        <v>7</v>
      </c>
    </row>
    <row r="1971" spans="1:8" x14ac:dyDescent="0.25">
      <c r="A1971" s="22">
        <v>41899.333333333336</v>
      </c>
      <c r="B1971">
        <v>467.3</v>
      </c>
      <c r="C1971">
        <v>94</v>
      </c>
      <c r="D1971">
        <v>10.3</v>
      </c>
      <c r="E1971">
        <v>6</v>
      </c>
      <c r="G1971">
        <v>17</v>
      </c>
      <c r="H1971" s="23">
        <f t="shared" si="66"/>
        <v>8</v>
      </c>
    </row>
    <row r="1972" spans="1:8" x14ac:dyDescent="0.25">
      <c r="A1972" s="22">
        <v>41899.336805555555</v>
      </c>
      <c r="B1972">
        <v>465.7</v>
      </c>
      <c r="C1972">
        <v>94</v>
      </c>
      <c r="D1972">
        <v>10.3</v>
      </c>
      <c r="E1972">
        <v>6</v>
      </c>
      <c r="G1972">
        <v>17</v>
      </c>
      <c r="H1972" s="23">
        <f t="shared" si="66"/>
        <v>8</v>
      </c>
    </row>
    <row r="1973" spans="1:8" x14ac:dyDescent="0.25">
      <c r="A1973" s="22">
        <v>41899.340277777781</v>
      </c>
      <c r="B1973">
        <v>462.3</v>
      </c>
      <c r="C1973">
        <v>94</v>
      </c>
      <c r="D1973">
        <v>10.199999999999999</v>
      </c>
      <c r="E1973">
        <v>6</v>
      </c>
      <c r="G1973">
        <v>17</v>
      </c>
      <c r="H1973" s="23">
        <f t="shared" si="66"/>
        <v>8</v>
      </c>
    </row>
    <row r="1974" spans="1:8" x14ac:dyDescent="0.25">
      <c r="A1974" s="22">
        <v>41899.34375</v>
      </c>
      <c r="B1974">
        <v>461.8</v>
      </c>
      <c r="C1974">
        <v>94</v>
      </c>
      <c r="D1974">
        <v>10.3</v>
      </c>
      <c r="E1974">
        <v>6</v>
      </c>
      <c r="G1974">
        <v>17</v>
      </c>
      <c r="H1974" s="23">
        <f t="shared" si="66"/>
        <v>8</v>
      </c>
    </row>
    <row r="1975" spans="1:8" x14ac:dyDescent="0.25">
      <c r="A1975" s="22">
        <v>41899.347222222219</v>
      </c>
      <c r="B1975">
        <v>462.1</v>
      </c>
      <c r="C1975">
        <v>94.1</v>
      </c>
      <c r="D1975">
        <v>10.199999999999999</v>
      </c>
      <c r="E1975">
        <v>6</v>
      </c>
      <c r="G1975">
        <v>17</v>
      </c>
      <c r="H1975" s="23">
        <f t="shared" si="66"/>
        <v>8</v>
      </c>
    </row>
    <row r="1976" spans="1:8" x14ac:dyDescent="0.25">
      <c r="A1976" s="22">
        <v>41899.350694444445</v>
      </c>
      <c r="B1976">
        <v>461.3</v>
      </c>
      <c r="C1976">
        <v>94</v>
      </c>
      <c r="D1976">
        <v>10.199999999999999</v>
      </c>
      <c r="E1976">
        <v>6</v>
      </c>
      <c r="G1976">
        <v>17</v>
      </c>
      <c r="H1976" s="23">
        <f t="shared" si="66"/>
        <v>8</v>
      </c>
    </row>
    <row r="1977" spans="1:8" x14ac:dyDescent="0.25">
      <c r="A1977" s="22">
        <v>41899.354166666664</v>
      </c>
      <c r="B1977">
        <v>460.5</v>
      </c>
      <c r="C1977">
        <v>94</v>
      </c>
      <c r="D1977">
        <v>10.199999999999999</v>
      </c>
      <c r="E1977">
        <v>6</v>
      </c>
      <c r="G1977">
        <v>17</v>
      </c>
      <c r="H1977" s="23">
        <f t="shared" si="66"/>
        <v>8</v>
      </c>
    </row>
    <row r="1978" spans="1:8" x14ac:dyDescent="0.25">
      <c r="A1978" s="22">
        <v>41899.357638888891</v>
      </c>
      <c r="B1978">
        <v>457.3</v>
      </c>
      <c r="C1978">
        <v>93.9</v>
      </c>
      <c r="D1978">
        <v>10.1</v>
      </c>
      <c r="E1978">
        <v>5.9</v>
      </c>
      <c r="G1978">
        <v>17</v>
      </c>
      <c r="H1978" s="23">
        <f t="shared" si="66"/>
        <v>8</v>
      </c>
    </row>
    <row r="1979" spans="1:8" x14ac:dyDescent="0.25">
      <c r="A1979" s="22">
        <v>41899.361111111109</v>
      </c>
      <c r="B1979">
        <v>462.1</v>
      </c>
      <c r="C1979">
        <v>94</v>
      </c>
      <c r="D1979">
        <v>10.1</v>
      </c>
      <c r="E1979">
        <v>5.9</v>
      </c>
      <c r="G1979">
        <v>17</v>
      </c>
      <c r="H1979" s="23">
        <f t="shared" si="66"/>
        <v>8</v>
      </c>
    </row>
    <row r="1980" spans="1:8" x14ac:dyDescent="0.25">
      <c r="A1980" s="22">
        <v>41899.364583333336</v>
      </c>
      <c r="B1980">
        <v>461.5</v>
      </c>
      <c r="C1980">
        <v>93.9</v>
      </c>
      <c r="D1980">
        <v>10.1</v>
      </c>
      <c r="E1980">
        <v>5.9</v>
      </c>
      <c r="G1980">
        <v>17</v>
      </c>
      <c r="H1980" s="23">
        <f t="shared" si="66"/>
        <v>8</v>
      </c>
    </row>
    <row r="1981" spans="1:8" x14ac:dyDescent="0.25">
      <c r="A1981" s="22">
        <v>41899.368055555555</v>
      </c>
      <c r="B1981">
        <v>460.3</v>
      </c>
      <c r="C1981">
        <v>94</v>
      </c>
      <c r="D1981">
        <v>10</v>
      </c>
      <c r="E1981">
        <v>5.8</v>
      </c>
      <c r="G1981">
        <v>17</v>
      </c>
      <c r="H1981" s="23">
        <f t="shared" si="66"/>
        <v>8</v>
      </c>
    </row>
    <row r="1982" spans="1:8" x14ac:dyDescent="0.25">
      <c r="A1982" s="22">
        <v>41899.371527777781</v>
      </c>
      <c r="B1982">
        <v>458.4</v>
      </c>
      <c r="C1982">
        <v>94</v>
      </c>
      <c r="D1982">
        <v>10</v>
      </c>
      <c r="E1982">
        <v>5.8</v>
      </c>
      <c r="G1982">
        <v>17</v>
      </c>
      <c r="H1982" s="23">
        <f t="shared" si="66"/>
        <v>8</v>
      </c>
    </row>
    <row r="1983" spans="1:8" x14ac:dyDescent="0.25">
      <c r="A1983" s="22">
        <v>41899.375</v>
      </c>
      <c r="B1983">
        <v>456.7</v>
      </c>
      <c r="C1983">
        <v>93.9</v>
      </c>
      <c r="D1983">
        <v>10</v>
      </c>
      <c r="E1983">
        <v>5.8</v>
      </c>
      <c r="G1983">
        <v>17</v>
      </c>
      <c r="H1983" s="23">
        <f t="shared" si="66"/>
        <v>9</v>
      </c>
    </row>
    <row r="1984" spans="1:8" x14ac:dyDescent="0.25">
      <c r="A1984" s="22">
        <v>41899.378472222219</v>
      </c>
      <c r="B1984">
        <v>455.7</v>
      </c>
      <c r="C1984">
        <v>94</v>
      </c>
      <c r="D1984">
        <v>10</v>
      </c>
      <c r="E1984">
        <v>5.8</v>
      </c>
      <c r="G1984">
        <v>17</v>
      </c>
      <c r="H1984" s="23">
        <f t="shared" si="66"/>
        <v>9</v>
      </c>
    </row>
    <row r="1985" spans="1:8" x14ac:dyDescent="0.25">
      <c r="A1985" s="22">
        <v>41899.381944444445</v>
      </c>
      <c r="B1985">
        <v>453.9</v>
      </c>
      <c r="C1985">
        <v>93.9</v>
      </c>
      <c r="D1985">
        <v>10</v>
      </c>
      <c r="E1985">
        <v>5.8</v>
      </c>
      <c r="G1985">
        <v>17</v>
      </c>
      <c r="H1985" s="23">
        <f t="shared" si="66"/>
        <v>9</v>
      </c>
    </row>
    <row r="1986" spans="1:8" x14ac:dyDescent="0.25">
      <c r="A1986" s="22">
        <v>41899.385416666664</v>
      </c>
      <c r="B1986">
        <v>454.8</v>
      </c>
      <c r="C1986">
        <v>94</v>
      </c>
      <c r="D1986">
        <v>10</v>
      </c>
      <c r="E1986">
        <v>5.8</v>
      </c>
      <c r="G1986">
        <v>17</v>
      </c>
      <c r="H1986" s="23">
        <f t="shared" si="66"/>
        <v>9</v>
      </c>
    </row>
    <row r="1987" spans="1:8" x14ac:dyDescent="0.25">
      <c r="A1987" s="22">
        <v>41899.388888888891</v>
      </c>
      <c r="B1987">
        <v>455.3</v>
      </c>
      <c r="C1987">
        <v>94</v>
      </c>
      <c r="D1987">
        <v>10</v>
      </c>
      <c r="E1987">
        <v>5.8</v>
      </c>
      <c r="G1987">
        <v>17</v>
      </c>
      <c r="H1987" s="23">
        <f t="shared" si="66"/>
        <v>9</v>
      </c>
    </row>
    <row r="1988" spans="1:8" x14ac:dyDescent="0.25">
      <c r="A1988" s="22">
        <v>41899.392361111109</v>
      </c>
      <c r="B1988">
        <v>454</v>
      </c>
      <c r="C1988">
        <v>94</v>
      </c>
      <c r="D1988">
        <v>10</v>
      </c>
      <c r="E1988">
        <v>5.8</v>
      </c>
      <c r="G1988">
        <v>17</v>
      </c>
      <c r="H1988" s="23">
        <f t="shared" si="66"/>
        <v>9</v>
      </c>
    </row>
    <row r="1989" spans="1:8" x14ac:dyDescent="0.25">
      <c r="A1989" s="22">
        <v>41899.395833333336</v>
      </c>
      <c r="B1989">
        <v>456</v>
      </c>
      <c r="C1989">
        <v>94</v>
      </c>
      <c r="D1989">
        <v>10</v>
      </c>
      <c r="E1989">
        <v>5.8</v>
      </c>
      <c r="G1989">
        <v>17</v>
      </c>
      <c r="H1989" s="23">
        <f t="shared" si="66"/>
        <v>9</v>
      </c>
    </row>
    <row r="1990" spans="1:8" x14ac:dyDescent="0.25">
      <c r="A1990" s="22">
        <v>41899.399305555555</v>
      </c>
      <c r="B1990">
        <v>455.5</v>
      </c>
      <c r="C1990">
        <v>93.9</v>
      </c>
      <c r="D1990">
        <v>10</v>
      </c>
      <c r="E1990">
        <v>5.9</v>
      </c>
      <c r="G1990">
        <v>17</v>
      </c>
      <c r="H1990" s="23">
        <f t="shared" ref="H1990:H2053" si="67">+HOUR(A1990)</f>
        <v>9</v>
      </c>
    </row>
    <row r="1991" spans="1:8" x14ac:dyDescent="0.25">
      <c r="A1991" s="22">
        <v>41899.402777777781</v>
      </c>
      <c r="B1991">
        <v>458.2</v>
      </c>
      <c r="C1991">
        <v>94</v>
      </c>
      <c r="D1991">
        <v>10.1</v>
      </c>
      <c r="E1991">
        <v>5.9</v>
      </c>
      <c r="G1991">
        <v>17</v>
      </c>
      <c r="H1991" s="23">
        <f t="shared" si="67"/>
        <v>9</v>
      </c>
    </row>
    <row r="1992" spans="1:8" x14ac:dyDescent="0.25">
      <c r="A1992" s="22">
        <v>41899.40625</v>
      </c>
      <c r="B1992">
        <v>456.6</v>
      </c>
      <c r="C1992">
        <v>93.9</v>
      </c>
      <c r="D1992">
        <v>10.1</v>
      </c>
      <c r="E1992">
        <v>5.9</v>
      </c>
      <c r="G1992">
        <v>17</v>
      </c>
      <c r="H1992" s="23">
        <f t="shared" si="67"/>
        <v>9</v>
      </c>
    </row>
    <row r="1993" spans="1:8" x14ac:dyDescent="0.25">
      <c r="A1993" s="22">
        <v>41899.409722222219</v>
      </c>
      <c r="B1993">
        <v>459.5</v>
      </c>
      <c r="C1993">
        <v>94</v>
      </c>
      <c r="D1993">
        <v>10.1</v>
      </c>
      <c r="E1993">
        <v>5.9</v>
      </c>
      <c r="G1993">
        <v>17</v>
      </c>
      <c r="H1993" s="23">
        <f t="shared" si="67"/>
        <v>9</v>
      </c>
    </row>
    <row r="1994" spans="1:8" x14ac:dyDescent="0.25">
      <c r="A1994" s="22">
        <v>41899.413194444445</v>
      </c>
      <c r="B1994">
        <v>461.7</v>
      </c>
      <c r="C1994">
        <v>94</v>
      </c>
      <c r="D1994">
        <v>10.1</v>
      </c>
      <c r="E1994">
        <v>5.9</v>
      </c>
      <c r="G1994">
        <v>17</v>
      </c>
      <c r="H1994" s="23">
        <f t="shared" si="67"/>
        <v>9</v>
      </c>
    </row>
    <row r="1995" spans="1:8" x14ac:dyDescent="0.25">
      <c r="A1995" s="22">
        <v>41899.416666666664</v>
      </c>
      <c r="B1995">
        <v>464.8</v>
      </c>
      <c r="C1995">
        <v>93.9</v>
      </c>
      <c r="D1995">
        <v>10.1</v>
      </c>
      <c r="E1995">
        <v>5.9</v>
      </c>
      <c r="G1995">
        <v>17</v>
      </c>
      <c r="H1995" s="23">
        <f t="shared" si="67"/>
        <v>10</v>
      </c>
    </row>
    <row r="1996" spans="1:8" x14ac:dyDescent="0.25">
      <c r="A1996" s="22">
        <v>41899.420138888891</v>
      </c>
      <c r="B1996">
        <v>466.1</v>
      </c>
      <c r="C1996">
        <v>94</v>
      </c>
      <c r="D1996">
        <v>10.1</v>
      </c>
      <c r="E1996">
        <v>5.9</v>
      </c>
      <c r="G1996">
        <v>17</v>
      </c>
      <c r="H1996" s="23">
        <f t="shared" si="67"/>
        <v>10</v>
      </c>
    </row>
    <row r="1997" spans="1:8" x14ac:dyDescent="0.25">
      <c r="A1997" s="22">
        <v>41899.423611111109</v>
      </c>
      <c r="B1997">
        <v>462.6</v>
      </c>
      <c r="C1997">
        <v>94</v>
      </c>
      <c r="D1997">
        <v>10.1</v>
      </c>
      <c r="E1997">
        <v>5.9</v>
      </c>
      <c r="G1997">
        <v>17</v>
      </c>
      <c r="H1997" s="23">
        <f t="shared" si="67"/>
        <v>10</v>
      </c>
    </row>
    <row r="1998" spans="1:8" x14ac:dyDescent="0.25">
      <c r="A1998" s="22">
        <v>41899.427083333336</v>
      </c>
      <c r="B1998">
        <v>465.7</v>
      </c>
      <c r="C1998">
        <v>94</v>
      </c>
      <c r="D1998">
        <v>10.199999999999999</v>
      </c>
      <c r="E1998">
        <v>5.9</v>
      </c>
      <c r="G1998">
        <v>17</v>
      </c>
      <c r="H1998" s="23">
        <f t="shared" si="67"/>
        <v>10</v>
      </c>
    </row>
    <row r="1999" spans="1:8" x14ac:dyDescent="0.25">
      <c r="A1999" s="22">
        <v>41899.430555555555</v>
      </c>
      <c r="B1999">
        <v>464.2</v>
      </c>
      <c r="C1999">
        <v>93.9</v>
      </c>
      <c r="D1999">
        <v>10.199999999999999</v>
      </c>
      <c r="E1999">
        <v>5.9</v>
      </c>
      <c r="G1999">
        <v>17</v>
      </c>
      <c r="H1999" s="23">
        <f t="shared" si="67"/>
        <v>10</v>
      </c>
    </row>
    <row r="2000" spans="1:8" x14ac:dyDescent="0.25">
      <c r="A2000" s="22">
        <v>41899.434027777781</v>
      </c>
      <c r="B2000">
        <v>463.8</v>
      </c>
      <c r="C2000">
        <v>94</v>
      </c>
      <c r="D2000">
        <v>10.199999999999999</v>
      </c>
      <c r="E2000">
        <v>5.9</v>
      </c>
      <c r="G2000">
        <v>17</v>
      </c>
      <c r="H2000" s="23">
        <f t="shared" si="67"/>
        <v>10</v>
      </c>
    </row>
    <row r="2001" spans="1:8" x14ac:dyDescent="0.25">
      <c r="A2001" s="22">
        <v>41899.4375</v>
      </c>
      <c r="B2001">
        <v>457.8</v>
      </c>
      <c r="C2001">
        <v>94</v>
      </c>
      <c r="D2001">
        <v>10</v>
      </c>
      <c r="E2001">
        <v>5.8</v>
      </c>
      <c r="G2001">
        <v>17</v>
      </c>
      <c r="H2001" s="23">
        <f t="shared" si="67"/>
        <v>10</v>
      </c>
    </row>
    <row r="2002" spans="1:8" x14ac:dyDescent="0.25">
      <c r="A2002" s="22">
        <v>41899.440972222219</v>
      </c>
      <c r="B2002">
        <v>440.9</v>
      </c>
      <c r="C2002">
        <v>94</v>
      </c>
      <c r="D2002">
        <v>9.8000000000000007</v>
      </c>
      <c r="E2002">
        <v>5.8</v>
      </c>
      <c r="G2002">
        <v>17</v>
      </c>
      <c r="H2002" s="23">
        <f t="shared" si="67"/>
        <v>10</v>
      </c>
    </row>
    <row r="2003" spans="1:8" x14ac:dyDescent="0.25">
      <c r="A2003" s="22">
        <v>41899.444444444445</v>
      </c>
      <c r="B2003">
        <v>432.7</v>
      </c>
      <c r="C2003">
        <v>93.9</v>
      </c>
      <c r="D2003">
        <v>9.6999999999999993</v>
      </c>
      <c r="E2003">
        <v>5.8</v>
      </c>
      <c r="G2003">
        <v>17</v>
      </c>
      <c r="H2003" s="23">
        <f t="shared" si="67"/>
        <v>10</v>
      </c>
    </row>
    <row r="2004" spans="1:8" x14ac:dyDescent="0.25">
      <c r="A2004" s="22">
        <v>41899.447916666664</v>
      </c>
      <c r="B2004">
        <v>429.5</v>
      </c>
      <c r="C2004">
        <v>94</v>
      </c>
      <c r="D2004">
        <v>9.6999999999999993</v>
      </c>
      <c r="E2004">
        <v>5.8</v>
      </c>
      <c r="G2004">
        <v>17</v>
      </c>
      <c r="H2004" s="23">
        <f t="shared" si="67"/>
        <v>10</v>
      </c>
    </row>
    <row r="2005" spans="1:8" x14ac:dyDescent="0.25">
      <c r="A2005" s="22">
        <v>41899.451388888891</v>
      </c>
      <c r="B2005">
        <v>424.9</v>
      </c>
      <c r="C2005">
        <v>94.1</v>
      </c>
      <c r="D2005">
        <v>9.6999999999999993</v>
      </c>
      <c r="E2005">
        <v>5.8</v>
      </c>
      <c r="G2005">
        <v>17</v>
      </c>
      <c r="H2005" s="23">
        <f t="shared" si="67"/>
        <v>10</v>
      </c>
    </row>
    <row r="2006" spans="1:8" x14ac:dyDescent="0.25">
      <c r="A2006" s="22">
        <v>41899.454861111109</v>
      </c>
      <c r="B2006">
        <v>419.6</v>
      </c>
      <c r="C2006">
        <v>94</v>
      </c>
      <c r="D2006">
        <v>9.6</v>
      </c>
      <c r="E2006">
        <v>5.8</v>
      </c>
      <c r="G2006">
        <v>17</v>
      </c>
      <c r="H2006" s="23">
        <f t="shared" si="67"/>
        <v>10</v>
      </c>
    </row>
    <row r="2007" spans="1:8" x14ac:dyDescent="0.25">
      <c r="A2007" s="22">
        <v>41899.458333333336</v>
      </c>
      <c r="B2007">
        <v>413.4</v>
      </c>
      <c r="C2007">
        <v>93.9</v>
      </c>
      <c r="D2007">
        <v>9.6</v>
      </c>
      <c r="E2007">
        <v>5.8</v>
      </c>
      <c r="G2007">
        <v>17</v>
      </c>
      <c r="H2007" s="23">
        <f t="shared" si="67"/>
        <v>11</v>
      </c>
    </row>
    <row r="2008" spans="1:8" x14ac:dyDescent="0.25">
      <c r="A2008" s="22">
        <v>41899.461805555555</v>
      </c>
      <c r="B2008">
        <v>413</v>
      </c>
      <c r="C2008">
        <v>93.9</v>
      </c>
      <c r="D2008">
        <v>9.6</v>
      </c>
      <c r="E2008">
        <v>5.8</v>
      </c>
      <c r="G2008">
        <v>17</v>
      </c>
      <c r="H2008" s="23">
        <f t="shared" si="67"/>
        <v>11</v>
      </c>
    </row>
    <row r="2009" spans="1:8" x14ac:dyDescent="0.25">
      <c r="A2009" s="22">
        <v>41899.465277777781</v>
      </c>
      <c r="B2009">
        <v>416.9</v>
      </c>
      <c r="C2009">
        <v>94</v>
      </c>
      <c r="D2009">
        <v>9.6</v>
      </c>
      <c r="E2009">
        <v>5.8</v>
      </c>
      <c r="G2009">
        <v>17</v>
      </c>
      <c r="H2009" s="23">
        <f t="shared" si="67"/>
        <v>11</v>
      </c>
    </row>
    <row r="2010" spans="1:8" x14ac:dyDescent="0.25">
      <c r="A2010" s="22">
        <v>41899.46875</v>
      </c>
      <c r="B2010">
        <v>420.3</v>
      </c>
      <c r="C2010">
        <v>94</v>
      </c>
      <c r="D2010">
        <v>9.6</v>
      </c>
      <c r="E2010">
        <v>5.8</v>
      </c>
      <c r="G2010">
        <v>17</v>
      </c>
      <c r="H2010" s="23">
        <f t="shared" si="67"/>
        <v>11</v>
      </c>
    </row>
    <row r="2011" spans="1:8" x14ac:dyDescent="0.25">
      <c r="A2011" s="22">
        <v>41899.472222222219</v>
      </c>
      <c r="B2011">
        <v>424.2</v>
      </c>
      <c r="C2011">
        <v>93.9</v>
      </c>
      <c r="D2011">
        <v>9.6999999999999993</v>
      </c>
      <c r="E2011">
        <v>5.8</v>
      </c>
      <c r="G2011">
        <v>17</v>
      </c>
      <c r="H2011" s="23">
        <f t="shared" si="67"/>
        <v>11</v>
      </c>
    </row>
    <row r="2012" spans="1:8" x14ac:dyDescent="0.25">
      <c r="A2012" s="22">
        <v>41899.475694444445</v>
      </c>
      <c r="B2012">
        <v>426</v>
      </c>
      <c r="C2012">
        <v>94</v>
      </c>
      <c r="D2012">
        <v>9.6999999999999993</v>
      </c>
      <c r="E2012">
        <v>5.8</v>
      </c>
      <c r="G2012">
        <v>17</v>
      </c>
      <c r="H2012" s="23">
        <f t="shared" si="67"/>
        <v>11</v>
      </c>
    </row>
    <row r="2013" spans="1:8" x14ac:dyDescent="0.25">
      <c r="A2013" s="22">
        <v>41899.479166666664</v>
      </c>
      <c r="B2013">
        <v>427.2</v>
      </c>
      <c r="C2013">
        <v>94</v>
      </c>
      <c r="D2013">
        <v>9.6999999999999993</v>
      </c>
      <c r="E2013">
        <v>5.8</v>
      </c>
      <c r="G2013">
        <v>17</v>
      </c>
      <c r="H2013" s="23">
        <f t="shared" si="67"/>
        <v>11</v>
      </c>
    </row>
    <row r="2014" spans="1:8" x14ac:dyDescent="0.25">
      <c r="A2014" s="22">
        <v>41899.482638888891</v>
      </c>
      <c r="B2014">
        <v>424.6</v>
      </c>
      <c r="C2014">
        <v>94</v>
      </c>
      <c r="D2014">
        <v>9.6999999999999993</v>
      </c>
      <c r="E2014">
        <v>5.8</v>
      </c>
      <c r="G2014">
        <v>17</v>
      </c>
      <c r="H2014" s="23">
        <f t="shared" si="67"/>
        <v>11</v>
      </c>
    </row>
    <row r="2015" spans="1:8" x14ac:dyDescent="0.25">
      <c r="A2015" s="22">
        <v>41899.486111111109</v>
      </c>
      <c r="B2015">
        <v>420.1</v>
      </c>
      <c r="C2015">
        <v>93.9</v>
      </c>
      <c r="D2015">
        <v>9.6</v>
      </c>
      <c r="E2015">
        <v>5.8</v>
      </c>
      <c r="G2015">
        <v>17</v>
      </c>
      <c r="H2015" s="23">
        <f t="shared" si="67"/>
        <v>11</v>
      </c>
    </row>
    <row r="2016" spans="1:8" x14ac:dyDescent="0.25">
      <c r="A2016" s="22">
        <v>41899.489583333336</v>
      </c>
      <c r="B2016">
        <v>420.9</v>
      </c>
      <c r="C2016">
        <v>94</v>
      </c>
      <c r="D2016">
        <v>9.6</v>
      </c>
      <c r="E2016">
        <v>5.8</v>
      </c>
      <c r="G2016">
        <v>17</v>
      </c>
      <c r="H2016" s="23">
        <f t="shared" si="67"/>
        <v>11</v>
      </c>
    </row>
    <row r="2017" spans="1:8" x14ac:dyDescent="0.25">
      <c r="A2017" s="22">
        <v>41899.493055555555</v>
      </c>
      <c r="B2017">
        <v>420.5</v>
      </c>
      <c r="C2017">
        <v>93.9</v>
      </c>
      <c r="D2017">
        <v>9.6</v>
      </c>
      <c r="E2017">
        <v>5.8</v>
      </c>
      <c r="G2017">
        <v>17</v>
      </c>
      <c r="H2017" s="23">
        <f t="shared" si="67"/>
        <v>11</v>
      </c>
    </row>
    <row r="2018" spans="1:8" x14ac:dyDescent="0.25">
      <c r="A2018" s="22">
        <v>41899.496527777781</v>
      </c>
      <c r="B2018">
        <v>420</v>
      </c>
      <c r="C2018">
        <v>94</v>
      </c>
      <c r="D2018">
        <v>9.6</v>
      </c>
      <c r="E2018">
        <v>5.8</v>
      </c>
      <c r="G2018">
        <v>17</v>
      </c>
      <c r="H2018" s="23">
        <f t="shared" si="67"/>
        <v>11</v>
      </c>
    </row>
    <row r="2019" spans="1:8" x14ac:dyDescent="0.25">
      <c r="A2019" s="22">
        <v>41899.5</v>
      </c>
      <c r="B2019">
        <v>421.2</v>
      </c>
      <c r="C2019">
        <v>94</v>
      </c>
      <c r="D2019">
        <v>9.6</v>
      </c>
      <c r="E2019">
        <v>5.8</v>
      </c>
      <c r="G2019">
        <v>17</v>
      </c>
      <c r="H2019" s="23">
        <f t="shared" si="67"/>
        <v>12</v>
      </c>
    </row>
    <row r="2020" spans="1:8" x14ac:dyDescent="0.25">
      <c r="A2020" s="22">
        <v>41899.503472222219</v>
      </c>
      <c r="B2020">
        <v>423</v>
      </c>
      <c r="C2020">
        <v>93.9</v>
      </c>
      <c r="D2020">
        <v>9.6999999999999993</v>
      </c>
      <c r="E2020">
        <v>5.8</v>
      </c>
      <c r="G2020">
        <v>17</v>
      </c>
      <c r="H2020" s="23">
        <f t="shared" si="67"/>
        <v>12</v>
      </c>
    </row>
    <row r="2021" spans="1:8" x14ac:dyDescent="0.25">
      <c r="A2021" s="22">
        <v>41899.506944444445</v>
      </c>
      <c r="B2021">
        <v>422.3</v>
      </c>
      <c r="C2021">
        <v>93.9</v>
      </c>
      <c r="D2021">
        <v>9.6999999999999993</v>
      </c>
      <c r="E2021">
        <v>5.8</v>
      </c>
      <c r="G2021">
        <v>17</v>
      </c>
      <c r="H2021" s="23">
        <f t="shared" si="67"/>
        <v>12</v>
      </c>
    </row>
    <row r="2022" spans="1:8" x14ac:dyDescent="0.25">
      <c r="A2022" s="22">
        <v>41899.510416666664</v>
      </c>
      <c r="B2022">
        <v>424.2</v>
      </c>
      <c r="C2022">
        <v>94</v>
      </c>
      <c r="D2022">
        <v>9.6999999999999993</v>
      </c>
      <c r="E2022">
        <v>5.8</v>
      </c>
      <c r="G2022">
        <v>17</v>
      </c>
      <c r="H2022" s="23">
        <f t="shared" si="67"/>
        <v>12</v>
      </c>
    </row>
    <row r="2023" spans="1:8" x14ac:dyDescent="0.25">
      <c r="A2023" s="22">
        <v>41899.513888888891</v>
      </c>
      <c r="B2023">
        <v>425</v>
      </c>
      <c r="C2023">
        <v>94</v>
      </c>
      <c r="D2023">
        <v>9.6999999999999993</v>
      </c>
      <c r="E2023">
        <v>5.8</v>
      </c>
      <c r="G2023">
        <v>17</v>
      </c>
      <c r="H2023" s="23">
        <f t="shared" si="67"/>
        <v>12</v>
      </c>
    </row>
    <row r="2024" spans="1:8" x14ac:dyDescent="0.25">
      <c r="A2024" s="22">
        <v>41899.517361111109</v>
      </c>
      <c r="B2024">
        <v>422.2</v>
      </c>
      <c r="C2024">
        <v>94</v>
      </c>
      <c r="D2024">
        <v>9.6</v>
      </c>
      <c r="E2024">
        <v>5.8</v>
      </c>
      <c r="G2024">
        <v>17</v>
      </c>
      <c r="H2024" s="23">
        <f t="shared" si="67"/>
        <v>12</v>
      </c>
    </row>
    <row r="2025" spans="1:8" x14ac:dyDescent="0.25">
      <c r="A2025" s="22">
        <v>41899.520833333336</v>
      </c>
      <c r="B2025">
        <v>437.6</v>
      </c>
      <c r="C2025">
        <v>94</v>
      </c>
      <c r="D2025">
        <v>9.8000000000000007</v>
      </c>
      <c r="E2025">
        <v>5.8</v>
      </c>
      <c r="G2025">
        <v>17</v>
      </c>
      <c r="H2025" s="23">
        <f t="shared" si="67"/>
        <v>12</v>
      </c>
    </row>
    <row r="2026" spans="1:8" x14ac:dyDescent="0.25">
      <c r="A2026" s="22">
        <v>41899.524305555555</v>
      </c>
      <c r="B2026">
        <v>462.7</v>
      </c>
      <c r="C2026">
        <v>94</v>
      </c>
      <c r="D2026">
        <v>10.199999999999999</v>
      </c>
      <c r="E2026">
        <v>5.9</v>
      </c>
      <c r="G2026">
        <v>17</v>
      </c>
      <c r="H2026" s="23">
        <f t="shared" si="67"/>
        <v>12</v>
      </c>
    </row>
    <row r="2027" spans="1:8" x14ac:dyDescent="0.25">
      <c r="A2027" s="22">
        <v>41899.527777777781</v>
      </c>
      <c r="B2027">
        <v>463</v>
      </c>
      <c r="C2027">
        <v>94</v>
      </c>
      <c r="D2027">
        <v>10.199999999999999</v>
      </c>
      <c r="E2027">
        <v>6</v>
      </c>
      <c r="G2027">
        <v>17</v>
      </c>
      <c r="H2027" s="23">
        <f t="shared" si="67"/>
        <v>12</v>
      </c>
    </row>
    <row r="2028" spans="1:8" x14ac:dyDescent="0.25">
      <c r="A2028" s="22">
        <v>41899.53125</v>
      </c>
      <c r="B2028">
        <v>461.3</v>
      </c>
      <c r="C2028">
        <v>94</v>
      </c>
      <c r="D2028">
        <v>10.199999999999999</v>
      </c>
      <c r="E2028">
        <v>6</v>
      </c>
      <c r="G2028">
        <v>17</v>
      </c>
      <c r="H2028" s="23">
        <f t="shared" si="67"/>
        <v>12</v>
      </c>
    </row>
    <row r="2029" spans="1:8" x14ac:dyDescent="0.25">
      <c r="A2029" s="22">
        <v>41899.534722222219</v>
      </c>
      <c r="B2029">
        <v>461.8</v>
      </c>
      <c r="C2029">
        <v>94</v>
      </c>
      <c r="D2029">
        <v>10.199999999999999</v>
      </c>
      <c r="E2029">
        <v>6</v>
      </c>
      <c r="G2029">
        <v>17</v>
      </c>
      <c r="H2029" s="23">
        <f t="shared" si="67"/>
        <v>12</v>
      </c>
    </row>
    <row r="2030" spans="1:8" x14ac:dyDescent="0.25">
      <c r="A2030" s="22">
        <v>41899.538194444445</v>
      </c>
      <c r="B2030">
        <v>461.9</v>
      </c>
      <c r="C2030">
        <v>94</v>
      </c>
      <c r="D2030">
        <v>10.3</v>
      </c>
      <c r="E2030">
        <v>6.1</v>
      </c>
      <c r="G2030">
        <v>17</v>
      </c>
      <c r="H2030" s="23">
        <f t="shared" si="67"/>
        <v>12</v>
      </c>
    </row>
    <row r="2031" spans="1:8" x14ac:dyDescent="0.25">
      <c r="A2031" s="22">
        <v>41899.541666666664</v>
      </c>
      <c r="B2031">
        <v>461.9</v>
      </c>
      <c r="C2031">
        <v>94.1</v>
      </c>
      <c r="D2031">
        <v>10.3</v>
      </c>
      <c r="E2031">
        <v>6.1</v>
      </c>
      <c r="G2031">
        <v>17</v>
      </c>
      <c r="H2031" s="23">
        <f t="shared" si="67"/>
        <v>13</v>
      </c>
    </row>
    <row r="2032" spans="1:8" x14ac:dyDescent="0.25">
      <c r="A2032" s="22">
        <v>41899.545138888891</v>
      </c>
      <c r="B2032">
        <v>463.1</v>
      </c>
      <c r="C2032">
        <v>94.1</v>
      </c>
      <c r="D2032">
        <v>10.4</v>
      </c>
      <c r="E2032">
        <v>6.1</v>
      </c>
      <c r="G2032">
        <v>17</v>
      </c>
      <c r="H2032" s="23">
        <f t="shared" si="67"/>
        <v>13</v>
      </c>
    </row>
    <row r="2033" spans="1:8" x14ac:dyDescent="0.25">
      <c r="A2033" s="22">
        <v>41899.548611111109</v>
      </c>
      <c r="B2033">
        <v>461</v>
      </c>
      <c r="C2033">
        <v>94</v>
      </c>
      <c r="D2033">
        <v>10.4</v>
      </c>
      <c r="E2033">
        <v>6.2</v>
      </c>
      <c r="G2033">
        <v>17</v>
      </c>
      <c r="H2033" s="23">
        <f t="shared" si="67"/>
        <v>13</v>
      </c>
    </row>
    <row r="2034" spans="1:8" x14ac:dyDescent="0.25">
      <c r="A2034" s="22">
        <v>41899.552083333336</v>
      </c>
      <c r="B2034">
        <v>457.5</v>
      </c>
      <c r="C2034">
        <v>93.9</v>
      </c>
      <c r="D2034">
        <v>10.4</v>
      </c>
      <c r="E2034">
        <v>6.2</v>
      </c>
      <c r="G2034">
        <v>17</v>
      </c>
      <c r="H2034" s="23">
        <f t="shared" si="67"/>
        <v>13</v>
      </c>
    </row>
    <row r="2035" spans="1:8" x14ac:dyDescent="0.25">
      <c r="A2035" s="22">
        <v>41899.555555555555</v>
      </c>
      <c r="B2035">
        <v>458.6</v>
      </c>
      <c r="C2035">
        <v>94.1</v>
      </c>
      <c r="D2035">
        <v>10.4</v>
      </c>
      <c r="E2035">
        <v>6.2</v>
      </c>
      <c r="G2035">
        <v>17</v>
      </c>
      <c r="H2035" s="23">
        <f t="shared" si="67"/>
        <v>13</v>
      </c>
    </row>
    <row r="2036" spans="1:8" x14ac:dyDescent="0.25">
      <c r="A2036" s="22">
        <v>41899.559027777781</v>
      </c>
      <c r="B2036">
        <v>461.7</v>
      </c>
      <c r="C2036">
        <v>94.1</v>
      </c>
      <c r="D2036">
        <v>10.5</v>
      </c>
      <c r="E2036">
        <v>6.3</v>
      </c>
      <c r="G2036">
        <v>17</v>
      </c>
      <c r="H2036" s="23">
        <f t="shared" si="67"/>
        <v>13</v>
      </c>
    </row>
    <row r="2037" spans="1:8" x14ac:dyDescent="0.25">
      <c r="A2037" s="22">
        <v>41899.5625</v>
      </c>
      <c r="B2037">
        <v>460.5</v>
      </c>
      <c r="C2037">
        <v>94</v>
      </c>
      <c r="D2037">
        <v>10.4</v>
      </c>
      <c r="E2037">
        <v>6.2</v>
      </c>
      <c r="G2037">
        <v>17</v>
      </c>
      <c r="H2037" s="23">
        <f t="shared" si="67"/>
        <v>13</v>
      </c>
    </row>
    <row r="2038" spans="1:8" x14ac:dyDescent="0.25">
      <c r="A2038" s="22">
        <v>41899.565972222219</v>
      </c>
      <c r="B2038">
        <v>458</v>
      </c>
      <c r="C2038">
        <v>94</v>
      </c>
      <c r="D2038">
        <v>10.5</v>
      </c>
      <c r="E2038">
        <v>6.3</v>
      </c>
      <c r="G2038">
        <v>17</v>
      </c>
      <c r="H2038" s="23">
        <f t="shared" si="67"/>
        <v>13</v>
      </c>
    </row>
    <row r="2039" spans="1:8" x14ac:dyDescent="0.25">
      <c r="A2039" s="22">
        <v>41899.569444444445</v>
      </c>
      <c r="B2039">
        <v>455.6</v>
      </c>
      <c r="C2039">
        <v>94</v>
      </c>
      <c r="D2039">
        <v>10.5</v>
      </c>
      <c r="E2039">
        <v>6.3</v>
      </c>
      <c r="G2039">
        <v>17</v>
      </c>
      <c r="H2039" s="23">
        <f t="shared" si="67"/>
        <v>13</v>
      </c>
    </row>
    <row r="2040" spans="1:8" x14ac:dyDescent="0.25">
      <c r="A2040" s="22">
        <v>41899.572916666664</v>
      </c>
      <c r="B2040">
        <v>462.4</v>
      </c>
      <c r="C2040">
        <v>94.1</v>
      </c>
      <c r="D2040">
        <v>10.5</v>
      </c>
      <c r="E2040">
        <v>6.3</v>
      </c>
      <c r="G2040">
        <v>17</v>
      </c>
      <c r="H2040" s="23">
        <f t="shared" si="67"/>
        <v>13</v>
      </c>
    </row>
    <row r="2041" spans="1:8" x14ac:dyDescent="0.25">
      <c r="A2041" s="22">
        <v>41899.576388888891</v>
      </c>
      <c r="B2041">
        <v>460.1</v>
      </c>
      <c r="C2041">
        <v>94.1</v>
      </c>
      <c r="D2041">
        <v>10.5</v>
      </c>
      <c r="E2041">
        <v>6.3</v>
      </c>
      <c r="G2041">
        <v>17</v>
      </c>
      <c r="H2041" s="23">
        <f t="shared" si="67"/>
        <v>13</v>
      </c>
    </row>
    <row r="2042" spans="1:8" x14ac:dyDescent="0.25">
      <c r="A2042" s="22">
        <v>41899.579861111109</v>
      </c>
      <c r="B2042">
        <v>472</v>
      </c>
      <c r="C2042">
        <v>94</v>
      </c>
      <c r="D2042">
        <v>10.5</v>
      </c>
      <c r="E2042">
        <v>6.2</v>
      </c>
      <c r="G2042">
        <v>17</v>
      </c>
      <c r="H2042" s="23">
        <f t="shared" si="67"/>
        <v>13</v>
      </c>
    </row>
    <row r="2043" spans="1:8" x14ac:dyDescent="0.25">
      <c r="A2043" s="22">
        <v>41899.583333333336</v>
      </c>
      <c r="B2043">
        <v>473.8</v>
      </c>
      <c r="C2043">
        <v>94</v>
      </c>
      <c r="D2043">
        <v>10.6</v>
      </c>
      <c r="E2043">
        <v>6.2</v>
      </c>
      <c r="G2043">
        <v>17</v>
      </c>
      <c r="H2043" s="23">
        <f t="shared" si="67"/>
        <v>14</v>
      </c>
    </row>
    <row r="2044" spans="1:8" x14ac:dyDescent="0.25">
      <c r="A2044" s="22">
        <v>41899.586805555555</v>
      </c>
      <c r="B2044">
        <v>469.1</v>
      </c>
      <c r="C2044">
        <v>94.1</v>
      </c>
      <c r="D2044">
        <v>10.6</v>
      </c>
      <c r="E2044">
        <v>6.3</v>
      </c>
      <c r="G2044">
        <v>17</v>
      </c>
      <c r="H2044" s="23">
        <f t="shared" si="67"/>
        <v>14</v>
      </c>
    </row>
    <row r="2045" spans="1:8" x14ac:dyDescent="0.25">
      <c r="A2045" s="22">
        <v>41899.590277777781</v>
      </c>
      <c r="B2045">
        <v>460.1</v>
      </c>
      <c r="C2045">
        <v>94</v>
      </c>
      <c r="D2045">
        <v>10.5</v>
      </c>
      <c r="E2045">
        <v>6.3</v>
      </c>
      <c r="G2045">
        <v>17</v>
      </c>
      <c r="H2045" s="23">
        <f t="shared" si="67"/>
        <v>14</v>
      </c>
    </row>
    <row r="2046" spans="1:8" x14ac:dyDescent="0.25">
      <c r="A2046" s="22">
        <v>41899.59375</v>
      </c>
      <c r="B2046">
        <v>461.1</v>
      </c>
      <c r="C2046">
        <v>94</v>
      </c>
      <c r="D2046">
        <v>10.5</v>
      </c>
      <c r="E2046">
        <v>6.3</v>
      </c>
      <c r="G2046">
        <v>17</v>
      </c>
      <c r="H2046" s="23">
        <f t="shared" si="67"/>
        <v>14</v>
      </c>
    </row>
    <row r="2047" spans="1:8" x14ac:dyDescent="0.25">
      <c r="A2047" s="22">
        <v>41899.597222222219</v>
      </c>
      <c r="B2047">
        <v>461.9</v>
      </c>
      <c r="C2047">
        <v>93.9</v>
      </c>
      <c r="D2047">
        <v>10.5</v>
      </c>
      <c r="E2047">
        <v>6.3</v>
      </c>
      <c r="G2047">
        <v>17</v>
      </c>
      <c r="H2047" s="23">
        <f t="shared" si="67"/>
        <v>14</v>
      </c>
    </row>
    <row r="2048" spans="1:8" x14ac:dyDescent="0.25">
      <c r="A2048" s="22">
        <v>41899.600694444445</v>
      </c>
      <c r="B2048">
        <v>459.3</v>
      </c>
      <c r="C2048">
        <v>94.1</v>
      </c>
      <c r="D2048">
        <v>10.6</v>
      </c>
      <c r="E2048">
        <v>6.4</v>
      </c>
      <c r="G2048">
        <v>17</v>
      </c>
      <c r="H2048" s="23">
        <f t="shared" si="67"/>
        <v>14</v>
      </c>
    </row>
    <row r="2049" spans="1:8" x14ac:dyDescent="0.25">
      <c r="A2049" s="22">
        <v>41899.604166666664</v>
      </c>
      <c r="B2049">
        <v>460.3</v>
      </c>
      <c r="C2049">
        <v>94.1</v>
      </c>
      <c r="D2049">
        <v>10.6</v>
      </c>
      <c r="E2049">
        <v>6.4</v>
      </c>
      <c r="G2049">
        <v>17</v>
      </c>
      <c r="H2049" s="23">
        <f t="shared" si="67"/>
        <v>14</v>
      </c>
    </row>
    <row r="2050" spans="1:8" x14ac:dyDescent="0.25">
      <c r="A2050" s="22">
        <v>41899.607638888891</v>
      </c>
      <c r="B2050">
        <v>466.1</v>
      </c>
      <c r="C2050">
        <v>94</v>
      </c>
      <c r="D2050">
        <v>10.6</v>
      </c>
      <c r="E2050">
        <v>6.4</v>
      </c>
      <c r="G2050">
        <v>17</v>
      </c>
      <c r="H2050" s="23">
        <f t="shared" si="67"/>
        <v>14</v>
      </c>
    </row>
    <row r="2051" spans="1:8" x14ac:dyDescent="0.25">
      <c r="A2051" s="22">
        <v>41899.611111111109</v>
      </c>
      <c r="B2051">
        <v>468</v>
      </c>
      <c r="C2051">
        <v>94</v>
      </c>
      <c r="D2051">
        <v>10.6</v>
      </c>
      <c r="E2051">
        <v>6.3</v>
      </c>
      <c r="G2051">
        <v>17</v>
      </c>
      <c r="H2051" s="23">
        <f t="shared" si="67"/>
        <v>14</v>
      </c>
    </row>
    <row r="2052" spans="1:8" x14ac:dyDescent="0.25">
      <c r="A2052" s="22">
        <v>41899.614583333336</v>
      </c>
      <c r="B2052">
        <v>463.9</v>
      </c>
      <c r="C2052">
        <v>94</v>
      </c>
      <c r="D2052">
        <v>10.6</v>
      </c>
      <c r="E2052">
        <v>6.3</v>
      </c>
      <c r="G2052">
        <v>17</v>
      </c>
      <c r="H2052" s="23">
        <f t="shared" si="67"/>
        <v>14</v>
      </c>
    </row>
    <row r="2053" spans="1:8" x14ac:dyDescent="0.25">
      <c r="A2053" s="22">
        <v>41899.618055555555</v>
      </c>
      <c r="B2053">
        <v>466.5</v>
      </c>
      <c r="C2053">
        <v>93.9</v>
      </c>
      <c r="D2053">
        <v>10.5</v>
      </c>
      <c r="E2053">
        <v>6.3</v>
      </c>
      <c r="G2053">
        <v>17</v>
      </c>
      <c r="H2053" s="23">
        <f t="shared" si="67"/>
        <v>14</v>
      </c>
    </row>
    <row r="2054" spans="1:8" x14ac:dyDescent="0.25">
      <c r="A2054" s="22">
        <v>41899.621527777781</v>
      </c>
      <c r="B2054">
        <v>466.6</v>
      </c>
      <c r="C2054">
        <v>94</v>
      </c>
      <c r="D2054">
        <v>10.5</v>
      </c>
      <c r="E2054">
        <v>6.2</v>
      </c>
      <c r="G2054">
        <v>17</v>
      </c>
      <c r="H2054" s="23">
        <f t="shared" ref="H2054:H2117" si="68">+HOUR(A2054)</f>
        <v>14</v>
      </c>
    </row>
    <row r="2055" spans="1:8" x14ac:dyDescent="0.25">
      <c r="A2055" s="22">
        <v>41899.625</v>
      </c>
      <c r="B2055">
        <v>467.3</v>
      </c>
      <c r="C2055">
        <v>94</v>
      </c>
      <c r="D2055">
        <v>10.5</v>
      </c>
      <c r="E2055">
        <v>6.2</v>
      </c>
      <c r="G2055">
        <v>17</v>
      </c>
      <c r="H2055" s="23">
        <f t="shared" si="68"/>
        <v>15</v>
      </c>
    </row>
    <row r="2056" spans="1:8" x14ac:dyDescent="0.25">
      <c r="A2056" s="22">
        <v>41899.628472222219</v>
      </c>
      <c r="B2056">
        <v>470.4</v>
      </c>
      <c r="C2056">
        <v>94.1</v>
      </c>
      <c r="D2056">
        <v>10.5</v>
      </c>
      <c r="E2056">
        <v>6.2</v>
      </c>
      <c r="G2056">
        <v>17</v>
      </c>
      <c r="H2056" s="23">
        <f t="shared" si="68"/>
        <v>15</v>
      </c>
    </row>
    <row r="2057" spans="1:8" x14ac:dyDescent="0.25">
      <c r="A2057" s="22">
        <v>41899.631944444445</v>
      </c>
      <c r="B2057">
        <v>471.7</v>
      </c>
      <c r="C2057">
        <v>94.1</v>
      </c>
      <c r="D2057">
        <v>10.5</v>
      </c>
      <c r="E2057">
        <v>6.2</v>
      </c>
      <c r="G2057">
        <v>17</v>
      </c>
      <c r="H2057" s="23">
        <f t="shared" si="68"/>
        <v>15</v>
      </c>
    </row>
    <row r="2058" spans="1:8" x14ac:dyDescent="0.25">
      <c r="A2058" s="22">
        <v>41899.635416666664</v>
      </c>
      <c r="B2058">
        <v>470.7</v>
      </c>
      <c r="C2058">
        <v>94.1</v>
      </c>
      <c r="D2058">
        <v>10.5</v>
      </c>
      <c r="E2058">
        <v>6.2</v>
      </c>
      <c r="G2058">
        <v>17</v>
      </c>
      <c r="H2058" s="23">
        <f t="shared" si="68"/>
        <v>15</v>
      </c>
    </row>
    <row r="2059" spans="1:8" x14ac:dyDescent="0.25">
      <c r="A2059" s="22">
        <v>41899.638888888891</v>
      </c>
      <c r="B2059">
        <v>470.7</v>
      </c>
      <c r="C2059">
        <v>94</v>
      </c>
      <c r="D2059">
        <v>10.4</v>
      </c>
      <c r="E2059">
        <v>6.1</v>
      </c>
      <c r="G2059">
        <v>17</v>
      </c>
      <c r="H2059" s="23">
        <f t="shared" si="68"/>
        <v>15</v>
      </c>
    </row>
    <row r="2060" spans="1:8" x14ac:dyDescent="0.25">
      <c r="A2060" s="22">
        <v>41899.642361111109</v>
      </c>
      <c r="B2060">
        <v>473.1</v>
      </c>
      <c r="C2060">
        <v>94</v>
      </c>
      <c r="D2060">
        <v>10.4</v>
      </c>
      <c r="E2060">
        <v>6.1</v>
      </c>
      <c r="G2060">
        <v>17</v>
      </c>
      <c r="H2060" s="23">
        <f t="shared" si="68"/>
        <v>15</v>
      </c>
    </row>
    <row r="2061" spans="1:8" x14ac:dyDescent="0.25">
      <c r="A2061" s="22">
        <v>41899.645833333336</v>
      </c>
      <c r="B2061">
        <v>468.2</v>
      </c>
      <c r="C2061">
        <v>94</v>
      </c>
      <c r="D2061">
        <v>10.4</v>
      </c>
      <c r="E2061">
        <v>6.2</v>
      </c>
      <c r="G2061">
        <v>17</v>
      </c>
      <c r="H2061" s="23">
        <f t="shared" si="68"/>
        <v>15</v>
      </c>
    </row>
    <row r="2062" spans="1:8" x14ac:dyDescent="0.25">
      <c r="A2062" s="22">
        <v>41899.649305555555</v>
      </c>
      <c r="B2062">
        <v>462.9</v>
      </c>
      <c r="C2062">
        <v>94.1</v>
      </c>
      <c r="D2062">
        <v>10.3</v>
      </c>
      <c r="E2062">
        <v>6</v>
      </c>
      <c r="G2062">
        <v>17</v>
      </c>
      <c r="H2062" s="23">
        <f t="shared" si="68"/>
        <v>15</v>
      </c>
    </row>
    <row r="2063" spans="1:8" x14ac:dyDescent="0.25">
      <c r="A2063" s="22">
        <v>41899.652777777781</v>
      </c>
      <c r="B2063">
        <v>462.9</v>
      </c>
      <c r="C2063">
        <v>94</v>
      </c>
      <c r="D2063">
        <v>10.1</v>
      </c>
      <c r="E2063">
        <v>5.8</v>
      </c>
      <c r="G2063">
        <v>17</v>
      </c>
      <c r="H2063" s="23">
        <f t="shared" si="68"/>
        <v>15</v>
      </c>
    </row>
    <row r="2064" spans="1:8" x14ac:dyDescent="0.25">
      <c r="A2064" s="22">
        <v>41899.65625</v>
      </c>
      <c r="B2064">
        <v>456.8</v>
      </c>
      <c r="C2064">
        <v>93.9</v>
      </c>
      <c r="D2064">
        <v>10</v>
      </c>
      <c r="E2064">
        <v>5.8</v>
      </c>
      <c r="G2064">
        <v>17</v>
      </c>
      <c r="H2064" s="23">
        <f t="shared" si="68"/>
        <v>15</v>
      </c>
    </row>
    <row r="2065" spans="1:8" x14ac:dyDescent="0.25">
      <c r="A2065" s="22">
        <v>41899.659722222219</v>
      </c>
      <c r="B2065">
        <v>449.1</v>
      </c>
      <c r="C2065">
        <v>93.9</v>
      </c>
      <c r="D2065">
        <v>9.9</v>
      </c>
      <c r="E2065">
        <v>5.8</v>
      </c>
      <c r="G2065">
        <v>17</v>
      </c>
      <c r="H2065" s="23">
        <f t="shared" si="68"/>
        <v>15</v>
      </c>
    </row>
    <row r="2066" spans="1:8" x14ac:dyDescent="0.25">
      <c r="A2066" s="22">
        <v>41899.663194444445</v>
      </c>
      <c r="B2066">
        <v>444.6</v>
      </c>
      <c r="C2066">
        <v>94</v>
      </c>
      <c r="D2066">
        <v>9.9</v>
      </c>
      <c r="E2066">
        <v>5.8</v>
      </c>
      <c r="G2066">
        <v>17</v>
      </c>
      <c r="H2066" s="23">
        <f t="shared" si="68"/>
        <v>15</v>
      </c>
    </row>
    <row r="2067" spans="1:8" x14ac:dyDescent="0.25">
      <c r="A2067" s="22">
        <v>41899.666666666664</v>
      </c>
      <c r="B2067">
        <v>444.2</v>
      </c>
      <c r="C2067">
        <v>94</v>
      </c>
      <c r="D2067">
        <v>9.9</v>
      </c>
      <c r="E2067">
        <v>5.8</v>
      </c>
      <c r="G2067">
        <v>17</v>
      </c>
      <c r="H2067" s="23">
        <f t="shared" si="68"/>
        <v>16</v>
      </c>
    </row>
    <row r="2068" spans="1:8" x14ac:dyDescent="0.25">
      <c r="A2068" s="22">
        <v>41899.670138888891</v>
      </c>
      <c r="B2068">
        <v>442.6</v>
      </c>
      <c r="C2068">
        <v>93.9</v>
      </c>
      <c r="D2068">
        <v>9.8000000000000007</v>
      </c>
      <c r="E2068">
        <v>5.8</v>
      </c>
      <c r="G2068">
        <v>17</v>
      </c>
      <c r="H2068" s="23">
        <f t="shared" si="68"/>
        <v>16</v>
      </c>
    </row>
    <row r="2069" spans="1:8" x14ac:dyDescent="0.25">
      <c r="A2069" s="22">
        <v>41899.673611111109</v>
      </c>
      <c r="B2069">
        <v>443.2</v>
      </c>
      <c r="C2069">
        <v>94</v>
      </c>
      <c r="D2069">
        <v>9.9</v>
      </c>
      <c r="E2069">
        <v>5.8</v>
      </c>
      <c r="G2069">
        <v>17</v>
      </c>
      <c r="H2069" s="23">
        <f t="shared" si="68"/>
        <v>16</v>
      </c>
    </row>
    <row r="2070" spans="1:8" x14ac:dyDescent="0.25">
      <c r="A2070" s="22">
        <v>41899.677083333336</v>
      </c>
      <c r="B2070">
        <v>442.8</v>
      </c>
      <c r="C2070">
        <v>93.9</v>
      </c>
      <c r="D2070">
        <v>9.9</v>
      </c>
      <c r="E2070">
        <v>5.8</v>
      </c>
      <c r="G2070">
        <v>17</v>
      </c>
      <c r="H2070" s="23">
        <f t="shared" si="68"/>
        <v>16</v>
      </c>
    </row>
    <row r="2071" spans="1:8" x14ac:dyDescent="0.25">
      <c r="A2071" s="22">
        <v>41899.680555555555</v>
      </c>
      <c r="B2071">
        <v>440</v>
      </c>
      <c r="C2071">
        <v>93.9</v>
      </c>
      <c r="D2071">
        <v>9.8000000000000007</v>
      </c>
      <c r="E2071">
        <v>5.8</v>
      </c>
      <c r="G2071">
        <v>17</v>
      </c>
      <c r="H2071" s="23">
        <f t="shared" si="68"/>
        <v>16</v>
      </c>
    </row>
    <row r="2072" spans="1:8" x14ac:dyDescent="0.25">
      <c r="A2072" s="22">
        <v>41899.684027777781</v>
      </c>
      <c r="B2072">
        <v>436.2</v>
      </c>
      <c r="C2072">
        <v>93.9</v>
      </c>
      <c r="D2072">
        <v>9.8000000000000007</v>
      </c>
      <c r="E2072">
        <v>5.8</v>
      </c>
      <c r="G2072">
        <v>17</v>
      </c>
      <c r="H2072" s="23">
        <f t="shared" si="68"/>
        <v>16</v>
      </c>
    </row>
    <row r="2073" spans="1:8" x14ac:dyDescent="0.25">
      <c r="A2073" s="22">
        <v>41899.6875</v>
      </c>
      <c r="B2073">
        <v>433.6</v>
      </c>
      <c r="C2073">
        <v>93.9</v>
      </c>
      <c r="D2073">
        <v>9.8000000000000007</v>
      </c>
      <c r="E2073">
        <v>5.8</v>
      </c>
      <c r="G2073">
        <v>17</v>
      </c>
      <c r="H2073" s="23">
        <f t="shared" si="68"/>
        <v>16</v>
      </c>
    </row>
    <row r="2074" spans="1:8" x14ac:dyDescent="0.25">
      <c r="A2074" s="22">
        <v>41899.690972222219</v>
      </c>
      <c r="B2074">
        <v>429.7</v>
      </c>
      <c r="C2074">
        <v>93.9</v>
      </c>
      <c r="D2074">
        <v>9.6999999999999993</v>
      </c>
      <c r="E2074">
        <v>5.8</v>
      </c>
      <c r="G2074">
        <v>17</v>
      </c>
      <c r="H2074" s="23">
        <f t="shared" si="68"/>
        <v>16</v>
      </c>
    </row>
    <row r="2075" spans="1:8" x14ac:dyDescent="0.25">
      <c r="A2075" s="22">
        <v>41899.694444444445</v>
      </c>
      <c r="B2075">
        <v>428.5</v>
      </c>
      <c r="C2075">
        <v>94</v>
      </c>
      <c r="D2075">
        <v>9.6999999999999993</v>
      </c>
      <c r="E2075">
        <v>5.8</v>
      </c>
      <c r="G2075">
        <v>17</v>
      </c>
      <c r="H2075" s="23">
        <f t="shared" si="68"/>
        <v>16</v>
      </c>
    </row>
    <row r="2076" spans="1:8" x14ac:dyDescent="0.25">
      <c r="A2076" s="22">
        <v>41899.697916666664</v>
      </c>
      <c r="B2076">
        <v>427.2</v>
      </c>
      <c r="C2076">
        <v>93.9</v>
      </c>
      <c r="D2076">
        <v>9.6999999999999993</v>
      </c>
      <c r="E2076">
        <v>5.8</v>
      </c>
      <c r="G2076">
        <v>17</v>
      </c>
      <c r="H2076" s="23">
        <f t="shared" si="68"/>
        <v>16</v>
      </c>
    </row>
    <row r="2077" spans="1:8" x14ac:dyDescent="0.25">
      <c r="A2077" s="22">
        <v>41899.701388888891</v>
      </c>
      <c r="B2077">
        <v>420.7</v>
      </c>
      <c r="C2077">
        <v>93.9</v>
      </c>
      <c r="D2077">
        <v>9.6</v>
      </c>
      <c r="E2077">
        <v>5.8</v>
      </c>
      <c r="G2077">
        <v>17</v>
      </c>
      <c r="H2077" s="23">
        <f t="shared" si="68"/>
        <v>16</v>
      </c>
    </row>
    <row r="2078" spans="1:8" x14ac:dyDescent="0.25">
      <c r="A2078" s="22">
        <v>41899.704861111109</v>
      </c>
      <c r="B2078">
        <v>415.8</v>
      </c>
      <c r="C2078">
        <v>93.9</v>
      </c>
      <c r="D2078">
        <v>9.6</v>
      </c>
      <c r="E2078">
        <v>5.8</v>
      </c>
      <c r="G2078">
        <v>17</v>
      </c>
      <c r="H2078" s="23">
        <f t="shared" si="68"/>
        <v>16</v>
      </c>
    </row>
    <row r="2079" spans="1:8" x14ac:dyDescent="0.25">
      <c r="A2079" s="22">
        <v>41899.708333333336</v>
      </c>
      <c r="B2079">
        <v>412.1</v>
      </c>
      <c r="C2079">
        <v>93.9</v>
      </c>
      <c r="D2079">
        <v>9.6</v>
      </c>
      <c r="E2079">
        <v>5.8</v>
      </c>
      <c r="G2079">
        <v>17</v>
      </c>
      <c r="H2079" s="23">
        <f t="shared" si="68"/>
        <v>17</v>
      </c>
    </row>
    <row r="2080" spans="1:8" x14ac:dyDescent="0.25">
      <c r="A2080" s="22">
        <v>41899.711805555555</v>
      </c>
      <c r="B2080">
        <v>413.4</v>
      </c>
      <c r="C2080">
        <v>93.9</v>
      </c>
      <c r="D2080">
        <v>9.6</v>
      </c>
      <c r="E2080">
        <v>5.8</v>
      </c>
      <c r="G2080">
        <v>17</v>
      </c>
      <c r="H2080" s="23">
        <f t="shared" si="68"/>
        <v>17</v>
      </c>
    </row>
    <row r="2081" spans="1:8" x14ac:dyDescent="0.25">
      <c r="A2081" s="22">
        <v>41899.715277777781</v>
      </c>
      <c r="B2081">
        <v>411.8</v>
      </c>
      <c r="C2081">
        <v>93.9</v>
      </c>
      <c r="D2081">
        <v>9.6</v>
      </c>
      <c r="E2081">
        <v>5.8</v>
      </c>
      <c r="G2081">
        <v>17</v>
      </c>
      <c r="H2081" s="23">
        <f t="shared" si="68"/>
        <v>17</v>
      </c>
    </row>
    <row r="2082" spans="1:8" x14ac:dyDescent="0.25">
      <c r="A2082" s="22">
        <v>41899.71875</v>
      </c>
      <c r="B2082">
        <v>411.3</v>
      </c>
      <c r="C2082">
        <v>93.8</v>
      </c>
      <c r="D2082">
        <v>9.6</v>
      </c>
      <c r="E2082">
        <v>5.8</v>
      </c>
      <c r="G2082">
        <v>17</v>
      </c>
      <c r="H2082" s="23">
        <f t="shared" si="68"/>
        <v>17</v>
      </c>
    </row>
    <row r="2083" spans="1:8" x14ac:dyDescent="0.25">
      <c r="A2083" s="22">
        <v>41899.722222222219</v>
      </c>
      <c r="B2083">
        <v>422.2</v>
      </c>
      <c r="C2083">
        <v>93.9</v>
      </c>
      <c r="D2083">
        <v>9.6999999999999993</v>
      </c>
      <c r="E2083">
        <v>5.8</v>
      </c>
      <c r="G2083">
        <v>17</v>
      </c>
      <c r="H2083" s="23">
        <f t="shared" si="68"/>
        <v>17</v>
      </c>
    </row>
    <row r="2084" spans="1:8" x14ac:dyDescent="0.25">
      <c r="A2084" s="22">
        <v>41899.725694444445</v>
      </c>
      <c r="B2084">
        <v>435.2</v>
      </c>
      <c r="C2084">
        <v>94</v>
      </c>
      <c r="D2084">
        <v>9.8000000000000007</v>
      </c>
      <c r="E2084">
        <v>5.8</v>
      </c>
      <c r="G2084">
        <v>17</v>
      </c>
      <c r="H2084" s="23">
        <f t="shared" si="68"/>
        <v>17</v>
      </c>
    </row>
    <row r="2085" spans="1:8" x14ac:dyDescent="0.25">
      <c r="A2085" s="22">
        <v>41899.729166666664</v>
      </c>
      <c r="B2085">
        <v>442.2</v>
      </c>
      <c r="C2085">
        <v>93.9</v>
      </c>
      <c r="D2085">
        <v>9.9</v>
      </c>
      <c r="E2085">
        <v>5.8</v>
      </c>
      <c r="G2085">
        <v>17</v>
      </c>
      <c r="H2085" s="23">
        <f t="shared" si="68"/>
        <v>17</v>
      </c>
    </row>
    <row r="2086" spans="1:8" x14ac:dyDescent="0.25">
      <c r="A2086" s="22">
        <v>41899.732638888891</v>
      </c>
      <c r="B2086">
        <v>455.8</v>
      </c>
      <c r="C2086">
        <v>93.9</v>
      </c>
      <c r="D2086">
        <v>10.1</v>
      </c>
      <c r="E2086">
        <v>5.9</v>
      </c>
      <c r="G2086">
        <v>17</v>
      </c>
      <c r="H2086" s="23">
        <f t="shared" si="68"/>
        <v>17</v>
      </c>
    </row>
    <row r="2087" spans="1:8" x14ac:dyDescent="0.25">
      <c r="A2087" s="22">
        <v>41899.736111111109</v>
      </c>
      <c r="B2087">
        <v>459.4</v>
      </c>
      <c r="C2087">
        <v>94</v>
      </c>
      <c r="D2087">
        <v>10.4</v>
      </c>
      <c r="E2087">
        <v>6.2</v>
      </c>
      <c r="G2087">
        <v>17</v>
      </c>
      <c r="H2087" s="23">
        <f t="shared" si="68"/>
        <v>17</v>
      </c>
    </row>
    <row r="2088" spans="1:8" x14ac:dyDescent="0.25">
      <c r="A2088" s="22">
        <v>41899.739583333336</v>
      </c>
      <c r="B2088">
        <v>459.1</v>
      </c>
      <c r="C2088">
        <v>94.1</v>
      </c>
      <c r="D2088">
        <v>10.5</v>
      </c>
      <c r="E2088">
        <v>6.3</v>
      </c>
      <c r="G2088">
        <v>17</v>
      </c>
      <c r="H2088" s="23">
        <f t="shared" si="68"/>
        <v>17</v>
      </c>
    </row>
    <row r="2089" spans="1:8" x14ac:dyDescent="0.25">
      <c r="A2089" s="22">
        <v>41899.743055555555</v>
      </c>
      <c r="B2089">
        <v>459.5</v>
      </c>
      <c r="C2089">
        <v>94.1</v>
      </c>
      <c r="D2089">
        <v>10.5</v>
      </c>
      <c r="E2089">
        <v>6.3</v>
      </c>
      <c r="G2089">
        <v>17</v>
      </c>
      <c r="H2089" s="23">
        <f t="shared" si="68"/>
        <v>17</v>
      </c>
    </row>
    <row r="2090" spans="1:8" x14ac:dyDescent="0.25">
      <c r="A2090" s="22">
        <v>41899.746527777781</v>
      </c>
      <c r="B2090">
        <v>462.4</v>
      </c>
      <c r="C2090">
        <v>94.1</v>
      </c>
      <c r="D2090">
        <v>10.5</v>
      </c>
      <c r="E2090">
        <v>6.3</v>
      </c>
      <c r="G2090">
        <v>17</v>
      </c>
      <c r="H2090" s="23">
        <f t="shared" si="68"/>
        <v>17</v>
      </c>
    </row>
    <row r="2091" spans="1:8" x14ac:dyDescent="0.25">
      <c r="A2091" s="22">
        <v>41899.75</v>
      </c>
      <c r="B2091">
        <v>462.7</v>
      </c>
      <c r="C2091">
        <v>94</v>
      </c>
      <c r="D2091">
        <v>10.6</v>
      </c>
      <c r="E2091">
        <v>6.4</v>
      </c>
      <c r="G2091">
        <v>17</v>
      </c>
      <c r="H2091" s="23">
        <f t="shared" si="68"/>
        <v>18</v>
      </c>
    </row>
    <row r="2092" spans="1:8" x14ac:dyDescent="0.25">
      <c r="A2092" s="22">
        <v>41899.753472222219</v>
      </c>
      <c r="B2092">
        <v>459.7</v>
      </c>
      <c r="C2092">
        <v>94</v>
      </c>
      <c r="D2092">
        <v>10.6</v>
      </c>
      <c r="E2092">
        <v>6.4</v>
      </c>
      <c r="G2092">
        <v>17</v>
      </c>
      <c r="H2092" s="23">
        <f t="shared" si="68"/>
        <v>18</v>
      </c>
    </row>
    <row r="2093" spans="1:8" x14ac:dyDescent="0.25">
      <c r="A2093" s="22">
        <v>41899.756944444445</v>
      </c>
      <c r="B2093">
        <v>461.5</v>
      </c>
      <c r="C2093">
        <v>94.2</v>
      </c>
      <c r="D2093">
        <v>10.7</v>
      </c>
      <c r="E2093">
        <v>6.5</v>
      </c>
      <c r="G2093">
        <v>17</v>
      </c>
      <c r="H2093" s="23">
        <f t="shared" si="68"/>
        <v>18</v>
      </c>
    </row>
    <row r="2094" spans="1:8" x14ac:dyDescent="0.25">
      <c r="A2094" s="22">
        <v>41899.760416666664</v>
      </c>
      <c r="B2094">
        <v>463.1</v>
      </c>
      <c r="C2094">
        <v>94</v>
      </c>
      <c r="D2094">
        <v>10.7</v>
      </c>
      <c r="E2094">
        <v>6.5</v>
      </c>
      <c r="G2094">
        <v>17</v>
      </c>
      <c r="H2094" s="23">
        <f t="shared" si="68"/>
        <v>18</v>
      </c>
    </row>
    <row r="2095" spans="1:8" x14ac:dyDescent="0.25">
      <c r="A2095" s="22">
        <v>41899.763888888891</v>
      </c>
      <c r="B2095">
        <v>462.9</v>
      </c>
      <c r="C2095">
        <v>94.1</v>
      </c>
      <c r="D2095">
        <v>10.7</v>
      </c>
      <c r="E2095">
        <v>6.5</v>
      </c>
      <c r="G2095">
        <v>17</v>
      </c>
      <c r="H2095" s="23">
        <f t="shared" si="68"/>
        <v>18</v>
      </c>
    </row>
    <row r="2096" spans="1:8" x14ac:dyDescent="0.25">
      <c r="A2096" s="22">
        <v>41899.767361111109</v>
      </c>
      <c r="B2096">
        <v>464.3</v>
      </c>
      <c r="C2096">
        <v>94.1</v>
      </c>
      <c r="D2096">
        <v>10.8</v>
      </c>
      <c r="E2096">
        <v>6.6</v>
      </c>
      <c r="G2096">
        <v>17</v>
      </c>
      <c r="H2096" s="23">
        <f t="shared" si="68"/>
        <v>18</v>
      </c>
    </row>
    <row r="2097" spans="1:8" x14ac:dyDescent="0.25">
      <c r="A2097" s="22">
        <v>41899.770833333336</v>
      </c>
      <c r="B2097">
        <v>465.8</v>
      </c>
      <c r="C2097">
        <v>94.2</v>
      </c>
      <c r="D2097">
        <v>10.8</v>
      </c>
      <c r="E2097">
        <v>6.6</v>
      </c>
      <c r="G2097">
        <v>17</v>
      </c>
      <c r="H2097" s="23">
        <f t="shared" si="68"/>
        <v>18</v>
      </c>
    </row>
    <row r="2098" spans="1:8" x14ac:dyDescent="0.25">
      <c r="A2098" s="22">
        <v>41899.774305555555</v>
      </c>
      <c r="B2098">
        <v>464</v>
      </c>
      <c r="C2098">
        <v>94.1</v>
      </c>
      <c r="D2098">
        <v>10.9</v>
      </c>
      <c r="E2098">
        <v>6.7</v>
      </c>
      <c r="G2098">
        <v>17</v>
      </c>
      <c r="H2098" s="23">
        <f t="shared" si="68"/>
        <v>18</v>
      </c>
    </row>
    <row r="2099" spans="1:8" x14ac:dyDescent="0.25">
      <c r="A2099" s="22">
        <v>41899.777777777781</v>
      </c>
      <c r="B2099">
        <v>463.5</v>
      </c>
      <c r="C2099">
        <v>94.2</v>
      </c>
      <c r="D2099">
        <v>10.9</v>
      </c>
      <c r="E2099">
        <v>6.7</v>
      </c>
      <c r="G2099">
        <v>17</v>
      </c>
      <c r="H2099" s="23">
        <f t="shared" si="68"/>
        <v>18</v>
      </c>
    </row>
    <row r="2100" spans="1:8" x14ac:dyDescent="0.25">
      <c r="A2100" s="22">
        <v>41899.78125</v>
      </c>
      <c r="B2100">
        <v>467</v>
      </c>
      <c r="C2100">
        <v>94.1</v>
      </c>
      <c r="D2100">
        <v>11</v>
      </c>
      <c r="E2100">
        <v>6.8</v>
      </c>
      <c r="G2100">
        <v>17</v>
      </c>
      <c r="H2100" s="23">
        <f t="shared" si="68"/>
        <v>18</v>
      </c>
    </row>
    <row r="2101" spans="1:8" x14ac:dyDescent="0.25">
      <c r="A2101" s="22">
        <v>41899.784722222219</v>
      </c>
      <c r="B2101">
        <v>468.1</v>
      </c>
      <c r="C2101">
        <v>94.2</v>
      </c>
      <c r="D2101">
        <v>11.2</v>
      </c>
      <c r="E2101">
        <v>6.9</v>
      </c>
      <c r="G2101">
        <v>17</v>
      </c>
      <c r="H2101" s="23">
        <f t="shared" si="68"/>
        <v>18</v>
      </c>
    </row>
    <row r="2102" spans="1:8" x14ac:dyDescent="0.25">
      <c r="A2102" s="22">
        <v>41899.788194444445</v>
      </c>
      <c r="B2102">
        <v>469.1</v>
      </c>
      <c r="C2102">
        <v>94.3</v>
      </c>
      <c r="D2102">
        <v>11.2</v>
      </c>
      <c r="E2102">
        <v>6.9</v>
      </c>
      <c r="G2102">
        <v>17</v>
      </c>
      <c r="H2102" s="23">
        <f t="shared" si="68"/>
        <v>18</v>
      </c>
    </row>
    <row r="2103" spans="1:8" x14ac:dyDescent="0.25">
      <c r="A2103" s="22">
        <v>41899.791666666664</v>
      </c>
      <c r="B2103">
        <v>467.1</v>
      </c>
      <c r="C2103">
        <v>94.1</v>
      </c>
      <c r="D2103">
        <v>11.2</v>
      </c>
      <c r="E2103">
        <v>6.9</v>
      </c>
      <c r="G2103">
        <v>17</v>
      </c>
      <c r="H2103" s="23">
        <f t="shared" si="68"/>
        <v>19</v>
      </c>
    </row>
    <row r="2104" spans="1:8" x14ac:dyDescent="0.25">
      <c r="A2104" s="22">
        <v>41899.795138888891</v>
      </c>
      <c r="B2104">
        <v>469.1</v>
      </c>
      <c r="C2104">
        <v>94.2</v>
      </c>
      <c r="D2104">
        <v>11.2</v>
      </c>
      <c r="E2104">
        <v>6.9</v>
      </c>
      <c r="G2104">
        <v>17</v>
      </c>
      <c r="H2104" s="23">
        <f t="shared" si="68"/>
        <v>19</v>
      </c>
    </row>
    <row r="2105" spans="1:8" x14ac:dyDescent="0.25">
      <c r="A2105" s="22">
        <v>41899.798611111109</v>
      </c>
      <c r="B2105">
        <v>472.5</v>
      </c>
      <c r="C2105">
        <v>94.2</v>
      </c>
      <c r="D2105">
        <v>11.3</v>
      </c>
      <c r="E2105">
        <v>6.9</v>
      </c>
      <c r="G2105">
        <v>17</v>
      </c>
      <c r="H2105" s="23">
        <f t="shared" si="68"/>
        <v>19</v>
      </c>
    </row>
    <row r="2106" spans="1:8" x14ac:dyDescent="0.25">
      <c r="A2106" s="22">
        <v>41899.802083333336</v>
      </c>
      <c r="B2106">
        <v>472.6</v>
      </c>
      <c r="C2106">
        <v>94.3</v>
      </c>
      <c r="D2106">
        <v>11.3</v>
      </c>
      <c r="E2106">
        <v>7</v>
      </c>
      <c r="G2106">
        <v>17</v>
      </c>
      <c r="H2106" s="23">
        <f t="shared" si="68"/>
        <v>19</v>
      </c>
    </row>
    <row r="2107" spans="1:8" x14ac:dyDescent="0.25">
      <c r="A2107" s="22">
        <v>41899.805555555555</v>
      </c>
      <c r="B2107">
        <v>472.1</v>
      </c>
      <c r="C2107">
        <v>94.2</v>
      </c>
      <c r="D2107">
        <v>11.3</v>
      </c>
      <c r="E2107">
        <v>7</v>
      </c>
      <c r="G2107">
        <v>17</v>
      </c>
      <c r="H2107" s="23">
        <f t="shared" si="68"/>
        <v>19</v>
      </c>
    </row>
    <row r="2108" spans="1:8" x14ac:dyDescent="0.25">
      <c r="A2108" s="22">
        <v>41899.809027777781</v>
      </c>
      <c r="B2108">
        <v>474.2</v>
      </c>
      <c r="C2108">
        <v>94.2</v>
      </c>
      <c r="D2108">
        <v>11.4</v>
      </c>
      <c r="E2108">
        <v>7</v>
      </c>
      <c r="G2108">
        <v>17</v>
      </c>
      <c r="H2108" s="23">
        <f t="shared" si="68"/>
        <v>19</v>
      </c>
    </row>
    <row r="2109" spans="1:8" x14ac:dyDescent="0.25">
      <c r="A2109" s="22">
        <v>41899.8125</v>
      </c>
      <c r="B2109">
        <v>472.8</v>
      </c>
      <c r="C2109">
        <v>94.2</v>
      </c>
      <c r="D2109">
        <v>11.4</v>
      </c>
      <c r="E2109">
        <v>7.1</v>
      </c>
      <c r="G2109">
        <v>17</v>
      </c>
      <c r="H2109" s="23">
        <f t="shared" si="68"/>
        <v>19</v>
      </c>
    </row>
    <row r="2110" spans="1:8" x14ac:dyDescent="0.25">
      <c r="A2110" s="22">
        <v>41899.815972222219</v>
      </c>
      <c r="B2110">
        <v>476.4</v>
      </c>
      <c r="C2110">
        <v>94.2</v>
      </c>
      <c r="D2110">
        <v>11.4</v>
      </c>
      <c r="E2110">
        <v>7</v>
      </c>
      <c r="G2110">
        <v>17</v>
      </c>
      <c r="H2110" s="23">
        <f t="shared" si="68"/>
        <v>19</v>
      </c>
    </row>
    <row r="2111" spans="1:8" x14ac:dyDescent="0.25">
      <c r="A2111" s="22">
        <v>41899.819444444445</v>
      </c>
      <c r="B2111">
        <v>473.6</v>
      </c>
      <c r="C2111">
        <v>94.2</v>
      </c>
      <c r="D2111">
        <v>11.4</v>
      </c>
      <c r="E2111">
        <v>7.1</v>
      </c>
      <c r="G2111">
        <v>17</v>
      </c>
      <c r="H2111" s="23">
        <f t="shared" si="68"/>
        <v>19</v>
      </c>
    </row>
    <row r="2112" spans="1:8" x14ac:dyDescent="0.25">
      <c r="A2112" s="22">
        <v>41899.822916666664</v>
      </c>
      <c r="B2112">
        <v>474.2</v>
      </c>
      <c r="C2112">
        <v>94.1</v>
      </c>
      <c r="D2112">
        <v>11.4</v>
      </c>
      <c r="E2112">
        <v>7.1</v>
      </c>
      <c r="G2112">
        <v>17</v>
      </c>
      <c r="H2112" s="23">
        <f t="shared" si="68"/>
        <v>19</v>
      </c>
    </row>
    <row r="2113" spans="1:8" x14ac:dyDescent="0.25">
      <c r="A2113" s="22">
        <v>41899.826388888891</v>
      </c>
      <c r="B2113">
        <v>474.8</v>
      </c>
      <c r="C2113">
        <v>94.2</v>
      </c>
      <c r="D2113">
        <v>11.4</v>
      </c>
      <c r="E2113">
        <v>7.1</v>
      </c>
      <c r="G2113">
        <v>17</v>
      </c>
      <c r="H2113" s="23">
        <f t="shared" si="68"/>
        <v>19</v>
      </c>
    </row>
    <row r="2114" spans="1:8" x14ac:dyDescent="0.25">
      <c r="A2114" s="22">
        <v>41899.829861111109</v>
      </c>
      <c r="B2114">
        <v>476.4</v>
      </c>
      <c r="C2114">
        <v>94.3</v>
      </c>
      <c r="D2114">
        <v>11.4</v>
      </c>
      <c r="E2114">
        <v>7.1</v>
      </c>
      <c r="G2114">
        <v>17</v>
      </c>
      <c r="H2114" s="23">
        <f t="shared" si="68"/>
        <v>19</v>
      </c>
    </row>
    <row r="2115" spans="1:8" x14ac:dyDescent="0.25">
      <c r="A2115" s="22">
        <v>41899.833333333336</v>
      </c>
      <c r="B2115">
        <v>478.9</v>
      </c>
      <c r="C2115">
        <v>94.2</v>
      </c>
      <c r="D2115">
        <v>11.4</v>
      </c>
      <c r="E2115">
        <v>7.1</v>
      </c>
      <c r="G2115">
        <v>17</v>
      </c>
      <c r="H2115" s="23">
        <f t="shared" si="68"/>
        <v>20</v>
      </c>
    </row>
    <row r="2116" spans="1:8" x14ac:dyDescent="0.25">
      <c r="A2116" s="22">
        <v>41899.836805555555</v>
      </c>
      <c r="B2116">
        <v>478.5</v>
      </c>
      <c r="C2116">
        <v>94.2</v>
      </c>
      <c r="D2116">
        <v>11.4</v>
      </c>
      <c r="E2116">
        <v>7</v>
      </c>
      <c r="G2116">
        <v>17</v>
      </c>
      <c r="H2116" s="23">
        <f t="shared" si="68"/>
        <v>20</v>
      </c>
    </row>
    <row r="2117" spans="1:8" x14ac:dyDescent="0.25">
      <c r="A2117" s="22">
        <v>41899.840277777781</v>
      </c>
      <c r="B2117">
        <v>477.9</v>
      </c>
      <c r="C2117">
        <v>94.2</v>
      </c>
      <c r="D2117">
        <v>11.4</v>
      </c>
      <c r="E2117">
        <v>7</v>
      </c>
      <c r="G2117">
        <v>17</v>
      </c>
      <c r="H2117" s="23">
        <f t="shared" si="68"/>
        <v>20</v>
      </c>
    </row>
    <row r="2118" spans="1:8" x14ac:dyDescent="0.25">
      <c r="A2118" s="22">
        <v>41899.84375</v>
      </c>
      <c r="B2118">
        <v>478.4</v>
      </c>
      <c r="C2118">
        <v>94.3</v>
      </c>
      <c r="D2118">
        <v>11.4</v>
      </c>
      <c r="E2118">
        <v>7</v>
      </c>
      <c r="G2118">
        <v>17</v>
      </c>
      <c r="H2118" s="23">
        <f t="shared" ref="H2118:H2181" si="69">+HOUR(A2118)</f>
        <v>20</v>
      </c>
    </row>
    <row r="2119" spans="1:8" x14ac:dyDescent="0.25">
      <c r="A2119" s="22">
        <v>41899.847222222219</v>
      </c>
      <c r="B2119">
        <v>475.6</v>
      </c>
      <c r="C2119">
        <v>94.3</v>
      </c>
      <c r="D2119">
        <v>11.4</v>
      </c>
      <c r="E2119">
        <v>7</v>
      </c>
      <c r="G2119">
        <v>17</v>
      </c>
      <c r="H2119" s="23">
        <f t="shared" si="69"/>
        <v>20</v>
      </c>
    </row>
    <row r="2120" spans="1:8" x14ac:dyDescent="0.25">
      <c r="A2120" s="22">
        <v>41899.850694444445</v>
      </c>
      <c r="B2120">
        <v>476.4</v>
      </c>
      <c r="C2120">
        <v>94.3</v>
      </c>
      <c r="D2120">
        <v>11.4</v>
      </c>
      <c r="E2120">
        <v>7</v>
      </c>
      <c r="G2120">
        <v>17</v>
      </c>
      <c r="H2120" s="23">
        <f t="shared" si="69"/>
        <v>20</v>
      </c>
    </row>
    <row r="2121" spans="1:8" x14ac:dyDescent="0.25">
      <c r="A2121" s="22">
        <v>41899.854166666664</v>
      </c>
      <c r="B2121">
        <v>472.6</v>
      </c>
      <c r="C2121">
        <v>94.2</v>
      </c>
      <c r="D2121">
        <v>11.4</v>
      </c>
      <c r="E2121">
        <v>7.1</v>
      </c>
      <c r="G2121">
        <v>17</v>
      </c>
      <c r="H2121" s="23">
        <f t="shared" si="69"/>
        <v>20</v>
      </c>
    </row>
    <row r="2122" spans="1:8" x14ac:dyDescent="0.25">
      <c r="A2122" s="22">
        <v>41899.857638888891</v>
      </c>
      <c r="B2122">
        <v>471</v>
      </c>
      <c r="C2122">
        <v>94.1</v>
      </c>
      <c r="D2122">
        <v>11.4</v>
      </c>
      <c r="E2122">
        <v>7.1</v>
      </c>
      <c r="G2122">
        <v>17</v>
      </c>
      <c r="H2122" s="23">
        <f t="shared" si="69"/>
        <v>20</v>
      </c>
    </row>
    <row r="2123" spans="1:8" x14ac:dyDescent="0.25">
      <c r="A2123" s="22">
        <v>41899.861111111109</v>
      </c>
      <c r="B2123">
        <v>475.1</v>
      </c>
      <c r="C2123">
        <v>94.3</v>
      </c>
      <c r="D2123">
        <v>11.4</v>
      </c>
      <c r="E2123">
        <v>7.1</v>
      </c>
      <c r="G2123">
        <v>17</v>
      </c>
      <c r="H2123" s="23">
        <f t="shared" si="69"/>
        <v>20</v>
      </c>
    </row>
    <row r="2124" spans="1:8" x14ac:dyDescent="0.25">
      <c r="A2124" s="22">
        <v>41899.864583333336</v>
      </c>
      <c r="B2124">
        <v>472.8</v>
      </c>
      <c r="C2124">
        <v>94.2</v>
      </c>
      <c r="D2124">
        <v>11.4</v>
      </c>
      <c r="E2124">
        <v>7.1</v>
      </c>
      <c r="G2124">
        <v>17</v>
      </c>
      <c r="H2124" s="23">
        <f t="shared" si="69"/>
        <v>20</v>
      </c>
    </row>
    <row r="2125" spans="1:8" x14ac:dyDescent="0.25">
      <c r="A2125" s="22">
        <v>41899.868055555555</v>
      </c>
      <c r="B2125">
        <v>473</v>
      </c>
      <c r="C2125">
        <v>94.1</v>
      </c>
      <c r="D2125">
        <v>11.4</v>
      </c>
      <c r="E2125">
        <v>7.1</v>
      </c>
      <c r="G2125">
        <v>17</v>
      </c>
      <c r="H2125" s="23">
        <f t="shared" si="69"/>
        <v>20</v>
      </c>
    </row>
    <row r="2126" spans="1:8" x14ac:dyDescent="0.25">
      <c r="A2126" s="22">
        <v>41899.871527777781</v>
      </c>
      <c r="B2126">
        <v>472</v>
      </c>
      <c r="C2126">
        <v>94.2</v>
      </c>
      <c r="D2126">
        <v>11.4</v>
      </c>
      <c r="E2126">
        <v>7.1</v>
      </c>
      <c r="G2126">
        <v>17</v>
      </c>
      <c r="H2126" s="23">
        <f t="shared" si="69"/>
        <v>20</v>
      </c>
    </row>
    <row r="2127" spans="1:8" x14ac:dyDescent="0.25">
      <c r="A2127" s="22">
        <v>41899.875</v>
      </c>
      <c r="B2127">
        <v>473.5</v>
      </c>
      <c r="C2127">
        <v>94.2</v>
      </c>
      <c r="D2127">
        <v>11.4</v>
      </c>
      <c r="E2127">
        <v>7.1</v>
      </c>
      <c r="G2127">
        <v>17</v>
      </c>
      <c r="H2127" s="23">
        <f t="shared" si="69"/>
        <v>21</v>
      </c>
    </row>
    <row r="2128" spans="1:8" x14ac:dyDescent="0.25">
      <c r="A2128" s="22">
        <v>41899.878472222219</v>
      </c>
      <c r="B2128">
        <v>475.1</v>
      </c>
      <c r="C2128">
        <v>94.3</v>
      </c>
      <c r="D2128">
        <v>11.4</v>
      </c>
      <c r="E2128">
        <v>7.1</v>
      </c>
      <c r="G2128">
        <v>17</v>
      </c>
      <c r="H2128" s="23">
        <f t="shared" si="69"/>
        <v>21</v>
      </c>
    </row>
    <row r="2129" spans="1:8" x14ac:dyDescent="0.25">
      <c r="A2129" s="22">
        <v>41899.881944444445</v>
      </c>
      <c r="B2129">
        <v>474.7</v>
      </c>
      <c r="C2129">
        <v>94.2</v>
      </c>
      <c r="D2129">
        <v>11.4</v>
      </c>
      <c r="E2129">
        <v>7.1</v>
      </c>
      <c r="G2129">
        <v>17</v>
      </c>
      <c r="H2129" s="23">
        <f t="shared" si="69"/>
        <v>21</v>
      </c>
    </row>
    <row r="2130" spans="1:8" x14ac:dyDescent="0.25">
      <c r="A2130" s="22">
        <v>41899.885416666664</v>
      </c>
      <c r="B2130">
        <v>476.1</v>
      </c>
      <c r="C2130">
        <v>94.1</v>
      </c>
      <c r="D2130">
        <v>11.4</v>
      </c>
      <c r="E2130">
        <v>7.1</v>
      </c>
      <c r="G2130">
        <v>17</v>
      </c>
      <c r="H2130" s="23">
        <f t="shared" si="69"/>
        <v>21</v>
      </c>
    </row>
    <row r="2131" spans="1:8" x14ac:dyDescent="0.25">
      <c r="A2131" s="22">
        <v>41899.888888888891</v>
      </c>
      <c r="B2131">
        <v>475.7</v>
      </c>
      <c r="C2131">
        <v>94.1</v>
      </c>
      <c r="D2131">
        <v>11.4</v>
      </c>
      <c r="E2131">
        <v>7.1</v>
      </c>
      <c r="G2131">
        <v>17</v>
      </c>
      <c r="H2131" s="23">
        <f t="shared" si="69"/>
        <v>21</v>
      </c>
    </row>
    <row r="2132" spans="1:8" x14ac:dyDescent="0.25">
      <c r="A2132" s="22">
        <v>41899.892361111109</v>
      </c>
      <c r="B2132">
        <v>477.3</v>
      </c>
      <c r="C2132">
        <v>94.2</v>
      </c>
      <c r="D2132">
        <v>11.4</v>
      </c>
      <c r="E2132">
        <v>7.1</v>
      </c>
      <c r="G2132">
        <v>17</v>
      </c>
      <c r="H2132" s="23">
        <f t="shared" si="69"/>
        <v>21</v>
      </c>
    </row>
    <row r="2133" spans="1:8" x14ac:dyDescent="0.25">
      <c r="A2133" s="22">
        <v>41899.895833333336</v>
      </c>
      <c r="B2133">
        <v>477.9</v>
      </c>
      <c r="C2133">
        <v>94.2</v>
      </c>
      <c r="D2133">
        <v>11.4</v>
      </c>
      <c r="E2133">
        <v>7.1</v>
      </c>
      <c r="G2133">
        <v>17</v>
      </c>
      <c r="H2133" s="23">
        <f t="shared" si="69"/>
        <v>21</v>
      </c>
    </row>
    <row r="2134" spans="1:8" x14ac:dyDescent="0.25">
      <c r="A2134" s="22">
        <v>41899.899305555555</v>
      </c>
      <c r="B2134">
        <v>478.2</v>
      </c>
      <c r="C2134">
        <v>94.2</v>
      </c>
      <c r="D2134">
        <v>11.5</v>
      </c>
      <c r="E2134">
        <v>7.1</v>
      </c>
      <c r="G2134">
        <v>17</v>
      </c>
      <c r="H2134" s="23">
        <f t="shared" si="69"/>
        <v>21</v>
      </c>
    </row>
    <row r="2135" spans="1:8" x14ac:dyDescent="0.25">
      <c r="A2135" s="22">
        <v>41899.902777777781</v>
      </c>
      <c r="B2135">
        <v>478.4</v>
      </c>
      <c r="C2135">
        <v>94.3</v>
      </c>
      <c r="D2135">
        <v>11.5</v>
      </c>
      <c r="E2135">
        <v>7.2</v>
      </c>
      <c r="G2135">
        <v>17</v>
      </c>
      <c r="H2135" s="23">
        <f t="shared" si="69"/>
        <v>21</v>
      </c>
    </row>
    <row r="2136" spans="1:8" x14ac:dyDescent="0.25">
      <c r="A2136" s="22">
        <v>41899.90625</v>
      </c>
      <c r="B2136">
        <v>477.6</v>
      </c>
      <c r="C2136">
        <v>94.3</v>
      </c>
      <c r="D2136">
        <v>11.5</v>
      </c>
      <c r="E2136">
        <v>7.2</v>
      </c>
      <c r="G2136">
        <v>17</v>
      </c>
      <c r="H2136" s="23">
        <f t="shared" si="69"/>
        <v>21</v>
      </c>
    </row>
    <row r="2137" spans="1:8" x14ac:dyDescent="0.25">
      <c r="A2137" s="22">
        <v>41899.909722222219</v>
      </c>
      <c r="B2137">
        <v>478.6</v>
      </c>
      <c r="C2137">
        <v>94.2</v>
      </c>
      <c r="D2137">
        <v>11.5</v>
      </c>
      <c r="E2137">
        <v>7.2</v>
      </c>
      <c r="G2137">
        <v>17</v>
      </c>
      <c r="H2137" s="23">
        <f t="shared" si="69"/>
        <v>21</v>
      </c>
    </row>
    <row r="2138" spans="1:8" x14ac:dyDescent="0.25">
      <c r="A2138" s="22">
        <v>41899.913194444445</v>
      </c>
      <c r="B2138">
        <v>478.1</v>
      </c>
      <c r="C2138">
        <v>94.2</v>
      </c>
      <c r="D2138">
        <v>11.5</v>
      </c>
      <c r="E2138">
        <v>7.2</v>
      </c>
      <c r="G2138">
        <v>17</v>
      </c>
      <c r="H2138" s="23">
        <f t="shared" si="69"/>
        <v>21</v>
      </c>
    </row>
    <row r="2139" spans="1:8" x14ac:dyDescent="0.25">
      <c r="A2139" s="22">
        <v>41899.916666666664</v>
      </c>
      <c r="B2139">
        <v>477.9</v>
      </c>
      <c r="C2139">
        <v>94.2</v>
      </c>
      <c r="D2139">
        <v>11.5</v>
      </c>
      <c r="E2139">
        <v>7.2</v>
      </c>
      <c r="G2139">
        <v>17</v>
      </c>
      <c r="H2139" s="23">
        <f t="shared" si="69"/>
        <v>22</v>
      </c>
    </row>
    <row r="2140" spans="1:8" x14ac:dyDescent="0.25">
      <c r="A2140" s="22">
        <v>41899.920138888891</v>
      </c>
      <c r="B2140">
        <v>478.4</v>
      </c>
      <c r="C2140">
        <v>94.2</v>
      </c>
      <c r="D2140">
        <v>11.6</v>
      </c>
      <c r="E2140">
        <v>7.2</v>
      </c>
      <c r="G2140">
        <v>17</v>
      </c>
      <c r="H2140" s="23">
        <f t="shared" si="69"/>
        <v>22</v>
      </c>
    </row>
    <row r="2141" spans="1:8" x14ac:dyDescent="0.25">
      <c r="A2141" s="22">
        <v>41899.923611111109</v>
      </c>
      <c r="B2141">
        <v>481.3</v>
      </c>
      <c r="C2141">
        <v>94.2</v>
      </c>
      <c r="D2141">
        <v>11.6</v>
      </c>
      <c r="E2141">
        <v>7.2</v>
      </c>
      <c r="G2141">
        <v>17</v>
      </c>
      <c r="H2141" s="23">
        <f t="shared" si="69"/>
        <v>22</v>
      </c>
    </row>
    <row r="2142" spans="1:8" x14ac:dyDescent="0.25">
      <c r="A2142" s="22">
        <v>41899.927083333336</v>
      </c>
      <c r="B2142">
        <v>481.1</v>
      </c>
      <c r="C2142">
        <v>94.2</v>
      </c>
      <c r="D2142">
        <v>11.6</v>
      </c>
      <c r="E2142">
        <v>7.2</v>
      </c>
      <c r="G2142">
        <v>17</v>
      </c>
      <c r="H2142" s="23">
        <f t="shared" si="69"/>
        <v>22</v>
      </c>
    </row>
    <row r="2143" spans="1:8" x14ac:dyDescent="0.25">
      <c r="A2143" s="22">
        <v>41899.930555555555</v>
      </c>
      <c r="B2143">
        <v>480.4</v>
      </c>
      <c r="C2143">
        <v>94.2</v>
      </c>
      <c r="D2143">
        <v>11.6</v>
      </c>
      <c r="E2143">
        <v>7.2</v>
      </c>
      <c r="G2143">
        <v>17</v>
      </c>
      <c r="H2143" s="23">
        <f t="shared" si="69"/>
        <v>22</v>
      </c>
    </row>
    <row r="2144" spans="1:8" x14ac:dyDescent="0.25">
      <c r="A2144" s="22">
        <v>41899.934027777781</v>
      </c>
      <c r="B2144">
        <v>480.1</v>
      </c>
      <c r="C2144">
        <v>94.2</v>
      </c>
      <c r="D2144">
        <v>11.5</v>
      </c>
      <c r="E2144">
        <v>7.1</v>
      </c>
      <c r="G2144">
        <v>17</v>
      </c>
      <c r="H2144" s="23">
        <f t="shared" si="69"/>
        <v>22</v>
      </c>
    </row>
    <row r="2145" spans="1:8" x14ac:dyDescent="0.25">
      <c r="A2145" s="22">
        <v>41899.9375</v>
      </c>
      <c r="B2145">
        <v>481.7</v>
      </c>
      <c r="C2145">
        <v>94.2</v>
      </c>
      <c r="D2145">
        <v>11.3</v>
      </c>
      <c r="E2145">
        <v>6.9</v>
      </c>
      <c r="G2145">
        <v>17</v>
      </c>
      <c r="H2145" s="23">
        <f t="shared" si="69"/>
        <v>22</v>
      </c>
    </row>
    <row r="2146" spans="1:8" x14ac:dyDescent="0.25">
      <c r="A2146" s="22">
        <v>41899.940972222219</v>
      </c>
      <c r="B2146">
        <v>493.9</v>
      </c>
      <c r="C2146">
        <v>94.2</v>
      </c>
      <c r="D2146">
        <v>11.6</v>
      </c>
      <c r="E2146">
        <v>7.1</v>
      </c>
      <c r="G2146">
        <v>17</v>
      </c>
      <c r="H2146" s="23">
        <f t="shared" si="69"/>
        <v>22</v>
      </c>
    </row>
    <row r="2147" spans="1:8" x14ac:dyDescent="0.25">
      <c r="A2147" s="22">
        <v>41899.944444444445</v>
      </c>
      <c r="B2147">
        <v>486</v>
      </c>
      <c r="C2147">
        <v>94.2</v>
      </c>
      <c r="D2147">
        <v>12.1</v>
      </c>
      <c r="E2147">
        <v>7.6</v>
      </c>
      <c r="G2147">
        <v>17</v>
      </c>
      <c r="H2147" s="23">
        <f t="shared" si="69"/>
        <v>22</v>
      </c>
    </row>
    <row r="2148" spans="1:8" x14ac:dyDescent="0.25">
      <c r="A2148" s="22">
        <v>41899.947916666664</v>
      </c>
      <c r="B2148">
        <v>479.1</v>
      </c>
      <c r="C2148">
        <v>94.2</v>
      </c>
      <c r="D2148">
        <v>11.5</v>
      </c>
      <c r="E2148">
        <v>7.2</v>
      </c>
      <c r="G2148">
        <v>17</v>
      </c>
      <c r="H2148" s="23">
        <f t="shared" si="69"/>
        <v>22</v>
      </c>
    </row>
    <row r="2149" spans="1:8" x14ac:dyDescent="0.25">
      <c r="A2149" s="22">
        <v>41899.951388888891</v>
      </c>
      <c r="B2149">
        <v>481.8</v>
      </c>
      <c r="C2149">
        <v>94.2</v>
      </c>
      <c r="D2149">
        <v>11.3</v>
      </c>
      <c r="E2149">
        <v>6.9</v>
      </c>
      <c r="G2149">
        <v>17</v>
      </c>
      <c r="H2149" s="23">
        <f t="shared" si="69"/>
        <v>22</v>
      </c>
    </row>
    <row r="2150" spans="1:8" x14ac:dyDescent="0.25">
      <c r="A2150" s="22">
        <v>41899.954861111109</v>
      </c>
      <c r="B2150">
        <v>482.8</v>
      </c>
      <c r="C2150">
        <v>94.2</v>
      </c>
      <c r="D2150">
        <v>11.4</v>
      </c>
      <c r="E2150">
        <v>7</v>
      </c>
      <c r="G2150">
        <v>17</v>
      </c>
      <c r="H2150" s="23">
        <f t="shared" si="69"/>
        <v>22</v>
      </c>
    </row>
    <row r="2151" spans="1:8" x14ac:dyDescent="0.25">
      <c r="A2151" s="22">
        <v>41899.958333333336</v>
      </c>
      <c r="B2151">
        <v>482.6</v>
      </c>
      <c r="C2151">
        <v>94.1</v>
      </c>
      <c r="D2151">
        <v>11.3</v>
      </c>
      <c r="E2151">
        <v>6.9</v>
      </c>
      <c r="G2151">
        <v>17</v>
      </c>
      <c r="H2151" s="23">
        <f t="shared" si="69"/>
        <v>23</v>
      </c>
    </row>
    <row r="2152" spans="1:8" x14ac:dyDescent="0.25">
      <c r="A2152" s="22">
        <v>41899.961805555555</v>
      </c>
      <c r="B2152">
        <v>480.9</v>
      </c>
      <c r="C2152">
        <v>94.1</v>
      </c>
      <c r="D2152">
        <v>11.2</v>
      </c>
      <c r="E2152">
        <v>6.9</v>
      </c>
      <c r="G2152">
        <v>17</v>
      </c>
      <c r="H2152" s="23">
        <f t="shared" si="69"/>
        <v>23</v>
      </c>
    </row>
    <row r="2153" spans="1:8" x14ac:dyDescent="0.25">
      <c r="A2153" s="22">
        <v>41899.965277777781</v>
      </c>
      <c r="B2153">
        <v>480.3</v>
      </c>
      <c r="C2153">
        <v>94.2</v>
      </c>
      <c r="D2153">
        <v>11.2</v>
      </c>
      <c r="E2153">
        <v>6.8</v>
      </c>
      <c r="G2153">
        <v>17</v>
      </c>
      <c r="H2153" s="23">
        <f t="shared" si="69"/>
        <v>23</v>
      </c>
    </row>
    <row r="2154" spans="1:8" x14ac:dyDescent="0.25">
      <c r="A2154" s="22">
        <v>41899.96875</v>
      </c>
      <c r="B2154">
        <v>480.6</v>
      </c>
      <c r="C2154">
        <v>94.2</v>
      </c>
      <c r="D2154">
        <v>11.1</v>
      </c>
      <c r="E2154">
        <v>6.7</v>
      </c>
      <c r="G2154">
        <v>17</v>
      </c>
      <c r="H2154" s="23">
        <f t="shared" si="69"/>
        <v>23</v>
      </c>
    </row>
    <row r="2155" spans="1:8" x14ac:dyDescent="0.25">
      <c r="A2155" s="22">
        <v>41899.972222222219</v>
      </c>
      <c r="B2155">
        <v>481.6</v>
      </c>
      <c r="C2155">
        <v>94.1</v>
      </c>
      <c r="D2155">
        <v>11</v>
      </c>
      <c r="E2155">
        <v>6.7</v>
      </c>
      <c r="G2155">
        <v>17</v>
      </c>
      <c r="H2155" s="23">
        <f t="shared" si="69"/>
        <v>23</v>
      </c>
    </row>
    <row r="2156" spans="1:8" x14ac:dyDescent="0.25">
      <c r="A2156" s="22">
        <v>41899.975694444445</v>
      </c>
      <c r="B2156">
        <v>480.3</v>
      </c>
      <c r="C2156">
        <v>94.1</v>
      </c>
      <c r="D2156">
        <v>11</v>
      </c>
      <c r="E2156">
        <v>6.6</v>
      </c>
      <c r="G2156">
        <v>17</v>
      </c>
      <c r="H2156" s="23">
        <f t="shared" si="69"/>
        <v>23</v>
      </c>
    </row>
    <row r="2157" spans="1:8" x14ac:dyDescent="0.25">
      <c r="A2157" s="22">
        <v>41899.979166666664</v>
      </c>
      <c r="B2157">
        <v>479.6</v>
      </c>
      <c r="C2157">
        <v>94</v>
      </c>
      <c r="D2157">
        <v>10.9</v>
      </c>
      <c r="E2157">
        <v>6.5</v>
      </c>
      <c r="G2157">
        <v>17</v>
      </c>
      <c r="H2157" s="23">
        <f t="shared" si="69"/>
        <v>23</v>
      </c>
    </row>
    <row r="2158" spans="1:8" x14ac:dyDescent="0.25">
      <c r="A2158" s="22">
        <v>41899.982638888891</v>
      </c>
      <c r="B2158">
        <v>479.3</v>
      </c>
      <c r="C2158">
        <v>94</v>
      </c>
      <c r="D2158">
        <v>10.9</v>
      </c>
      <c r="E2158">
        <v>6.5</v>
      </c>
      <c r="G2158">
        <v>17</v>
      </c>
      <c r="H2158" s="23">
        <f t="shared" si="69"/>
        <v>23</v>
      </c>
    </row>
    <row r="2159" spans="1:8" x14ac:dyDescent="0.25">
      <c r="A2159" s="22">
        <v>41899.986111111109</v>
      </c>
      <c r="B2159">
        <v>479.5</v>
      </c>
      <c r="C2159">
        <v>94.1</v>
      </c>
      <c r="D2159">
        <v>10.8</v>
      </c>
      <c r="E2159">
        <v>6.5</v>
      </c>
      <c r="G2159">
        <v>17</v>
      </c>
      <c r="H2159" s="23">
        <f t="shared" si="69"/>
        <v>23</v>
      </c>
    </row>
    <row r="2160" spans="1:8" x14ac:dyDescent="0.25">
      <c r="A2160" s="22">
        <v>41899.989583333336</v>
      </c>
      <c r="B2160">
        <v>480</v>
      </c>
      <c r="C2160">
        <v>94</v>
      </c>
      <c r="D2160">
        <v>10.8</v>
      </c>
      <c r="E2160">
        <v>6.4</v>
      </c>
      <c r="G2160">
        <v>17</v>
      </c>
      <c r="H2160" s="23">
        <f t="shared" si="69"/>
        <v>23</v>
      </c>
    </row>
    <row r="2161" spans="1:8" x14ac:dyDescent="0.25">
      <c r="A2161" s="22">
        <v>41899.993055555555</v>
      </c>
      <c r="B2161">
        <v>479.4</v>
      </c>
      <c r="C2161">
        <v>94</v>
      </c>
      <c r="D2161">
        <v>10.8</v>
      </c>
      <c r="E2161">
        <v>6.4</v>
      </c>
      <c r="G2161">
        <v>17</v>
      </c>
      <c r="H2161" s="23">
        <f t="shared" si="69"/>
        <v>23</v>
      </c>
    </row>
    <row r="2162" spans="1:8" x14ac:dyDescent="0.25">
      <c r="A2162" s="22">
        <v>41899.996527777781</v>
      </c>
      <c r="B2162">
        <v>480</v>
      </c>
      <c r="C2162">
        <v>94</v>
      </c>
      <c r="D2162">
        <v>10.8</v>
      </c>
      <c r="E2162">
        <v>6.4</v>
      </c>
      <c r="G2162">
        <v>17</v>
      </c>
      <c r="H2162" s="23">
        <f t="shared" si="69"/>
        <v>23</v>
      </c>
    </row>
    <row r="2163" spans="1:8" x14ac:dyDescent="0.25">
      <c r="A2163" s="22">
        <v>41900</v>
      </c>
      <c r="B2163">
        <v>479</v>
      </c>
      <c r="C2163">
        <v>94</v>
      </c>
      <c r="D2163">
        <v>10.7</v>
      </c>
      <c r="E2163">
        <v>6.4</v>
      </c>
      <c r="G2163">
        <v>18</v>
      </c>
      <c r="H2163" s="23">
        <f t="shared" si="69"/>
        <v>0</v>
      </c>
    </row>
    <row r="2164" spans="1:8" x14ac:dyDescent="0.25">
      <c r="A2164" s="22">
        <v>41900.003472222219</v>
      </c>
      <c r="B2164">
        <v>473.3</v>
      </c>
      <c r="C2164">
        <v>94</v>
      </c>
      <c r="D2164">
        <v>10.7</v>
      </c>
      <c r="E2164">
        <v>6.4</v>
      </c>
      <c r="G2164">
        <v>18</v>
      </c>
      <c r="H2164" s="23">
        <f t="shared" si="69"/>
        <v>0</v>
      </c>
    </row>
    <row r="2165" spans="1:8" x14ac:dyDescent="0.25">
      <c r="A2165" s="22">
        <v>41900.006944444445</v>
      </c>
      <c r="B2165">
        <v>470.8</v>
      </c>
      <c r="C2165">
        <v>93.9</v>
      </c>
      <c r="D2165">
        <v>10.7</v>
      </c>
      <c r="E2165">
        <v>6.4</v>
      </c>
      <c r="G2165">
        <v>18</v>
      </c>
      <c r="H2165" s="23">
        <f t="shared" si="69"/>
        <v>0</v>
      </c>
    </row>
    <row r="2166" spans="1:8" x14ac:dyDescent="0.25">
      <c r="A2166" s="22">
        <v>41900.010416666664</v>
      </c>
      <c r="B2166">
        <v>470.1</v>
      </c>
      <c r="C2166">
        <v>94.1</v>
      </c>
      <c r="D2166">
        <v>10.6</v>
      </c>
      <c r="E2166">
        <v>6.3</v>
      </c>
      <c r="G2166">
        <v>18</v>
      </c>
      <c r="H2166" s="23">
        <f t="shared" si="69"/>
        <v>0</v>
      </c>
    </row>
    <row r="2167" spans="1:8" x14ac:dyDescent="0.25">
      <c r="A2167" s="22">
        <v>41900.013888888891</v>
      </c>
      <c r="B2167">
        <v>469.7</v>
      </c>
      <c r="C2167">
        <v>94</v>
      </c>
      <c r="D2167">
        <v>10.6</v>
      </c>
      <c r="E2167">
        <v>6.3</v>
      </c>
      <c r="G2167">
        <v>18</v>
      </c>
      <c r="H2167" s="23">
        <f t="shared" si="69"/>
        <v>0</v>
      </c>
    </row>
    <row r="2168" spans="1:8" x14ac:dyDescent="0.25">
      <c r="A2168" s="22">
        <v>41900.017361111109</v>
      </c>
      <c r="B2168">
        <v>468.8</v>
      </c>
      <c r="C2168">
        <v>94</v>
      </c>
      <c r="D2168">
        <v>10.6</v>
      </c>
      <c r="E2168">
        <v>6.3</v>
      </c>
      <c r="G2168">
        <v>18</v>
      </c>
      <c r="H2168" s="23">
        <f t="shared" si="69"/>
        <v>0</v>
      </c>
    </row>
    <row r="2169" spans="1:8" x14ac:dyDescent="0.25">
      <c r="A2169" s="22">
        <v>41900.020833333336</v>
      </c>
      <c r="B2169">
        <v>469.4</v>
      </c>
      <c r="C2169">
        <v>93.9</v>
      </c>
      <c r="D2169">
        <v>10.6</v>
      </c>
      <c r="E2169">
        <v>6.3</v>
      </c>
      <c r="G2169">
        <v>18</v>
      </c>
      <c r="H2169" s="23">
        <f t="shared" si="69"/>
        <v>0</v>
      </c>
    </row>
    <row r="2170" spans="1:8" x14ac:dyDescent="0.25">
      <c r="A2170" s="22">
        <v>41900.024305555555</v>
      </c>
      <c r="B2170">
        <v>467.4</v>
      </c>
      <c r="C2170">
        <v>94</v>
      </c>
      <c r="D2170">
        <v>10.5</v>
      </c>
      <c r="E2170">
        <v>6.3</v>
      </c>
      <c r="G2170">
        <v>18</v>
      </c>
      <c r="H2170" s="23">
        <f t="shared" si="69"/>
        <v>0</v>
      </c>
    </row>
    <row r="2171" spans="1:8" x14ac:dyDescent="0.25">
      <c r="A2171" s="22">
        <v>41900.027777777781</v>
      </c>
      <c r="B2171">
        <v>468.4</v>
      </c>
      <c r="C2171">
        <v>94.1</v>
      </c>
      <c r="D2171">
        <v>10.5</v>
      </c>
      <c r="E2171">
        <v>6.2</v>
      </c>
      <c r="G2171">
        <v>18</v>
      </c>
      <c r="H2171" s="23">
        <f t="shared" si="69"/>
        <v>0</v>
      </c>
    </row>
    <row r="2172" spans="1:8" x14ac:dyDescent="0.25">
      <c r="A2172" s="22">
        <v>41900.03125</v>
      </c>
      <c r="B2172">
        <v>467.8</v>
      </c>
      <c r="C2172">
        <v>94</v>
      </c>
      <c r="D2172">
        <v>10.5</v>
      </c>
      <c r="E2172">
        <v>6.2</v>
      </c>
      <c r="G2172">
        <v>18</v>
      </c>
      <c r="H2172" s="23">
        <f t="shared" si="69"/>
        <v>0</v>
      </c>
    </row>
    <row r="2173" spans="1:8" x14ac:dyDescent="0.25">
      <c r="A2173" s="22">
        <v>41900.034722222219</v>
      </c>
      <c r="B2173">
        <v>466.4</v>
      </c>
      <c r="C2173">
        <v>94</v>
      </c>
      <c r="D2173">
        <v>10.5</v>
      </c>
      <c r="E2173">
        <v>6.2</v>
      </c>
      <c r="G2173">
        <v>18</v>
      </c>
      <c r="H2173" s="23">
        <f t="shared" si="69"/>
        <v>0</v>
      </c>
    </row>
    <row r="2174" spans="1:8" x14ac:dyDescent="0.25">
      <c r="A2174" s="22">
        <v>41900.038194444445</v>
      </c>
      <c r="B2174">
        <v>466.2</v>
      </c>
      <c r="C2174">
        <v>94</v>
      </c>
      <c r="D2174">
        <v>10.5</v>
      </c>
      <c r="E2174">
        <v>6.2</v>
      </c>
      <c r="G2174">
        <v>18</v>
      </c>
      <c r="H2174" s="23">
        <f t="shared" si="69"/>
        <v>0</v>
      </c>
    </row>
    <row r="2175" spans="1:8" x14ac:dyDescent="0.25">
      <c r="A2175" s="22">
        <v>41900.041666666664</v>
      </c>
      <c r="B2175">
        <v>465.7</v>
      </c>
      <c r="C2175">
        <v>94.1</v>
      </c>
      <c r="D2175">
        <v>10.4</v>
      </c>
      <c r="E2175">
        <v>6.2</v>
      </c>
      <c r="G2175">
        <v>18</v>
      </c>
      <c r="H2175" s="23">
        <f t="shared" si="69"/>
        <v>1</v>
      </c>
    </row>
    <row r="2176" spans="1:8" x14ac:dyDescent="0.25">
      <c r="A2176" s="22">
        <v>41900.045138888891</v>
      </c>
      <c r="B2176">
        <v>463.1</v>
      </c>
      <c r="C2176">
        <v>94</v>
      </c>
      <c r="D2176">
        <v>10.4</v>
      </c>
      <c r="E2176">
        <v>6.2</v>
      </c>
      <c r="G2176">
        <v>18</v>
      </c>
      <c r="H2176" s="23">
        <f t="shared" si="69"/>
        <v>1</v>
      </c>
    </row>
    <row r="2177" spans="1:8" x14ac:dyDescent="0.25">
      <c r="A2177" s="22">
        <v>41900.048611111109</v>
      </c>
      <c r="B2177">
        <v>461.7</v>
      </c>
      <c r="C2177">
        <v>94</v>
      </c>
      <c r="D2177">
        <v>10.3</v>
      </c>
      <c r="E2177">
        <v>6.1</v>
      </c>
      <c r="G2177">
        <v>18</v>
      </c>
      <c r="H2177" s="23">
        <f t="shared" si="69"/>
        <v>1</v>
      </c>
    </row>
    <row r="2178" spans="1:8" x14ac:dyDescent="0.25">
      <c r="A2178" s="22">
        <v>41900.052083333336</v>
      </c>
      <c r="B2178">
        <v>461.4</v>
      </c>
      <c r="C2178">
        <v>93.9</v>
      </c>
      <c r="D2178">
        <v>10.3</v>
      </c>
      <c r="E2178">
        <v>6.1</v>
      </c>
      <c r="G2178">
        <v>18</v>
      </c>
      <c r="H2178" s="23">
        <f t="shared" si="69"/>
        <v>1</v>
      </c>
    </row>
    <row r="2179" spans="1:8" x14ac:dyDescent="0.25">
      <c r="A2179" s="22">
        <v>41900.055555555555</v>
      </c>
      <c r="B2179">
        <v>459.8</v>
      </c>
      <c r="C2179">
        <v>93.9</v>
      </c>
      <c r="D2179">
        <v>10.199999999999999</v>
      </c>
      <c r="E2179">
        <v>6</v>
      </c>
      <c r="G2179">
        <v>18</v>
      </c>
      <c r="H2179" s="23">
        <f t="shared" si="69"/>
        <v>1</v>
      </c>
    </row>
    <row r="2180" spans="1:8" x14ac:dyDescent="0.25">
      <c r="A2180" s="22">
        <v>41900.059027777781</v>
      </c>
      <c r="B2180">
        <v>460.6</v>
      </c>
      <c r="C2180">
        <v>94</v>
      </c>
      <c r="D2180">
        <v>10.199999999999999</v>
      </c>
      <c r="E2180">
        <v>6</v>
      </c>
      <c r="G2180">
        <v>18</v>
      </c>
      <c r="H2180" s="23">
        <f t="shared" si="69"/>
        <v>1</v>
      </c>
    </row>
    <row r="2181" spans="1:8" x14ac:dyDescent="0.25">
      <c r="A2181" s="22">
        <v>41900.0625</v>
      </c>
      <c r="B2181">
        <v>459.1</v>
      </c>
      <c r="C2181">
        <v>93.9</v>
      </c>
      <c r="D2181">
        <v>10.199999999999999</v>
      </c>
      <c r="E2181">
        <v>6</v>
      </c>
      <c r="G2181">
        <v>18</v>
      </c>
      <c r="H2181" s="23">
        <f t="shared" si="69"/>
        <v>1</v>
      </c>
    </row>
    <row r="2182" spans="1:8" x14ac:dyDescent="0.25">
      <c r="A2182" s="22">
        <v>41900.065972222219</v>
      </c>
      <c r="B2182">
        <v>457.2</v>
      </c>
      <c r="C2182">
        <v>93.9</v>
      </c>
      <c r="D2182">
        <v>10.1</v>
      </c>
      <c r="E2182">
        <v>6</v>
      </c>
      <c r="G2182">
        <v>18</v>
      </c>
      <c r="H2182" s="23">
        <f t="shared" ref="H2182:H2245" si="70">+HOUR(A2182)</f>
        <v>1</v>
      </c>
    </row>
    <row r="2183" spans="1:8" x14ac:dyDescent="0.25">
      <c r="A2183" s="22">
        <v>41900.069444444445</v>
      </c>
      <c r="B2183">
        <v>457.2</v>
      </c>
      <c r="C2183">
        <v>93.9</v>
      </c>
      <c r="D2183">
        <v>10.1</v>
      </c>
      <c r="E2183">
        <v>5.9</v>
      </c>
      <c r="G2183">
        <v>18</v>
      </c>
      <c r="H2183" s="23">
        <f t="shared" si="70"/>
        <v>1</v>
      </c>
    </row>
    <row r="2184" spans="1:8" x14ac:dyDescent="0.25">
      <c r="A2184" s="22">
        <v>41900.072916666664</v>
      </c>
      <c r="B2184">
        <v>456.2</v>
      </c>
      <c r="C2184">
        <v>93.9</v>
      </c>
      <c r="D2184">
        <v>10</v>
      </c>
      <c r="E2184">
        <v>5.9</v>
      </c>
      <c r="G2184">
        <v>18</v>
      </c>
      <c r="H2184" s="23">
        <f t="shared" si="70"/>
        <v>1</v>
      </c>
    </row>
    <row r="2185" spans="1:8" x14ac:dyDescent="0.25">
      <c r="A2185" s="22">
        <v>41900.076388888891</v>
      </c>
      <c r="B2185">
        <v>455.8</v>
      </c>
      <c r="C2185">
        <v>94</v>
      </c>
      <c r="D2185">
        <v>10</v>
      </c>
      <c r="E2185">
        <v>5.9</v>
      </c>
      <c r="G2185">
        <v>18</v>
      </c>
      <c r="H2185" s="23">
        <f t="shared" si="70"/>
        <v>1</v>
      </c>
    </row>
    <row r="2186" spans="1:8" x14ac:dyDescent="0.25">
      <c r="A2186" s="22">
        <v>41900.079861111109</v>
      </c>
      <c r="B2186">
        <v>452.1</v>
      </c>
      <c r="C2186">
        <v>93.9</v>
      </c>
      <c r="D2186">
        <v>10</v>
      </c>
      <c r="E2186">
        <v>5.8</v>
      </c>
      <c r="G2186">
        <v>18</v>
      </c>
      <c r="H2186" s="23">
        <f t="shared" si="70"/>
        <v>1</v>
      </c>
    </row>
    <row r="2187" spans="1:8" x14ac:dyDescent="0.25">
      <c r="A2187" s="22">
        <v>41900.083333333336</v>
      </c>
      <c r="B2187">
        <v>449.5</v>
      </c>
      <c r="C2187">
        <v>93.9</v>
      </c>
      <c r="D2187">
        <v>9.9</v>
      </c>
      <c r="E2187">
        <v>5.8</v>
      </c>
      <c r="G2187">
        <v>18</v>
      </c>
      <c r="H2187" s="23">
        <f t="shared" si="70"/>
        <v>2</v>
      </c>
    </row>
    <row r="2188" spans="1:8" x14ac:dyDescent="0.25">
      <c r="A2188" s="22">
        <v>41900.086805555555</v>
      </c>
      <c r="B2188">
        <v>447.7</v>
      </c>
      <c r="C2188">
        <v>94</v>
      </c>
      <c r="D2188">
        <v>9.9</v>
      </c>
      <c r="E2188">
        <v>5.8</v>
      </c>
      <c r="G2188">
        <v>18</v>
      </c>
      <c r="H2188" s="23">
        <f t="shared" si="70"/>
        <v>2</v>
      </c>
    </row>
    <row r="2189" spans="1:8" x14ac:dyDescent="0.25">
      <c r="A2189" s="22">
        <v>41900.090277777781</v>
      </c>
      <c r="B2189">
        <v>444</v>
      </c>
      <c r="C2189">
        <v>94</v>
      </c>
      <c r="D2189">
        <v>9.9</v>
      </c>
      <c r="E2189">
        <v>5.8</v>
      </c>
      <c r="G2189">
        <v>18</v>
      </c>
      <c r="H2189" s="23">
        <f t="shared" si="70"/>
        <v>2</v>
      </c>
    </row>
    <row r="2190" spans="1:8" x14ac:dyDescent="0.25">
      <c r="A2190" s="22">
        <v>41900.09375</v>
      </c>
      <c r="B2190">
        <v>444.4</v>
      </c>
      <c r="C2190">
        <v>94</v>
      </c>
      <c r="D2190">
        <v>9.9</v>
      </c>
      <c r="E2190">
        <v>5.8</v>
      </c>
      <c r="G2190">
        <v>18</v>
      </c>
      <c r="H2190" s="23">
        <f t="shared" si="70"/>
        <v>2</v>
      </c>
    </row>
    <row r="2191" spans="1:8" x14ac:dyDescent="0.25">
      <c r="A2191" s="22">
        <v>41900.097222222219</v>
      </c>
      <c r="B2191">
        <v>440.4</v>
      </c>
      <c r="C2191">
        <v>93.8</v>
      </c>
      <c r="D2191">
        <v>9.8000000000000007</v>
      </c>
      <c r="E2191">
        <v>5.8</v>
      </c>
      <c r="G2191">
        <v>18</v>
      </c>
      <c r="H2191" s="23">
        <f t="shared" si="70"/>
        <v>2</v>
      </c>
    </row>
    <row r="2192" spans="1:8" x14ac:dyDescent="0.25">
      <c r="A2192" s="22">
        <v>41900.100694444445</v>
      </c>
      <c r="B2192">
        <v>439</v>
      </c>
      <c r="C2192">
        <v>94</v>
      </c>
      <c r="D2192">
        <v>9.8000000000000007</v>
      </c>
      <c r="E2192">
        <v>5.8</v>
      </c>
      <c r="G2192">
        <v>18</v>
      </c>
      <c r="H2192" s="23">
        <f t="shared" si="70"/>
        <v>2</v>
      </c>
    </row>
    <row r="2193" spans="1:8" x14ac:dyDescent="0.25">
      <c r="A2193" s="22">
        <v>41900.104166666664</v>
      </c>
      <c r="B2193">
        <v>437.6</v>
      </c>
      <c r="C2193">
        <v>94</v>
      </c>
      <c r="D2193">
        <v>9.8000000000000007</v>
      </c>
      <c r="E2193">
        <v>5.8</v>
      </c>
      <c r="G2193">
        <v>18</v>
      </c>
      <c r="H2193" s="23">
        <f t="shared" si="70"/>
        <v>2</v>
      </c>
    </row>
    <row r="2194" spans="1:8" x14ac:dyDescent="0.25">
      <c r="A2194" s="22">
        <v>41900.107638888891</v>
      </c>
      <c r="B2194">
        <v>435.1</v>
      </c>
      <c r="C2194">
        <v>94</v>
      </c>
      <c r="D2194">
        <v>9.8000000000000007</v>
      </c>
      <c r="E2194">
        <v>5.8</v>
      </c>
      <c r="G2194">
        <v>18</v>
      </c>
      <c r="H2194" s="23">
        <f t="shared" si="70"/>
        <v>2</v>
      </c>
    </row>
    <row r="2195" spans="1:8" x14ac:dyDescent="0.25">
      <c r="A2195" s="22">
        <v>41900.111111111109</v>
      </c>
      <c r="B2195">
        <v>429.8</v>
      </c>
      <c r="C2195">
        <v>94</v>
      </c>
      <c r="D2195">
        <v>9.6999999999999993</v>
      </c>
      <c r="E2195">
        <v>5.8</v>
      </c>
      <c r="G2195">
        <v>18</v>
      </c>
      <c r="H2195" s="23">
        <f t="shared" si="70"/>
        <v>2</v>
      </c>
    </row>
    <row r="2196" spans="1:8" x14ac:dyDescent="0.25">
      <c r="A2196" s="22">
        <v>41900.114583333336</v>
      </c>
      <c r="B2196">
        <v>425.4</v>
      </c>
      <c r="C2196">
        <v>93.9</v>
      </c>
      <c r="D2196">
        <v>9.6999999999999993</v>
      </c>
      <c r="E2196">
        <v>5.8</v>
      </c>
      <c r="G2196">
        <v>18</v>
      </c>
      <c r="H2196" s="23">
        <f t="shared" si="70"/>
        <v>2</v>
      </c>
    </row>
    <row r="2197" spans="1:8" x14ac:dyDescent="0.25">
      <c r="A2197" s="22">
        <v>41900.118055555555</v>
      </c>
      <c r="B2197">
        <v>424.1</v>
      </c>
      <c r="C2197">
        <v>94</v>
      </c>
      <c r="D2197">
        <v>9.6999999999999993</v>
      </c>
      <c r="E2197">
        <v>5.8</v>
      </c>
      <c r="G2197">
        <v>18</v>
      </c>
      <c r="H2197" s="23">
        <f t="shared" si="70"/>
        <v>2</v>
      </c>
    </row>
    <row r="2198" spans="1:8" x14ac:dyDescent="0.25">
      <c r="A2198" s="22">
        <v>41900.121527777781</v>
      </c>
      <c r="B2198">
        <v>421.9</v>
      </c>
      <c r="C2198">
        <v>94.1</v>
      </c>
      <c r="D2198">
        <v>9.6999999999999993</v>
      </c>
      <c r="E2198">
        <v>5.8</v>
      </c>
      <c r="G2198">
        <v>18</v>
      </c>
      <c r="H2198" s="23">
        <f t="shared" si="70"/>
        <v>2</v>
      </c>
    </row>
    <row r="2199" spans="1:8" x14ac:dyDescent="0.25">
      <c r="A2199" s="22">
        <v>41900.125</v>
      </c>
      <c r="B2199">
        <v>418.2</v>
      </c>
      <c r="C2199">
        <v>93.9</v>
      </c>
      <c r="D2199">
        <v>9.6</v>
      </c>
      <c r="E2199">
        <v>5.8</v>
      </c>
      <c r="G2199">
        <v>18</v>
      </c>
      <c r="H2199" s="23">
        <f t="shared" si="70"/>
        <v>3</v>
      </c>
    </row>
    <row r="2200" spans="1:8" x14ac:dyDescent="0.25">
      <c r="A2200" s="22">
        <v>41900.128472222219</v>
      </c>
      <c r="B2200">
        <v>417</v>
      </c>
      <c r="C2200">
        <v>93.9</v>
      </c>
      <c r="D2200">
        <v>9.6</v>
      </c>
      <c r="E2200">
        <v>5.8</v>
      </c>
      <c r="G2200">
        <v>18</v>
      </c>
      <c r="H2200" s="23">
        <f t="shared" si="70"/>
        <v>3</v>
      </c>
    </row>
    <row r="2201" spans="1:8" x14ac:dyDescent="0.25">
      <c r="A2201" s="22">
        <v>41900.131944444445</v>
      </c>
      <c r="B2201">
        <v>415.4</v>
      </c>
      <c r="C2201">
        <v>94</v>
      </c>
      <c r="D2201">
        <v>9.6</v>
      </c>
      <c r="E2201">
        <v>5.8</v>
      </c>
      <c r="G2201">
        <v>18</v>
      </c>
      <c r="H2201" s="23">
        <f t="shared" si="70"/>
        <v>3</v>
      </c>
    </row>
    <row r="2202" spans="1:8" x14ac:dyDescent="0.25">
      <c r="A2202" s="22">
        <v>41900.135416666664</v>
      </c>
      <c r="B2202">
        <v>412.7</v>
      </c>
      <c r="C2202">
        <v>94</v>
      </c>
      <c r="D2202">
        <v>9.6</v>
      </c>
      <c r="E2202">
        <v>5.8</v>
      </c>
      <c r="G2202">
        <v>18</v>
      </c>
      <c r="H2202" s="23">
        <f t="shared" si="70"/>
        <v>3</v>
      </c>
    </row>
    <row r="2203" spans="1:8" x14ac:dyDescent="0.25">
      <c r="A2203" s="22">
        <v>41900.138888888891</v>
      </c>
      <c r="B2203">
        <v>412.4</v>
      </c>
      <c r="C2203">
        <v>93.9</v>
      </c>
      <c r="D2203">
        <v>9.6</v>
      </c>
      <c r="E2203">
        <v>5.8</v>
      </c>
      <c r="G2203">
        <v>18</v>
      </c>
      <c r="H2203" s="23">
        <f t="shared" si="70"/>
        <v>3</v>
      </c>
    </row>
    <row r="2204" spans="1:8" x14ac:dyDescent="0.25">
      <c r="A2204" s="22">
        <v>41900.142361111109</v>
      </c>
      <c r="B2204">
        <v>411.8</v>
      </c>
      <c r="C2204">
        <v>93.8</v>
      </c>
      <c r="D2204">
        <v>9.6</v>
      </c>
      <c r="E2204">
        <v>5.8</v>
      </c>
      <c r="G2204">
        <v>18</v>
      </c>
      <c r="H2204" s="23">
        <f t="shared" si="70"/>
        <v>3</v>
      </c>
    </row>
    <row r="2205" spans="1:8" x14ac:dyDescent="0.25">
      <c r="A2205" s="22">
        <v>41900.145833333336</v>
      </c>
      <c r="B2205">
        <v>410.7</v>
      </c>
      <c r="C2205">
        <v>93.9</v>
      </c>
      <c r="D2205">
        <v>9.5</v>
      </c>
      <c r="E2205">
        <v>5.8</v>
      </c>
      <c r="G2205">
        <v>18</v>
      </c>
      <c r="H2205" s="23">
        <f t="shared" si="70"/>
        <v>3</v>
      </c>
    </row>
    <row r="2206" spans="1:8" x14ac:dyDescent="0.25">
      <c r="A2206" s="22">
        <v>41900.149305555555</v>
      </c>
      <c r="B2206">
        <v>409.1</v>
      </c>
      <c r="C2206">
        <v>93.9</v>
      </c>
      <c r="D2206">
        <v>9.5</v>
      </c>
      <c r="E2206">
        <v>5.8</v>
      </c>
      <c r="G2206">
        <v>18</v>
      </c>
      <c r="H2206" s="23">
        <f t="shared" si="70"/>
        <v>3</v>
      </c>
    </row>
    <row r="2207" spans="1:8" x14ac:dyDescent="0.25">
      <c r="A2207" s="22">
        <v>41900.152777777781</v>
      </c>
      <c r="B2207">
        <v>410.8</v>
      </c>
      <c r="C2207">
        <v>94</v>
      </c>
      <c r="D2207">
        <v>9.6</v>
      </c>
      <c r="E2207">
        <v>5.8</v>
      </c>
      <c r="G2207">
        <v>18</v>
      </c>
      <c r="H2207" s="23">
        <f t="shared" si="70"/>
        <v>3</v>
      </c>
    </row>
    <row r="2208" spans="1:8" x14ac:dyDescent="0.25">
      <c r="A2208" s="22">
        <v>41900.15625</v>
      </c>
      <c r="B2208">
        <v>410.9</v>
      </c>
      <c r="C2208">
        <v>93.9</v>
      </c>
      <c r="D2208">
        <v>9.6</v>
      </c>
      <c r="E2208">
        <v>5.8</v>
      </c>
      <c r="G2208">
        <v>18</v>
      </c>
      <c r="H2208" s="23">
        <f t="shared" si="70"/>
        <v>3</v>
      </c>
    </row>
    <row r="2209" spans="1:8" x14ac:dyDescent="0.25">
      <c r="A2209" s="22">
        <v>41900.159722222219</v>
      </c>
      <c r="B2209">
        <v>408.2</v>
      </c>
      <c r="C2209">
        <v>93.8</v>
      </c>
      <c r="D2209">
        <v>9.5</v>
      </c>
      <c r="E2209">
        <v>5.8</v>
      </c>
      <c r="G2209">
        <v>18</v>
      </c>
      <c r="H2209" s="23">
        <f t="shared" si="70"/>
        <v>3</v>
      </c>
    </row>
    <row r="2210" spans="1:8" x14ac:dyDescent="0.25">
      <c r="A2210" s="22">
        <v>41900.163194444445</v>
      </c>
      <c r="B2210">
        <v>410.4</v>
      </c>
      <c r="C2210">
        <v>94.1</v>
      </c>
      <c r="D2210">
        <v>9.5</v>
      </c>
      <c r="E2210">
        <v>5.8</v>
      </c>
      <c r="G2210">
        <v>18</v>
      </c>
      <c r="H2210" s="23">
        <f t="shared" si="70"/>
        <v>3</v>
      </c>
    </row>
    <row r="2211" spans="1:8" x14ac:dyDescent="0.25">
      <c r="A2211" s="22">
        <v>41900.166666666664</v>
      </c>
      <c r="B2211">
        <v>412.6</v>
      </c>
      <c r="C2211">
        <v>94</v>
      </c>
      <c r="D2211">
        <v>9.6</v>
      </c>
      <c r="E2211">
        <v>5.8</v>
      </c>
      <c r="G2211">
        <v>18</v>
      </c>
      <c r="H2211" s="23">
        <f t="shared" si="70"/>
        <v>4</v>
      </c>
    </row>
    <row r="2212" spans="1:8" x14ac:dyDescent="0.25">
      <c r="A2212" s="22">
        <v>41900.170138888891</v>
      </c>
      <c r="B2212">
        <v>410.5</v>
      </c>
      <c r="C2212">
        <v>94</v>
      </c>
      <c r="D2212">
        <v>9.5</v>
      </c>
      <c r="E2212">
        <v>5.8</v>
      </c>
      <c r="G2212">
        <v>18</v>
      </c>
      <c r="H2212" s="23">
        <f t="shared" si="70"/>
        <v>4</v>
      </c>
    </row>
    <row r="2213" spans="1:8" x14ac:dyDescent="0.25">
      <c r="A2213" s="22">
        <v>41900.173611111109</v>
      </c>
      <c r="B2213">
        <v>408</v>
      </c>
      <c r="C2213">
        <v>93.9</v>
      </c>
      <c r="D2213">
        <v>9.5</v>
      </c>
      <c r="E2213">
        <v>5.8</v>
      </c>
      <c r="G2213">
        <v>18</v>
      </c>
      <c r="H2213" s="23">
        <f t="shared" si="70"/>
        <v>4</v>
      </c>
    </row>
    <row r="2214" spans="1:8" x14ac:dyDescent="0.25">
      <c r="A2214" s="22">
        <v>41900.177083333336</v>
      </c>
      <c r="B2214">
        <v>408.8</v>
      </c>
      <c r="C2214">
        <v>93.9</v>
      </c>
      <c r="D2214">
        <v>9.5</v>
      </c>
      <c r="E2214">
        <v>5.8</v>
      </c>
      <c r="G2214">
        <v>18</v>
      </c>
      <c r="H2214" s="23">
        <f t="shared" si="70"/>
        <v>4</v>
      </c>
    </row>
    <row r="2215" spans="1:8" x14ac:dyDescent="0.25">
      <c r="A2215" s="22">
        <v>41900.180555555555</v>
      </c>
      <c r="B2215">
        <v>408.2</v>
      </c>
      <c r="C2215">
        <v>93.9</v>
      </c>
      <c r="D2215">
        <v>9.5</v>
      </c>
      <c r="E2215">
        <v>5.8</v>
      </c>
      <c r="G2215">
        <v>18</v>
      </c>
      <c r="H2215" s="23">
        <f t="shared" si="70"/>
        <v>4</v>
      </c>
    </row>
    <row r="2216" spans="1:8" x14ac:dyDescent="0.25">
      <c r="A2216" s="22">
        <v>41900.184027777781</v>
      </c>
      <c r="B2216">
        <v>408.6</v>
      </c>
      <c r="C2216">
        <v>93.9</v>
      </c>
      <c r="D2216">
        <v>9.5</v>
      </c>
      <c r="E2216">
        <v>5.8</v>
      </c>
      <c r="G2216">
        <v>18</v>
      </c>
      <c r="H2216" s="23">
        <f t="shared" si="70"/>
        <v>4</v>
      </c>
    </row>
    <row r="2217" spans="1:8" x14ac:dyDescent="0.25">
      <c r="A2217" s="22">
        <v>41900.1875</v>
      </c>
      <c r="B2217">
        <v>405.5</v>
      </c>
      <c r="C2217">
        <v>93.9</v>
      </c>
      <c r="D2217">
        <v>9.5</v>
      </c>
      <c r="E2217">
        <v>5.8</v>
      </c>
      <c r="G2217">
        <v>18</v>
      </c>
      <c r="H2217" s="23">
        <f t="shared" si="70"/>
        <v>4</v>
      </c>
    </row>
    <row r="2218" spans="1:8" x14ac:dyDescent="0.25">
      <c r="A2218" s="22">
        <v>41900.190972222219</v>
      </c>
      <c r="B2218">
        <v>403.4</v>
      </c>
      <c r="C2218">
        <v>93.9</v>
      </c>
      <c r="D2218">
        <v>9.5</v>
      </c>
      <c r="E2218">
        <v>5.8</v>
      </c>
      <c r="G2218">
        <v>18</v>
      </c>
      <c r="H2218" s="23">
        <f t="shared" si="70"/>
        <v>4</v>
      </c>
    </row>
    <row r="2219" spans="1:8" x14ac:dyDescent="0.25">
      <c r="A2219" s="22">
        <v>41900.194444444445</v>
      </c>
      <c r="B2219">
        <v>404.9</v>
      </c>
      <c r="C2219">
        <v>94</v>
      </c>
      <c r="D2219">
        <v>9.5</v>
      </c>
      <c r="E2219">
        <v>5.8</v>
      </c>
      <c r="G2219">
        <v>18</v>
      </c>
      <c r="H2219" s="23">
        <f t="shared" si="70"/>
        <v>4</v>
      </c>
    </row>
    <row r="2220" spans="1:8" x14ac:dyDescent="0.25">
      <c r="A2220" s="22">
        <v>41900.197916666664</v>
      </c>
      <c r="B2220">
        <v>402.6</v>
      </c>
      <c r="C2220">
        <v>94</v>
      </c>
      <c r="D2220">
        <v>9.5</v>
      </c>
      <c r="E2220">
        <v>5.8</v>
      </c>
      <c r="G2220">
        <v>18</v>
      </c>
      <c r="H2220" s="23">
        <f t="shared" si="70"/>
        <v>4</v>
      </c>
    </row>
    <row r="2221" spans="1:8" x14ac:dyDescent="0.25">
      <c r="A2221" s="22">
        <v>41900.201388888891</v>
      </c>
      <c r="B2221">
        <v>400.1</v>
      </c>
      <c r="C2221">
        <v>93.9</v>
      </c>
      <c r="D2221">
        <v>9.5</v>
      </c>
      <c r="E2221">
        <v>5.8</v>
      </c>
      <c r="G2221">
        <v>18</v>
      </c>
      <c r="H2221" s="23">
        <f t="shared" si="70"/>
        <v>4</v>
      </c>
    </row>
    <row r="2222" spans="1:8" x14ac:dyDescent="0.25">
      <c r="A2222" s="22">
        <v>41900.204861111109</v>
      </c>
      <c r="B2222">
        <v>399</v>
      </c>
      <c r="C2222">
        <v>93.9</v>
      </c>
      <c r="D2222">
        <v>9.4</v>
      </c>
      <c r="E2222">
        <v>5.8</v>
      </c>
      <c r="G2222">
        <v>18</v>
      </c>
      <c r="H2222" s="23">
        <f t="shared" si="70"/>
        <v>4</v>
      </c>
    </row>
    <row r="2223" spans="1:8" x14ac:dyDescent="0.25">
      <c r="A2223" s="22">
        <v>41900.208333333336</v>
      </c>
      <c r="B2223">
        <v>396.6</v>
      </c>
      <c r="C2223">
        <v>94</v>
      </c>
      <c r="D2223">
        <v>9.4</v>
      </c>
      <c r="E2223">
        <v>5.8</v>
      </c>
      <c r="G2223">
        <v>18</v>
      </c>
      <c r="H2223" s="23">
        <f t="shared" si="70"/>
        <v>5</v>
      </c>
    </row>
    <row r="2224" spans="1:8" x14ac:dyDescent="0.25">
      <c r="A2224" s="22">
        <v>41900.211805555555</v>
      </c>
      <c r="B2224">
        <v>393.9</v>
      </c>
      <c r="C2224">
        <v>94</v>
      </c>
      <c r="D2224">
        <v>9.4</v>
      </c>
      <c r="E2224">
        <v>5.8</v>
      </c>
      <c r="G2224">
        <v>18</v>
      </c>
      <c r="H2224" s="23">
        <f t="shared" si="70"/>
        <v>5</v>
      </c>
    </row>
    <row r="2225" spans="1:8" x14ac:dyDescent="0.25">
      <c r="A2225" s="22">
        <v>41900.215277777781</v>
      </c>
      <c r="B2225">
        <v>394.4</v>
      </c>
      <c r="C2225">
        <v>93.9</v>
      </c>
      <c r="D2225">
        <v>9.4</v>
      </c>
      <c r="E2225">
        <v>5.8</v>
      </c>
      <c r="G2225">
        <v>18</v>
      </c>
      <c r="H2225" s="23">
        <f t="shared" si="70"/>
        <v>5</v>
      </c>
    </row>
    <row r="2226" spans="1:8" x14ac:dyDescent="0.25">
      <c r="A2226" s="22">
        <v>41900.21875</v>
      </c>
      <c r="B2226">
        <v>392.9</v>
      </c>
      <c r="C2226">
        <v>93.9</v>
      </c>
      <c r="D2226">
        <v>9.4</v>
      </c>
      <c r="E2226">
        <v>5.8</v>
      </c>
      <c r="G2226">
        <v>18</v>
      </c>
      <c r="H2226" s="23">
        <f t="shared" si="70"/>
        <v>5</v>
      </c>
    </row>
    <row r="2227" spans="1:8" x14ac:dyDescent="0.25">
      <c r="A2227" s="22">
        <v>41900.222222222219</v>
      </c>
      <c r="B2227">
        <v>393</v>
      </c>
      <c r="C2227">
        <v>94</v>
      </c>
      <c r="D2227">
        <v>9.4</v>
      </c>
      <c r="E2227">
        <v>5.8</v>
      </c>
      <c r="G2227">
        <v>18</v>
      </c>
      <c r="H2227" s="23">
        <f t="shared" si="70"/>
        <v>5</v>
      </c>
    </row>
    <row r="2228" spans="1:8" x14ac:dyDescent="0.25">
      <c r="A2228" s="22">
        <v>41900.225694444445</v>
      </c>
      <c r="B2228">
        <v>394</v>
      </c>
      <c r="C2228">
        <v>93.9</v>
      </c>
      <c r="D2228">
        <v>9.4</v>
      </c>
      <c r="E2228">
        <v>5.8</v>
      </c>
      <c r="G2228">
        <v>18</v>
      </c>
      <c r="H2228" s="23">
        <f t="shared" si="70"/>
        <v>5</v>
      </c>
    </row>
    <row r="2229" spans="1:8" x14ac:dyDescent="0.25">
      <c r="A2229" s="22">
        <v>41900.229166666664</v>
      </c>
      <c r="B2229">
        <v>396</v>
      </c>
      <c r="C2229">
        <v>93.9</v>
      </c>
      <c r="D2229">
        <v>9.4</v>
      </c>
      <c r="E2229">
        <v>5.8</v>
      </c>
      <c r="G2229">
        <v>18</v>
      </c>
      <c r="H2229" s="23">
        <f t="shared" si="70"/>
        <v>5</v>
      </c>
    </row>
    <row r="2230" spans="1:8" x14ac:dyDescent="0.25">
      <c r="A2230" s="22">
        <v>41900.232638888891</v>
      </c>
      <c r="B2230">
        <v>394.7</v>
      </c>
      <c r="C2230">
        <v>93.9</v>
      </c>
      <c r="D2230">
        <v>9.4</v>
      </c>
      <c r="E2230">
        <v>5.8</v>
      </c>
      <c r="G2230">
        <v>18</v>
      </c>
      <c r="H2230" s="23">
        <f t="shared" si="70"/>
        <v>5</v>
      </c>
    </row>
    <row r="2231" spans="1:8" x14ac:dyDescent="0.25">
      <c r="A2231" s="22">
        <v>41900.236111111109</v>
      </c>
      <c r="B2231">
        <v>395.1</v>
      </c>
      <c r="C2231">
        <v>93.9</v>
      </c>
      <c r="D2231">
        <v>9.4</v>
      </c>
      <c r="E2231">
        <v>5.8</v>
      </c>
      <c r="G2231">
        <v>18</v>
      </c>
      <c r="H2231" s="23">
        <f t="shared" si="70"/>
        <v>5</v>
      </c>
    </row>
    <row r="2232" spans="1:8" x14ac:dyDescent="0.25">
      <c r="A2232" s="22">
        <v>41900.239583333336</v>
      </c>
      <c r="B2232">
        <v>392.5</v>
      </c>
      <c r="C2232">
        <v>93.9</v>
      </c>
      <c r="D2232">
        <v>9.4</v>
      </c>
      <c r="E2232">
        <v>5.8</v>
      </c>
      <c r="G2232">
        <v>18</v>
      </c>
      <c r="H2232" s="23">
        <f t="shared" si="70"/>
        <v>5</v>
      </c>
    </row>
    <row r="2233" spans="1:8" x14ac:dyDescent="0.25">
      <c r="A2233" s="22">
        <v>41900.243055555555</v>
      </c>
      <c r="B2233">
        <v>394.3</v>
      </c>
      <c r="C2233">
        <v>94</v>
      </c>
      <c r="D2233">
        <v>9.4</v>
      </c>
      <c r="E2233">
        <v>5.8</v>
      </c>
      <c r="G2233">
        <v>18</v>
      </c>
      <c r="H2233" s="23">
        <f t="shared" si="70"/>
        <v>5</v>
      </c>
    </row>
    <row r="2234" spans="1:8" x14ac:dyDescent="0.25">
      <c r="A2234" s="22">
        <v>41900.246527777781</v>
      </c>
      <c r="B2234">
        <v>391.5</v>
      </c>
      <c r="C2234">
        <v>93.8</v>
      </c>
      <c r="D2234">
        <v>9.4</v>
      </c>
      <c r="E2234">
        <v>5.8</v>
      </c>
      <c r="G2234">
        <v>18</v>
      </c>
      <c r="H2234" s="23">
        <f t="shared" si="70"/>
        <v>5</v>
      </c>
    </row>
    <row r="2235" spans="1:8" x14ac:dyDescent="0.25">
      <c r="A2235" s="22">
        <v>41900.25</v>
      </c>
      <c r="B2235">
        <v>391</v>
      </c>
      <c r="C2235">
        <v>93.9</v>
      </c>
      <c r="D2235">
        <v>9.4</v>
      </c>
      <c r="E2235">
        <v>5.8</v>
      </c>
      <c r="G2235">
        <v>18</v>
      </c>
      <c r="H2235" s="23">
        <f t="shared" si="70"/>
        <v>6</v>
      </c>
    </row>
    <row r="2236" spans="1:8" x14ac:dyDescent="0.25">
      <c r="A2236" s="22">
        <v>41900.253472222219</v>
      </c>
      <c r="B2236">
        <v>187.5</v>
      </c>
      <c r="C2236">
        <v>94.3</v>
      </c>
      <c r="D2236">
        <v>9.3000000000000007</v>
      </c>
      <c r="E2236">
        <v>7.7</v>
      </c>
      <c r="G2236">
        <v>18</v>
      </c>
      <c r="H2236" s="23">
        <f t="shared" si="70"/>
        <v>6</v>
      </c>
    </row>
    <row r="2237" spans="1:8" x14ac:dyDescent="0.25">
      <c r="A2237" s="22">
        <v>41900.256944444445</v>
      </c>
      <c r="B2237">
        <v>146.4</v>
      </c>
      <c r="C2237">
        <v>94.3</v>
      </c>
      <c r="D2237">
        <v>9.3000000000000007</v>
      </c>
      <c r="E2237">
        <v>8</v>
      </c>
      <c r="G2237">
        <v>18</v>
      </c>
      <c r="H2237" s="23">
        <f t="shared" si="70"/>
        <v>6</v>
      </c>
    </row>
    <row r="2238" spans="1:8" x14ac:dyDescent="0.25">
      <c r="A2238" s="22">
        <v>41900.260416666664</v>
      </c>
      <c r="B2238">
        <v>266</v>
      </c>
      <c r="C2238">
        <v>94.1</v>
      </c>
      <c r="D2238">
        <v>9.3000000000000007</v>
      </c>
      <c r="E2238">
        <v>6.9</v>
      </c>
      <c r="G2238">
        <v>18</v>
      </c>
      <c r="H2238" s="23">
        <f t="shared" si="70"/>
        <v>6</v>
      </c>
    </row>
    <row r="2239" spans="1:8" x14ac:dyDescent="0.25">
      <c r="A2239" s="22">
        <v>41900.263888888891</v>
      </c>
      <c r="B2239">
        <v>347.8</v>
      </c>
      <c r="C2239">
        <v>93.9</v>
      </c>
      <c r="D2239">
        <v>9.5</v>
      </c>
      <c r="E2239">
        <v>6.3</v>
      </c>
      <c r="G2239">
        <v>18</v>
      </c>
      <c r="H2239" s="23">
        <f t="shared" si="70"/>
        <v>6</v>
      </c>
    </row>
    <row r="2240" spans="1:8" x14ac:dyDescent="0.25">
      <c r="A2240" s="22">
        <v>41900.267361111109</v>
      </c>
      <c r="B2240">
        <v>408.8</v>
      </c>
      <c r="C2240">
        <v>93.9</v>
      </c>
      <c r="D2240">
        <v>9.6</v>
      </c>
      <c r="E2240">
        <v>5.9</v>
      </c>
      <c r="G2240">
        <v>18</v>
      </c>
      <c r="H2240" s="23">
        <f t="shared" si="70"/>
        <v>6</v>
      </c>
    </row>
    <row r="2241" spans="1:8" x14ac:dyDescent="0.25">
      <c r="A2241" s="22">
        <v>41900.270833333336</v>
      </c>
      <c r="B2241">
        <v>421.8</v>
      </c>
      <c r="C2241">
        <v>93.9</v>
      </c>
      <c r="D2241">
        <v>9.6999999999999993</v>
      </c>
      <c r="E2241">
        <v>5.8</v>
      </c>
      <c r="G2241">
        <v>18</v>
      </c>
      <c r="H2241" s="23">
        <f t="shared" si="70"/>
        <v>6</v>
      </c>
    </row>
    <row r="2242" spans="1:8" x14ac:dyDescent="0.25">
      <c r="A2242" s="22">
        <v>41900.274305555555</v>
      </c>
      <c r="B2242">
        <v>428.8</v>
      </c>
      <c r="C2242">
        <v>93.9</v>
      </c>
      <c r="D2242">
        <v>9.6999999999999993</v>
      </c>
      <c r="E2242">
        <v>5.8</v>
      </c>
      <c r="G2242">
        <v>18</v>
      </c>
      <c r="H2242" s="23">
        <f t="shared" si="70"/>
        <v>6</v>
      </c>
    </row>
    <row r="2243" spans="1:8" x14ac:dyDescent="0.25">
      <c r="A2243" s="22">
        <v>41900.277777777781</v>
      </c>
      <c r="B2243">
        <v>422</v>
      </c>
      <c r="C2243">
        <v>93.9</v>
      </c>
      <c r="D2243">
        <v>9.6</v>
      </c>
      <c r="E2243">
        <v>5.8</v>
      </c>
      <c r="G2243">
        <v>18</v>
      </c>
      <c r="H2243" s="23">
        <f t="shared" si="70"/>
        <v>6</v>
      </c>
    </row>
    <row r="2244" spans="1:8" x14ac:dyDescent="0.25">
      <c r="A2244" s="22">
        <v>41900.28125</v>
      </c>
      <c r="B2244">
        <v>412.9</v>
      </c>
      <c r="C2244">
        <v>94</v>
      </c>
      <c r="D2244">
        <v>9.6</v>
      </c>
      <c r="E2244">
        <v>5.8</v>
      </c>
      <c r="G2244">
        <v>18</v>
      </c>
      <c r="H2244" s="23">
        <f t="shared" si="70"/>
        <v>6</v>
      </c>
    </row>
    <row r="2245" spans="1:8" x14ac:dyDescent="0.25">
      <c r="A2245" s="22">
        <v>41900.284722222219</v>
      </c>
      <c r="B2245">
        <v>405.4</v>
      </c>
      <c r="C2245">
        <v>94</v>
      </c>
      <c r="D2245">
        <v>9.5</v>
      </c>
      <c r="E2245">
        <v>5.8</v>
      </c>
      <c r="G2245">
        <v>18</v>
      </c>
      <c r="H2245" s="23">
        <f t="shared" si="70"/>
        <v>6</v>
      </c>
    </row>
    <row r="2246" spans="1:8" x14ac:dyDescent="0.25">
      <c r="A2246" s="22">
        <v>41900.288194444445</v>
      </c>
      <c r="B2246">
        <v>400.5</v>
      </c>
      <c r="C2246">
        <v>94</v>
      </c>
      <c r="D2246">
        <v>9.4</v>
      </c>
      <c r="E2246">
        <v>5.8</v>
      </c>
      <c r="G2246">
        <v>18</v>
      </c>
      <c r="H2246" s="23">
        <f t="shared" ref="H2246:H2267" si="71">+HOUR(A2246)</f>
        <v>6</v>
      </c>
    </row>
    <row r="2247" spans="1:8" x14ac:dyDescent="0.25">
      <c r="A2247" s="22">
        <v>41900.291666666664</v>
      </c>
      <c r="B2247">
        <v>390.5</v>
      </c>
      <c r="C2247">
        <v>93.9</v>
      </c>
      <c r="D2247">
        <v>9.3000000000000007</v>
      </c>
      <c r="E2247">
        <v>5.8</v>
      </c>
      <c r="G2247">
        <v>18</v>
      </c>
      <c r="H2247" s="23">
        <f t="shared" si="71"/>
        <v>7</v>
      </c>
    </row>
    <row r="2248" spans="1:8" x14ac:dyDescent="0.25">
      <c r="A2248" s="22">
        <v>41900.295138888891</v>
      </c>
      <c r="B2248">
        <v>386.3</v>
      </c>
      <c r="C2248">
        <v>93.9</v>
      </c>
      <c r="D2248">
        <v>9.3000000000000007</v>
      </c>
      <c r="E2248">
        <v>5.8</v>
      </c>
      <c r="G2248">
        <v>18</v>
      </c>
      <c r="H2248" s="23">
        <f t="shared" si="71"/>
        <v>7</v>
      </c>
    </row>
    <row r="2249" spans="1:8" x14ac:dyDescent="0.25">
      <c r="A2249" s="22">
        <v>41900.298611111109</v>
      </c>
      <c r="B2249">
        <v>384.2</v>
      </c>
      <c r="C2249">
        <v>94</v>
      </c>
      <c r="D2249">
        <v>9.3000000000000007</v>
      </c>
      <c r="E2249">
        <v>5.8</v>
      </c>
      <c r="G2249">
        <v>18</v>
      </c>
      <c r="H2249" s="23">
        <f t="shared" si="71"/>
        <v>7</v>
      </c>
    </row>
    <row r="2250" spans="1:8" x14ac:dyDescent="0.25">
      <c r="A2250" s="22">
        <v>41900.302083333336</v>
      </c>
      <c r="B2250">
        <v>394.2</v>
      </c>
      <c r="C2250">
        <v>94</v>
      </c>
      <c r="D2250">
        <v>9.4</v>
      </c>
      <c r="E2250">
        <v>5.8</v>
      </c>
      <c r="G2250">
        <v>18</v>
      </c>
      <c r="H2250" s="23">
        <f t="shared" si="71"/>
        <v>7</v>
      </c>
    </row>
    <row r="2251" spans="1:8" x14ac:dyDescent="0.25">
      <c r="A2251" s="22">
        <v>41900.305555555555</v>
      </c>
      <c r="B2251">
        <v>471.8</v>
      </c>
      <c r="C2251">
        <v>94</v>
      </c>
      <c r="D2251">
        <v>10.6</v>
      </c>
      <c r="E2251">
        <v>6.3</v>
      </c>
      <c r="G2251">
        <v>18</v>
      </c>
      <c r="H2251" s="23">
        <f t="shared" si="71"/>
        <v>7</v>
      </c>
    </row>
    <row r="2252" spans="1:8" x14ac:dyDescent="0.25">
      <c r="A2252" s="22">
        <v>41900.309027777781</v>
      </c>
      <c r="B2252">
        <v>415.1</v>
      </c>
      <c r="C2252">
        <v>93.9</v>
      </c>
      <c r="D2252">
        <v>9.6</v>
      </c>
      <c r="E2252">
        <v>5.8</v>
      </c>
      <c r="G2252">
        <v>18</v>
      </c>
      <c r="H2252" s="23">
        <f t="shared" si="71"/>
        <v>7</v>
      </c>
    </row>
    <row r="2253" spans="1:8" x14ac:dyDescent="0.25">
      <c r="A2253" s="22">
        <v>41900.3125</v>
      </c>
      <c r="B2253">
        <v>414.1</v>
      </c>
      <c r="C2253">
        <v>94</v>
      </c>
      <c r="D2253">
        <v>9.6</v>
      </c>
      <c r="E2253">
        <v>5.8</v>
      </c>
      <c r="G2253">
        <v>18</v>
      </c>
      <c r="H2253" s="23">
        <f t="shared" si="71"/>
        <v>7</v>
      </c>
    </row>
    <row r="2254" spans="1:8" x14ac:dyDescent="0.25">
      <c r="A2254" s="22">
        <v>41900.315972222219</v>
      </c>
      <c r="B2254">
        <v>427.8</v>
      </c>
      <c r="C2254">
        <v>94</v>
      </c>
      <c r="D2254">
        <v>9.6999999999999993</v>
      </c>
      <c r="E2254">
        <v>5.8</v>
      </c>
      <c r="G2254">
        <v>18</v>
      </c>
      <c r="H2254" s="23">
        <f t="shared" si="71"/>
        <v>7</v>
      </c>
    </row>
    <row r="2255" spans="1:8" x14ac:dyDescent="0.25">
      <c r="A2255" s="22">
        <v>41900.319444444445</v>
      </c>
      <c r="B2255">
        <v>428.9</v>
      </c>
      <c r="C2255">
        <v>94</v>
      </c>
      <c r="D2255">
        <v>9.6999999999999993</v>
      </c>
      <c r="E2255">
        <v>5.8</v>
      </c>
      <c r="G2255">
        <v>18</v>
      </c>
      <c r="H2255" s="23">
        <f t="shared" si="71"/>
        <v>7</v>
      </c>
    </row>
    <row r="2256" spans="1:8" x14ac:dyDescent="0.25">
      <c r="A2256" s="22">
        <v>41900.322916666664</v>
      </c>
      <c r="B2256">
        <v>441.1</v>
      </c>
      <c r="C2256">
        <v>94</v>
      </c>
      <c r="D2256">
        <v>9.9</v>
      </c>
      <c r="E2256">
        <v>5.8</v>
      </c>
      <c r="G2256">
        <v>18</v>
      </c>
      <c r="H2256" s="23">
        <f t="shared" si="71"/>
        <v>7</v>
      </c>
    </row>
    <row r="2257" spans="1:8" x14ac:dyDescent="0.25">
      <c r="A2257" s="22">
        <v>41900.326388888891</v>
      </c>
      <c r="B2257">
        <v>439.1</v>
      </c>
      <c r="C2257">
        <v>93.8</v>
      </c>
      <c r="D2257">
        <v>9.8000000000000007</v>
      </c>
      <c r="E2257">
        <v>5.8</v>
      </c>
      <c r="G2257">
        <v>18</v>
      </c>
      <c r="H2257" s="23">
        <f t="shared" si="71"/>
        <v>7</v>
      </c>
    </row>
    <row r="2258" spans="1:8" x14ac:dyDescent="0.25">
      <c r="A2258" s="22">
        <v>41900.329861111109</v>
      </c>
      <c r="B2258">
        <v>429.9</v>
      </c>
      <c r="C2258">
        <v>94</v>
      </c>
      <c r="D2258">
        <v>9.6999999999999993</v>
      </c>
      <c r="E2258">
        <v>5.8</v>
      </c>
      <c r="G2258">
        <v>18</v>
      </c>
      <c r="H2258" s="23">
        <f t="shared" si="71"/>
        <v>7</v>
      </c>
    </row>
    <row r="2259" spans="1:8" x14ac:dyDescent="0.25">
      <c r="A2259" s="22">
        <v>41900.333333333336</v>
      </c>
      <c r="B2259">
        <v>428.3</v>
      </c>
      <c r="C2259">
        <v>93.9</v>
      </c>
      <c r="D2259">
        <v>9.6999999999999993</v>
      </c>
      <c r="E2259">
        <v>5.8</v>
      </c>
      <c r="G2259">
        <v>18</v>
      </c>
      <c r="H2259" s="23">
        <f t="shared" si="71"/>
        <v>8</v>
      </c>
    </row>
    <row r="2260" spans="1:8" x14ac:dyDescent="0.25">
      <c r="A2260" s="22">
        <v>41900.336805555555</v>
      </c>
      <c r="B2260">
        <v>438.5</v>
      </c>
      <c r="C2260">
        <v>94</v>
      </c>
      <c r="D2260">
        <v>9.8000000000000007</v>
      </c>
      <c r="E2260">
        <v>5.8</v>
      </c>
      <c r="G2260">
        <v>18</v>
      </c>
      <c r="H2260" s="23">
        <f t="shared" si="71"/>
        <v>8</v>
      </c>
    </row>
    <row r="2261" spans="1:8" x14ac:dyDescent="0.25">
      <c r="A2261" s="22">
        <v>41900.340277777781</v>
      </c>
      <c r="B2261">
        <v>440.1</v>
      </c>
      <c r="C2261">
        <v>93.9</v>
      </c>
      <c r="D2261">
        <v>9.8000000000000007</v>
      </c>
      <c r="E2261">
        <v>5.8</v>
      </c>
      <c r="G2261">
        <v>18</v>
      </c>
      <c r="H2261" s="23">
        <f t="shared" si="71"/>
        <v>8</v>
      </c>
    </row>
    <row r="2262" spans="1:8" x14ac:dyDescent="0.25">
      <c r="A2262" s="22">
        <v>41900.34375</v>
      </c>
      <c r="B2262">
        <v>443.3</v>
      </c>
      <c r="C2262">
        <v>93.9</v>
      </c>
      <c r="D2262">
        <v>9.9</v>
      </c>
      <c r="E2262">
        <v>5.8</v>
      </c>
      <c r="G2262">
        <v>18</v>
      </c>
      <c r="H2262" s="23">
        <f t="shared" si="71"/>
        <v>8</v>
      </c>
    </row>
    <row r="2263" spans="1:8" x14ac:dyDescent="0.25">
      <c r="A2263" s="22">
        <v>41900.347222222219</v>
      </c>
      <c r="B2263">
        <v>441.2</v>
      </c>
      <c r="C2263">
        <v>93.9</v>
      </c>
      <c r="D2263">
        <v>9.8000000000000007</v>
      </c>
      <c r="E2263">
        <v>5.8</v>
      </c>
      <c r="G2263">
        <v>18</v>
      </c>
      <c r="H2263" s="23">
        <f t="shared" si="71"/>
        <v>8</v>
      </c>
    </row>
    <row r="2264" spans="1:8" x14ac:dyDescent="0.25">
      <c r="A2264" s="22">
        <v>41900.350694444445</v>
      </c>
      <c r="B2264">
        <v>446.7</v>
      </c>
      <c r="C2264">
        <v>94</v>
      </c>
      <c r="D2264">
        <v>9.9</v>
      </c>
      <c r="E2264">
        <v>5.8</v>
      </c>
      <c r="G2264">
        <v>18</v>
      </c>
      <c r="H2264" s="23">
        <f t="shared" si="71"/>
        <v>8</v>
      </c>
    </row>
    <row r="2265" spans="1:8" x14ac:dyDescent="0.25">
      <c r="A2265" s="22">
        <v>41900.354166666664</v>
      </c>
      <c r="B2265">
        <v>447</v>
      </c>
      <c r="C2265">
        <v>93.9</v>
      </c>
      <c r="D2265">
        <v>9.9</v>
      </c>
      <c r="E2265">
        <v>5.9</v>
      </c>
      <c r="G2265">
        <v>18</v>
      </c>
      <c r="H2265" s="23">
        <f t="shared" si="71"/>
        <v>8</v>
      </c>
    </row>
    <row r="2266" spans="1:8" x14ac:dyDescent="0.25">
      <c r="A2266" s="22">
        <v>41900.357638888891</v>
      </c>
      <c r="B2266">
        <v>449.8</v>
      </c>
      <c r="C2266">
        <v>93.9</v>
      </c>
      <c r="D2266">
        <v>9.9</v>
      </c>
      <c r="E2266">
        <v>5.8</v>
      </c>
      <c r="G2266">
        <v>18</v>
      </c>
      <c r="H2266" s="23">
        <f t="shared" si="71"/>
        <v>8</v>
      </c>
    </row>
    <row r="2267" spans="1:8" x14ac:dyDescent="0.25">
      <c r="A2267" s="22">
        <v>41900.361111111109</v>
      </c>
      <c r="B2267">
        <v>451.1</v>
      </c>
      <c r="C2267">
        <v>93.8</v>
      </c>
      <c r="D2267">
        <v>10</v>
      </c>
      <c r="E2267">
        <v>5.8</v>
      </c>
      <c r="G2267">
        <v>18</v>
      </c>
      <c r="H2267" s="23">
        <f t="shared" si="71"/>
        <v>8</v>
      </c>
    </row>
    <row r="2268" spans="1:8" x14ac:dyDescent="0.25">
      <c r="H2268" s="23"/>
    </row>
    <row r="2269" spans="1:8" x14ac:dyDescent="0.25">
      <c r="H2269" s="23"/>
    </row>
    <row r="2270" spans="1:8" x14ac:dyDescent="0.25">
      <c r="H2270" s="23"/>
    </row>
    <row r="2271" spans="1:8" x14ac:dyDescent="0.25">
      <c r="H2271" s="23"/>
    </row>
    <row r="2272" spans="1:8" x14ac:dyDescent="0.25">
      <c r="H2272" s="23"/>
    </row>
    <row r="2273" spans="8:8" x14ac:dyDescent="0.25">
      <c r="H2273" s="23"/>
    </row>
    <row r="2274" spans="8:8" x14ac:dyDescent="0.25">
      <c r="H2274" s="23"/>
    </row>
    <row r="2275" spans="8:8" x14ac:dyDescent="0.25">
      <c r="H2275" s="23"/>
    </row>
    <row r="2276" spans="8:8" x14ac:dyDescent="0.25">
      <c r="H2276" s="23"/>
    </row>
    <row r="2277" spans="8:8" x14ac:dyDescent="0.25">
      <c r="H2277" s="23"/>
    </row>
    <row r="2278" spans="8:8" x14ac:dyDescent="0.25">
      <c r="H2278" s="23"/>
    </row>
    <row r="2279" spans="8:8" x14ac:dyDescent="0.25">
      <c r="H2279" s="23"/>
    </row>
    <row r="2280" spans="8:8" x14ac:dyDescent="0.25">
      <c r="H2280" s="23"/>
    </row>
    <row r="2281" spans="8:8" x14ac:dyDescent="0.25">
      <c r="H2281" s="23"/>
    </row>
    <row r="2282" spans="8:8" x14ac:dyDescent="0.25">
      <c r="H2282" s="23"/>
    </row>
    <row r="2283" spans="8:8" x14ac:dyDescent="0.25">
      <c r="H2283" s="23"/>
    </row>
    <row r="2284" spans="8:8" x14ac:dyDescent="0.25">
      <c r="H2284" s="23"/>
    </row>
    <row r="2285" spans="8:8" x14ac:dyDescent="0.25">
      <c r="H2285" s="23"/>
    </row>
    <row r="2286" spans="8:8" x14ac:dyDescent="0.25">
      <c r="H2286" s="23"/>
    </row>
    <row r="2287" spans="8:8" x14ac:dyDescent="0.25">
      <c r="H2287" s="23"/>
    </row>
    <row r="2288" spans="8:8" x14ac:dyDescent="0.25">
      <c r="H2288" s="23"/>
    </row>
    <row r="2289" spans="8:8" x14ac:dyDescent="0.25">
      <c r="H2289" s="23"/>
    </row>
    <row r="2290" spans="8:8" x14ac:dyDescent="0.25">
      <c r="H2290" s="23"/>
    </row>
    <row r="2291" spans="8:8" x14ac:dyDescent="0.25">
      <c r="H2291" s="23"/>
    </row>
    <row r="2292" spans="8:8" x14ac:dyDescent="0.25">
      <c r="H2292" s="23"/>
    </row>
    <row r="2293" spans="8:8" x14ac:dyDescent="0.25">
      <c r="H2293" s="23"/>
    </row>
    <row r="2294" spans="8:8" x14ac:dyDescent="0.25">
      <c r="H2294" s="23"/>
    </row>
    <row r="2295" spans="8:8" x14ac:dyDescent="0.25">
      <c r="H2295" s="23"/>
    </row>
    <row r="2296" spans="8:8" x14ac:dyDescent="0.25">
      <c r="H2296" s="23"/>
    </row>
    <row r="2297" spans="8:8" x14ac:dyDescent="0.25">
      <c r="H2297" s="23"/>
    </row>
    <row r="2298" spans="8:8" x14ac:dyDescent="0.25">
      <c r="H2298" s="23"/>
    </row>
    <row r="2299" spans="8:8" x14ac:dyDescent="0.25">
      <c r="H2299" s="23"/>
    </row>
    <row r="2300" spans="8:8" x14ac:dyDescent="0.25">
      <c r="H2300" s="23"/>
    </row>
    <row r="2301" spans="8:8" x14ac:dyDescent="0.25">
      <c r="H2301" s="23"/>
    </row>
    <row r="2302" spans="8:8" x14ac:dyDescent="0.25">
      <c r="H2302" s="23"/>
    </row>
    <row r="2303" spans="8:8" x14ac:dyDescent="0.25">
      <c r="H2303" s="23"/>
    </row>
    <row r="2304" spans="8:8" x14ac:dyDescent="0.25">
      <c r="H2304" s="23"/>
    </row>
    <row r="2305" spans="8:8" x14ac:dyDescent="0.25">
      <c r="H2305" s="23"/>
    </row>
    <row r="2306" spans="8:8" x14ac:dyDescent="0.25">
      <c r="H2306" s="23"/>
    </row>
    <row r="2307" spans="8:8" x14ac:dyDescent="0.25">
      <c r="H2307" s="23"/>
    </row>
    <row r="2308" spans="8:8" x14ac:dyDescent="0.25">
      <c r="H2308" s="23"/>
    </row>
    <row r="2309" spans="8:8" x14ac:dyDescent="0.25">
      <c r="H2309" s="23"/>
    </row>
    <row r="2310" spans="8:8" x14ac:dyDescent="0.25">
      <c r="H2310" s="23"/>
    </row>
    <row r="2311" spans="8:8" x14ac:dyDescent="0.25">
      <c r="H2311" s="23"/>
    </row>
    <row r="2312" spans="8:8" x14ac:dyDescent="0.25">
      <c r="H2312" s="23"/>
    </row>
    <row r="2313" spans="8:8" x14ac:dyDescent="0.25">
      <c r="H2313" s="23"/>
    </row>
    <row r="2314" spans="8:8" x14ac:dyDescent="0.25">
      <c r="H2314" s="23"/>
    </row>
    <row r="2315" spans="8:8" x14ac:dyDescent="0.25">
      <c r="H2315" s="23"/>
    </row>
    <row r="2316" spans="8:8" x14ac:dyDescent="0.25">
      <c r="H2316" s="23"/>
    </row>
    <row r="2317" spans="8:8" x14ac:dyDescent="0.25">
      <c r="H2317" s="23"/>
    </row>
    <row r="2318" spans="8:8" x14ac:dyDescent="0.25">
      <c r="H2318" s="23"/>
    </row>
    <row r="2319" spans="8:8" x14ac:dyDescent="0.25">
      <c r="H2319" s="23"/>
    </row>
    <row r="2320" spans="8:8" x14ac:dyDescent="0.25">
      <c r="H2320" s="23"/>
    </row>
    <row r="2321" spans="8:8" x14ac:dyDescent="0.25">
      <c r="H2321" s="23"/>
    </row>
    <row r="2322" spans="8:8" x14ac:dyDescent="0.25">
      <c r="H2322" s="23"/>
    </row>
    <row r="2323" spans="8:8" x14ac:dyDescent="0.25">
      <c r="H2323" s="23"/>
    </row>
    <row r="2324" spans="8:8" x14ac:dyDescent="0.25">
      <c r="H2324" s="23"/>
    </row>
    <row r="2325" spans="8:8" x14ac:dyDescent="0.25">
      <c r="H2325" s="23"/>
    </row>
    <row r="2326" spans="8:8" x14ac:dyDescent="0.25">
      <c r="H2326" s="23"/>
    </row>
    <row r="2327" spans="8:8" x14ac:dyDescent="0.25">
      <c r="H2327" s="23"/>
    </row>
    <row r="2328" spans="8:8" x14ac:dyDescent="0.25">
      <c r="H2328" s="23"/>
    </row>
    <row r="2329" spans="8:8" x14ac:dyDescent="0.25">
      <c r="H2329" s="23"/>
    </row>
    <row r="2330" spans="8:8" x14ac:dyDescent="0.25">
      <c r="H2330" s="23"/>
    </row>
    <row r="2331" spans="8:8" x14ac:dyDescent="0.25">
      <c r="H2331" s="23"/>
    </row>
    <row r="2332" spans="8:8" x14ac:dyDescent="0.25">
      <c r="H2332" s="23"/>
    </row>
    <row r="2333" spans="8:8" x14ac:dyDescent="0.25">
      <c r="H2333" s="23"/>
    </row>
    <row r="2334" spans="8:8" x14ac:dyDescent="0.25">
      <c r="H2334" s="23"/>
    </row>
    <row r="2335" spans="8:8" x14ac:dyDescent="0.25">
      <c r="H2335" s="23"/>
    </row>
    <row r="2336" spans="8:8" x14ac:dyDescent="0.25">
      <c r="H2336" s="23"/>
    </row>
    <row r="2337" spans="8:8" x14ac:dyDescent="0.25">
      <c r="H2337" s="23"/>
    </row>
    <row r="2338" spans="8:8" x14ac:dyDescent="0.25">
      <c r="H2338" s="23"/>
    </row>
    <row r="2339" spans="8:8" x14ac:dyDescent="0.25">
      <c r="H2339" s="23"/>
    </row>
    <row r="2340" spans="8:8" x14ac:dyDescent="0.25">
      <c r="H2340" s="23"/>
    </row>
    <row r="2341" spans="8:8" x14ac:dyDescent="0.25">
      <c r="H2341" s="23"/>
    </row>
    <row r="2342" spans="8:8" x14ac:dyDescent="0.25">
      <c r="H2342" s="23"/>
    </row>
    <row r="2343" spans="8:8" x14ac:dyDescent="0.25">
      <c r="H2343" s="23"/>
    </row>
    <row r="2344" spans="8:8" x14ac:dyDescent="0.25">
      <c r="H2344" s="23"/>
    </row>
    <row r="2345" spans="8:8" x14ac:dyDescent="0.25">
      <c r="H2345" s="23"/>
    </row>
    <row r="2346" spans="8:8" x14ac:dyDescent="0.25">
      <c r="H2346" s="23"/>
    </row>
    <row r="2347" spans="8:8" x14ac:dyDescent="0.25">
      <c r="H2347" s="23"/>
    </row>
    <row r="2348" spans="8:8" x14ac:dyDescent="0.25">
      <c r="H2348" s="23"/>
    </row>
    <row r="2349" spans="8:8" x14ac:dyDescent="0.25">
      <c r="H2349" s="23"/>
    </row>
    <row r="2350" spans="8:8" x14ac:dyDescent="0.25">
      <c r="H2350" s="23"/>
    </row>
    <row r="2351" spans="8:8" x14ac:dyDescent="0.25">
      <c r="H2351" s="23"/>
    </row>
    <row r="2352" spans="8:8" x14ac:dyDescent="0.25">
      <c r="H2352" s="23"/>
    </row>
    <row r="2353" spans="8:8" x14ac:dyDescent="0.25">
      <c r="H2353" s="23"/>
    </row>
    <row r="2354" spans="8:8" x14ac:dyDescent="0.25">
      <c r="H2354" s="23"/>
    </row>
    <row r="2355" spans="8:8" x14ac:dyDescent="0.25">
      <c r="H2355" s="23"/>
    </row>
    <row r="2356" spans="8:8" x14ac:dyDescent="0.25">
      <c r="H2356" s="23"/>
    </row>
    <row r="2357" spans="8:8" x14ac:dyDescent="0.25">
      <c r="H2357" s="23"/>
    </row>
    <row r="2358" spans="8:8" x14ac:dyDescent="0.25">
      <c r="H2358" s="23"/>
    </row>
    <row r="2359" spans="8:8" x14ac:dyDescent="0.25">
      <c r="H2359" s="23"/>
    </row>
    <row r="2360" spans="8:8" x14ac:dyDescent="0.25">
      <c r="H2360" s="23"/>
    </row>
    <row r="2361" spans="8:8" x14ac:dyDescent="0.25">
      <c r="H2361" s="23"/>
    </row>
    <row r="2362" spans="8:8" x14ac:dyDescent="0.25">
      <c r="H2362" s="23"/>
    </row>
    <row r="2363" spans="8:8" x14ac:dyDescent="0.25">
      <c r="H2363" s="23"/>
    </row>
    <row r="2364" spans="8:8" x14ac:dyDescent="0.25">
      <c r="H2364" s="23"/>
    </row>
    <row r="2365" spans="8:8" x14ac:dyDescent="0.25">
      <c r="H2365" s="23"/>
    </row>
    <row r="2366" spans="8:8" x14ac:dyDescent="0.25">
      <c r="H2366" s="23"/>
    </row>
    <row r="2367" spans="8:8" x14ac:dyDescent="0.25">
      <c r="H2367" s="23"/>
    </row>
    <row r="2368" spans="8:8" x14ac:dyDescent="0.25">
      <c r="H2368" s="23"/>
    </row>
    <row r="2369" spans="8:8" x14ac:dyDescent="0.25">
      <c r="H2369" s="23"/>
    </row>
    <row r="2370" spans="8:8" x14ac:dyDescent="0.25">
      <c r="H2370" s="23"/>
    </row>
    <row r="2371" spans="8:8" x14ac:dyDescent="0.25">
      <c r="H2371" s="23"/>
    </row>
    <row r="2372" spans="8:8" x14ac:dyDescent="0.25">
      <c r="H2372" s="23"/>
    </row>
    <row r="2373" spans="8:8" x14ac:dyDescent="0.25">
      <c r="H2373" s="23"/>
    </row>
    <row r="2374" spans="8:8" x14ac:dyDescent="0.25">
      <c r="H2374" s="23"/>
    </row>
    <row r="2375" spans="8:8" x14ac:dyDescent="0.25">
      <c r="H2375" s="23"/>
    </row>
    <row r="2376" spans="8:8" x14ac:dyDescent="0.25">
      <c r="H2376" s="23"/>
    </row>
    <row r="2377" spans="8:8" x14ac:dyDescent="0.25">
      <c r="H2377" s="23"/>
    </row>
    <row r="2378" spans="8:8" x14ac:dyDescent="0.25">
      <c r="H2378" s="23"/>
    </row>
    <row r="2379" spans="8:8" x14ac:dyDescent="0.25">
      <c r="H2379" s="23"/>
    </row>
    <row r="2380" spans="8:8" x14ac:dyDescent="0.25">
      <c r="H2380" s="23"/>
    </row>
    <row r="2381" spans="8:8" x14ac:dyDescent="0.25">
      <c r="H2381" s="23"/>
    </row>
    <row r="2382" spans="8:8" x14ac:dyDescent="0.25">
      <c r="H2382" s="23"/>
    </row>
    <row r="2383" spans="8:8" x14ac:dyDescent="0.25">
      <c r="H2383" s="23"/>
    </row>
    <row r="2384" spans="8:8" x14ac:dyDescent="0.25">
      <c r="H2384" s="23"/>
    </row>
    <row r="2385" spans="8:8" x14ac:dyDescent="0.25">
      <c r="H2385" s="23"/>
    </row>
    <row r="2386" spans="8:8" x14ac:dyDescent="0.25">
      <c r="H2386" s="23"/>
    </row>
    <row r="2387" spans="8:8" x14ac:dyDescent="0.25">
      <c r="H2387" s="23"/>
    </row>
    <row r="2388" spans="8:8" x14ac:dyDescent="0.25">
      <c r="H2388" s="23"/>
    </row>
    <row r="2389" spans="8:8" x14ac:dyDescent="0.25">
      <c r="H2389" s="23"/>
    </row>
    <row r="2390" spans="8:8" x14ac:dyDescent="0.25">
      <c r="H2390" s="23"/>
    </row>
    <row r="2391" spans="8:8" x14ac:dyDescent="0.25">
      <c r="H2391" s="23"/>
    </row>
    <row r="2392" spans="8:8" x14ac:dyDescent="0.25">
      <c r="H2392" s="23"/>
    </row>
    <row r="2393" spans="8:8" x14ac:dyDescent="0.25">
      <c r="H2393" s="23"/>
    </row>
    <row r="2394" spans="8:8" x14ac:dyDescent="0.25">
      <c r="H2394" s="23"/>
    </row>
    <row r="2395" spans="8:8" x14ac:dyDescent="0.25">
      <c r="H2395" s="23"/>
    </row>
    <row r="2396" spans="8:8" x14ac:dyDescent="0.25">
      <c r="H2396" s="23"/>
    </row>
    <row r="2397" spans="8:8" x14ac:dyDescent="0.25">
      <c r="H2397" s="23"/>
    </row>
    <row r="2398" spans="8:8" x14ac:dyDescent="0.25">
      <c r="H2398" s="23"/>
    </row>
    <row r="2399" spans="8:8" x14ac:dyDescent="0.25">
      <c r="H2399" s="23"/>
    </row>
    <row r="2400" spans="8:8" x14ac:dyDescent="0.25">
      <c r="H2400" s="23"/>
    </row>
    <row r="2401" spans="8:8" x14ac:dyDescent="0.25">
      <c r="H2401" s="23"/>
    </row>
    <row r="2402" spans="8:8" x14ac:dyDescent="0.25">
      <c r="H2402" s="23"/>
    </row>
    <row r="2403" spans="8:8" x14ac:dyDescent="0.25">
      <c r="H2403" s="23"/>
    </row>
    <row r="2404" spans="8:8" x14ac:dyDescent="0.25">
      <c r="H2404" s="23"/>
    </row>
    <row r="2405" spans="8:8" x14ac:dyDescent="0.25">
      <c r="H2405" s="23"/>
    </row>
    <row r="2406" spans="8:8" x14ac:dyDescent="0.25">
      <c r="H2406" s="23"/>
    </row>
    <row r="2407" spans="8:8" x14ac:dyDescent="0.25">
      <c r="H2407" s="23"/>
    </row>
    <row r="2408" spans="8:8" x14ac:dyDescent="0.25">
      <c r="H2408" s="23"/>
    </row>
    <row r="2409" spans="8:8" x14ac:dyDescent="0.25">
      <c r="H2409" s="23"/>
    </row>
    <row r="2410" spans="8:8" x14ac:dyDescent="0.25">
      <c r="H2410" s="23"/>
    </row>
    <row r="2411" spans="8:8" x14ac:dyDescent="0.25">
      <c r="H2411" s="23"/>
    </row>
    <row r="2412" spans="8:8" x14ac:dyDescent="0.25">
      <c r="H2412" s="23"/>
    </row>
    <row r="2413" spans="8:8" x14ac:dyDescent="0.25">
      <c r="H2413" s="23"/>
    </row>
    <row r="2414" spans="8:8" x14ac:dyDescent="0.25">
      <c r="H2414" s="23"/>
    </row>
    <row r="2415" spans="8:8" x14ac:dyDescent="0.25">
      <c r="H2415" s="23"/>
    </row>
    <row r="2416" spans="8:8" x14ac:dyDescent="0.25">
      <c r="H2416" s="23"/>
    </row>
    <row r="2417" spans="8:8" x14ac:dyDescent="0.25">
      <c r="H2417" s="23"/>
    </row>
    <row r="2418" spans="8:8" x14ac:dyDescent="0.25">
      <c r="H2418" s="23"/>
    </row>
    <row r="2419" spans="8:8" x14ac:dyDescent="0.25">
      <c r="H2419" s="23"/>
    </row>
    <row r="2420" spans="8:8" x14ac:dyDescent="0.25">
      <c r="H2420" s="23"/>
    </row>
    <row r="2421" spans="8:8" x14ac:dyDescent="0.25">
      <c r="H2421" s="23"/>
    </row>
    <row r="2422" spans="8:8" x14ac:dyDescent="0.25">
      <c r="H2422" s="23"/>
    </row>
    <row r="2423" spans="8:8" x14ac:dyDescent="0.25">
      <c r="H2423" s="23"/>
    </row>
    <row r="2424" spans="8:8" x14ac:dyDescent="0.25">
      <c r="H2424" s="23"/>
    </row>
    <row r="2425" spans="8:8" x14ac:dyDescent="0.25">
      <c r="H2425" s="23"/>
    </row>
    <row r="2426" spans="8:8" x14ac:dyDescent="0.25">
      <c r="H2426" s="23"/>
    </row>
    <row r="2427" spans="8:8" x14ac:dyDescent="0.25">
      <c r="H2427" s="23"/>
    </row>
    <row r="2428" spans="8:8" x14ac:dyDescent="0.25">
      <c r="H2428" s="23"/>
    </row>
    <row r="2429" spans="8:8" x14ac:dyDescent="0.25">
      <c r="H2429" s="23"/>
    </row>
    <row r="2430" spans="8:8" x14ac:dyDescent="0.25">
      <c r="H2430" s="23"/>
    </row>
    <row r="2431" spans="8:8" x14ac:dyDescent="0.25">
      <c r="H2431" s="23"/>
    </row>
    <row r="2432" spans="8:8" x14ac:dyDescent="0.25">
      <c r="H2432" s="23"/>
    </row>
    <row r="2433" spans="8:8" x14ac:dyDescent="0.25">
      <c r="H2433" s="23"/>
    </row>
    <row r="2434" spans="8:8" x14ac:dyDescent="0.25">
      <c r="H2434" s="23"/>
    </row>
    <row r="2435" spans="8:8" x14ac:dyDescent="0.25">
      <c r="H2435" s="23"/>
    </row>
    <row r="2436" spans="8:8" x14ac:dyDescent="0.25">
      <c r="H2436" s="23"/>
    </row>
    <row r="2437" spans="8:8" x14ac:dyDescent="0.25">
      <c r="H2437" s="23"/>
    </row>
    <row r="2438" spans="8:8" x14ac:dyDescent="0.25">
      <c r="H2438" s="23"/>
    </row>
    <row r="2439" spans="8:8" x14ac:dyDescent="0.25">
      <c r="H2439" s="23"/>
    </row>
    <row r="2440" spans="8:8" x14ac:dyDescent="0.25">
      <c r="H2440" s="23"/>
    </row>
    <row r="2441" spans="8:8" x14ac:dyDescent="0.25">
      <c r="H2441" s="23"/>
    </row>
    <row r="2442" spans="8:8" x14ac:dyDescent="0.25">
      <c r="H2442" s="23"/>
    </row>
    <row r="2443" spans="8:8" x14ac:dyDescent="0.25">
      <c r="H2443" s="23"/>
    </row>
    <row r="2444" spans="8:8" x14ac:dyDescent="0.25">
      <c r="H2444" s="23"/>
    </row>
    <row r="2445" spans="8:8" x14ac:dyDescent="0.25">
      <c r="H2445" s="23"/>
    </row>
    <row r="2446" spans="8:8" x14ac:dyDescent="0.25">
      <c r="H2446" s="23"/>
    </row>
    <row r="2447" spans="8:8" x14ac:dyDescent="0.25">
      <c r="H2447" s="23"/>
    </row>
    <row r="2448" spans="8:8" x14ac:dyDescent="0.25">
      <c r="H2448" s="23"/>
    </row>
    <row r="2449" spans="8:8" x14ac:dyDescent="0.25">
      <c r="H2449" s="23"/>
    </row>
    <row r="2450" spans="8:8" x14ac:dyDescent="0.25">
      <c r="H2450" s="23"/>
    </row>
    <row r="2451" spans="8:8" x14ac:dyDescent="0.25">
      <c r="H2451" s="23"/>
    </row>
    <row r="2452" spans="8:8" x14ac:dyDescent="0.25">
      <c r="H2452" s="23"/>
    </row>
    <row r="2453" spans="8:8" x14ac:dyDescent="0.25">
      <c r="H2453" s="23"/>
    </row>
    <row r="2454" spans="8:8" x14ac:dyDescent="0.25">
      <c r="H2454" s="23"/>
    </row>
    <row r="2455" spans="8:8" x14ac:dyDescent="0.25">
      <c r="H2455" s="23"/>
    </row>
    <row r="2456" spans="8:8" x14ac:dyDescent="0.25">
      <c r="H2456" s="23"/>
    </row>
    <row r="2457" spans="8:8" x14ac:dyDescent="0.25">
      <c r="H2457" s="23"/>
    </row>
    <row r="2458" spans="8:8" x14ac:dyDescent="0.25">
      <c r="H2458" s="23"/>
    </row>
    <row r="2459" spans="8:8" x14ac:dyDescent="0.25">
      <c r="H2459" s="23"/>
    </row>
    <row r="2460" spans="8:8" x14ac:dyDescent="0.25">
      <c r="H2460" s="23"/>
    </row>
    <row r="2461" spans="8:8" x14ac:dyDescent="0.25">
      <c r="H2461" s="23"/>
    </row>
    <row r="2462" spans="8:8" x14ac:dyDescent="0.25">
      <c r="H2462" s="23"/>
    </row>
    <row r="2463" spans="8:8" x14ac:dyDescent="0.25">
      <c r="H2463" s="23"/>
    </row>
    <row r="2464" spans="8:8" x14ac:dyDescent="0.25">
      <c r="H2464" s="23"/>
    </row>
    <row r="2465" spans="8:8" x14ac:dyDescent="0.25">
      <c r="H2465" s="23"/>
    </row>
    <row r="2466" spans="8:8" x14ac:dyDescent="0.25">
      <c r="H2466" s="23"/>
    </row>
    <row r="2467" spans="8:8" x14ac:dyDescent="0.25">
      <c r="H2467" s="23"/>
    </row>
    <row r="2468" spans="8:8" x14ac:dyDescent="0.25">
      <c r="H2468" s="23"/>
    </row>
    <row r="2469" spans="8:8" x14ac:dyDescent="0.25">
      <c r="H2469" s="23"/>
    </row>
    <row r="2470" spans="8:8" x14ac:dyDescent="0.25">
      <c r="H2470" s="23"/>
    </row>
    <row r="2471" spans="8:8" x14ac:dyDescent="0.25">
      <c r="H2471" s="23"/>
    </row>
    <row r="2472" spans="8:8" x14ac:dyDescent="0.25">
      <c r="H2472" s="23"/>
    </row>
    <row r="2473" spans="8:8" x14ac:dyDescent="0.25">
      <c r="H2473" s="23"/>
    </row>
    <row r="2474" spans="8:8" x14ac:dyDescent="0.25">
      <c r="H2474" s="23"/>
    </row>
    <row r="2475" spans="8:8" x14ac:dyDescent="0.25">
      <c r="H2475" s="23"/>
    </row>
    <row r="2476" spans="8:8" x14ac:dyDescent="0.25">
      <c r="H2476" s="23"/>
    </row>
    <row r="2477" spans="8:8" x14ac:dyDescent="0.25">
      <c r="H2477" s="23"/>
    </row>
    <row r="2478" spans="8:8" x14ac:dyDescent="0.25">
      <c r="H2478" s="23"/>
    </row>
    <row r="2479" spans="8:8" x14ac:dyDescent="0.25">
      <c r="H2479" s="23"/>
    </row>
    <row r="2480" spans="8:8" x14ac:dyDescent="0.25">
      <c r="H2480" s="23"/>
    </row>
    <row r="2481" spans="8:8" x14ac:dyDescent="0.25">
      <c r="H2481" s="23"/>
    </row>
    <row r="2482" spans="8:8" x14ac:dyDescent="0.25">
      <c r="H2482" s="23"/>
    </row>
    <row r="2483" spans="8:8" x14ac:dyDescent="0.25">
      <c r="H2483" s="23"/>
    </row>
    <row r="2484" spans="8:8" x14ac:dyDescent="0.25">
      <c r="H2484" s="23"/>
    </row>
    <row r="2485" spans="8:8" x14ac:dyDescent="0.25">
      <c r="H2485" s="23"/>
    </row>
    <row r="2486" spans="8:8" x14ac:dyDescent="0.25">
      <c r="H2486" s="23"/>
    </row>
    <row r="2487" spans="8:8" x14ac:dyDescent="0.25">
      <c r="H2487" s="23"/>
    </row>
    <row r="2488" spans="8:8" x14ac:dyDescent="0.25">
      <c r="H2488" s="23"/>
    </row>
    <row r="2489" spans="8:8" x14ac:dyDescent="0.25">
      <c r="H2489" s="23"/>
    </row>
    <row r="2490" spans="8:8" x14ac:dyDescent="0.25">
      <c r="H2490" s="23"/>
    </row>
    <row r="2491" spans="8:8" x14ac:dyDescent="0.25">
      <c r="H2491" s="23"/>
    </row>
    <row r="2492" spans="8:8" x14ac:dyDescent="0.25">
      <c r="H2492" s="23"/>
    </row>
    <row r="2493" spans="8:8" x14ac:dyDescent="0.25">
      <c r="H2493" s="23"/>
    </row>
    <row r="2494" spans="8:8" x14ac:dyDescent="0.25">
      <c r="H2494" s="23"/>
    </row>
    <row r="2495" spans="8:8" x14ac:dyDescent="0.25">
      <c r="H2495" s="23"/>
    </row>
    <row r="2496" spans="8:8" x14ac:dyDescent="0.25">
      <c r="H2496" s="23"/>
    </row>
    <row r="2497" spans="8:8" x14ac:dyDescent="0.25">
      <c r="H2497" s="23"/>
    </row>
    <row r="2498" spans="8:8" x14ac:dyDescent="0.25">
      <c r="H2498" s="23"/>
    </row>
    <row r="2499" spans="8:8" x14ac:dyDescent="0.25">
      <c r="H2499" s="23"/>
    </row>
    <row r="2500" spans="8:8" x14ac:dyDescent="0.25">
      <c r="H2500" s="23"/>
    </row>
    <row r="2501" spans="8:8" x14ac:dyDescent="0.25">
      <c r="H2501" s="23"/>
    </row>
    <row r="2502" spans="8:8" x14ac:dyDescent="0.25">
      <c r="H2502" s="23"/>
    </row>
    <row r="2503" spans="8:8" x14ac:dyDescent="0.25">
      <c r="H2503" s="23"/>
    </row>
    <row r="2504" spans="8:8" x14ac:dyDescent="0.25">
      <c r="H2504" s="23"/>
    </row>
    <row r="2505" spans="8:8" x14ac:dyDescent="0.25">
      <c r="H2505" s="23"/>
    </row>
    <row r="2506" spans="8:8" x14ac:dyDescent="0.25">
      <c r="H2506" s="23"/>
    </row>
    <row r="2507" spans="8:8" x14ac:dyDescent="0.25">
      <c r="H2507" s="23"/>
    </row>
    <row r="2508" spans="8:8" x14ac:dyDescent="0.25">
      <c r="H2508" s="23"/>
    </row>
    <row r="2509" spans="8:8" x14ac:dyDescent="0.25">
      <c r="H2509" s="23"/>
    </row>
    <row r="2510" spans="8:8" x14ac:dyDescent="0.25">
      <c r="H2510" s="23"/>
    </row>
    <row r="2511" spans="8:8" x14ac:dyDescent="0.25">
      <c r="H2511" s="23"/>
    </row>
    <row r="2512" spans="8:8" x14ac:dyDescent="0.25">
      <c r="H2512" s="23"/>
    </row>
    <row r="2513" spans="8:8" x14ac:dyDescent="0.25">
      <c r="H2513" s="23"/>
    </row>
    <row r="2514" spans="8:8" x14ac:dyDescent="0.25">
      <c r="H2514" s="23"/>
    </row>
    <row r="2515" spans="8:8" x14ac:dyDescent="0.25">
      <c r="H2515" s="23"/>
    </row>
    <row r="2516" spans="8:8" x14ac:dyDescent="0.25">
      <c r="H2516" s="23"/>
    </row>
    <row r="2517" spans="8:8" x14ac:dyDescent="0.25">
      <c r="H2517" s="23"/>
    </row>
    <row r="2518" spans="8:8" x14ac:dyDescent="0.25">
      <c r="H2518" s="23"/>
    </row>
    <row r="2519" spans="8:8" x14ac:dyDescent="0.25">
      <c r="H2519" s="23"/>
    </row>
    <row r="2520" spans="8:8" x14ac:dyDescent="0.25">
      <c r="H2520" s="23"/>
    </row>
    <row r="2521" spans="8:8" x14ac:dyDescent="0.25">
      <c r="H2521" s="23"/>
    </row>
    <row r="2522" spans="8:8" x14ac:dyDescent="0.25">
      <c r="H2522" s="23"/>
    </row>
    <row r="2523" spans="8:8" x14ac:dyDescent="0.25">
      <c r="H2523" s="23"/>
    </row>
    <row r="2524" spans="8:8" x14ac:dyDescent="0.25">
      <c r="H2524" s="23"/>
    </row>
    <row r="2525" spans="8:8" x14ac:dyDescent="0.25">
      <c r="H2525" s="23"/>
    </row>
    <row r="2526" spans="8:8" x14ac:dyDescent="0.25">
      <c r="H2526" s="23"/>
    </row>
    <row r="2527" spans="8:8" x14ac:dyDescent="0.25">
      <c r="H2527" s="23"/>
    </row>
    <row r="2528" spans="8:8" x14ac:dyDescent="0.25">
      <c r="H2528" s="23"/>
    </row>
    <row r="2529" spans="8:8" x14ac:dyDescent="0.25">
      <c r="H2529" s="23"/>
    </row>
    <row r="2530" spans="8:8" x14ac:dyDescent="0.25">
      <c r="H2530" s="23"/>
    </row>
    <row r="2531" spans="8:8" x14ac:dyDescent="0.25">
      <c r="H2531" s="23"/>
    </row>
    <row r="2532" spans="8:8" x14ac:dyDescent="0.25">
      <c r="H2532" s="23"/>
    </row>
    <row r="2533" spans="8:8" x14ac:dyDescent="0.25">
      <c r="H2533" s="23"/>
    </row>
    <row r="2534" spans="8:8" x14ac:dyDescent="0.25">
      <c r="H2534" s="23"/>
    </row>
    <row r="2535" spans="8:8" x14ac:dyDescent="0.25">
      <c r="H2535" s="23"/>
    </row>
    <row r="2536" spans="8:8" x14ac:dyDescent="0.25">
      <c r="H2536" s="23"/>
    </row>
    <row r="2537" spans="8:8" x14ac:dyDescent="0.25">
      <c r="H2537" s="23"/>
    </row>
    <row r="2538" spans="8:8" x14ac:dyDescent="0.25">
      <c r="H2538" s="23"/>
    </row>
    <row r="2539" spans="8:8" x14ac:dyDescent="0.25">
      <c r="H2539" s="23"/>
    </row>
    <row r="2540" spans="8:8" x14ac:dyDescent="0.25">
      <c r="H2540" s="23"/>
    </row>
    <row r="2541" spans="8:8" x14ac:dyDescent="0.25">
      <c r="H2541" s="23"/>
    </row>
    <row r="2542" spans="8:8" x14ac:dyDescent="0.25">
      <c r="H2542" s="23"/>
    </row>
    <row r="2543" spans="8:8" x14ac:dyDescent="0.25">
      <c r="H2543" s="23"/>
    </row>
    <row r="2544" spans="8:8" x14ac:dyDescent="0.25">
      <c r="H2544" s="23"/>
    </row>
    <row r="2545" spans="8:8" x14ac:dyDescent="0.25">
      <c r="H2545" s="23"/>
    </row>
    <row r="2546" spans="8:8" x14ac:dyDescent="0.25">
      <c r="H2546" s="23"/>
    </row>
    <row r="2547" spans="8:8" x14ac:dyDescent="0.25">
      <c r="H2547" s="23"/>
    </row>
    <row r="2548" spans="8:8" x14ac:dyDescent="0.25">
      <c r="H2548" s="23"/>
    </row>
    <row r="2549" spans="8:8" x14ac:dyDescent="0.25">
      <c r="H2549" s="23"/>
    </row>
    <row r="2550" spans="8:8" x14ac:dyDescent="0.25">
      <c r="H2550" s="23"/>
    </row>
    <row r="2551" spans="8:8" x14ac:dyDescent="0.25">
      <c r="H2551" s="23"/>
    </row>
    <row r="2552" spans="8:8" x14ac:dyDescent="0.25">
      <c r="H2552" s="23"/>
    </row>
    <row r="2553" spans="8:8" x14ac:dyDescent="0.25">
      <c r="H2553" s="23"/>
    </row>
    <row r="2554" spans="8:8" x14ac:dyDescent="0.25">
      <c r="H2554" s="23"/>
    </row>
    <row r="2555" spans="8:8" x14ac:dyDescent="0.25">
      <c r="H2555" s="23"/>
    </row>
    <row r="2556" spans="8:8" x14ac:dyDescent="0.25">
      <c r="H2556" s="23"/>
    </row>
    <row r="2557" spans="8:8" x14ac:dyDescent="0.25">
      <c r="H2557" s="23"/>
    </row>
    <row r="2558" spans="8:8" x14ac:dyDescent="0.25">
      <c r="H2558" s="23"/>
    </row>
    <row r="2559" spans="8:8" x14ac:dyDescent="0.25">
      <c r="H2559" s="23"/>
    </row>
    <row r="2560" spans="8:8" x14ac:dyDescent="0.25">
      <c r="H2560" s="23"/>
    </row>
    <row r="2561" spans="8:8" x14ac:dyDescent="0.25">
      <c r="H2561" s="23"/>
    </row>
    <row r="2562" spans="8:8" x14ac:dyDescent="0.25">
      <c r="H2562" s="23"/>
    </row>
    <row r="2563" spans="8:8" x14ac:dyDescent="0.25">
      <c r="H2563" s="23"/>
    </row>
    <row r="2564" spans="8:8" x14ac:dyDescent="0.25">
      <c r="H2564" s="23"/>
    </row>
    <row r="2565" spans="8:8" x14ac:dyDescent="0.25">
      <c r="H2565" s="23"/>
    </row>
    <row r="2566" spans="8:8" x14ac:dyDescent="0.25">
      <c r="H2566" s="23"/>
    </row>
    <row r="2567" spans="8:8" x14ac:dyDescent="0.25">
      <c r="H2567" s="23"/>
    </row>
    <row r="2568" spans="8:8" x14ac:dyDescent="0.25">
      <c r="H2568" s="23"/>
    </row>
    <row r="2569" spans="8:8" x14ac:dyDescent="0.25">
      <c r="H2569" s="23"/>
    </row>
    <row r="2570" spans="8:8" x14ac:dyDescent="0.25">
      <c r="H2570" s="23"/>
    </row>
    <row r="2571" spans="8:8" x14ac:dyDescent="0.25">
      <c r="H2571" s="23"/>
    </row>
    <row r="2572" spans="8:8" x14ac:dyDescent="0.25">
      <c r="H2572" s="23"/>
    </row>
    <row r="2573" spans="8:8" x14ac:dyDescent="0.25">
      <c r="H2573" s="23"/>
    </row>
    <row r="2574" spans="8:8" x14ac:dyDescent="0.25">
      <c r="H2574" s="23"/>
    </row>
    <row r="2575" spans="8:8" x14ac:dyDescent="0.25">
      <c r="H2575" s="23"/>
    </row>
    <row r="2576" spans="8:8" x14ac:dyDescent="0.25">
      <c r="H2576" s="23"/>
    </row>
    <row r="2577" spans="8:8" x14ac:dyDescent="0.25">
      <c r="H2577" s="23"/>
    </row>
    <row r="2578" spans="8:8" x14ac:dyDescent="0.25">
      <c r="H2578" s="23"/>
    </row>
    <row r="2579" spans="8:8" x14ac:dyDescent="0.25">
      <c r="H2579" s="23"/>
    </row>
    <row r="2580" spans="8:8" x14ac:dyDescent="0.25">
      <c r="H2580" s="23"/>
    </row>
    <row r="2581" spans="8:8" x14ac:dyDescent="0.25">
      <c r="H2581" s="23"/>
    </row>
    <row r="2582" spans="8:8" x14ac:dyDescent="0.25">
      <c r="H2582" s="23"/>
    </row>
    <row r="2583" spans="8:8" x14ac:dyDescent="0.25">
      <c r="H2583" s="23"/>
    </row>
    <row r="2584" spans="8:8" x14ac:dyDescent="0.25">
      <c r="H2584" s="23"/>
    </row>
    <row r="2585" spans="8:8" x14ac:dyDescent="0.25">
      <c r="H2585" s="23"/>
    </row>
    <row r="2586" spans="8:8" x14ac:dyDescent="0.25">
      <c r="H2586" s="23"/>
    </row>
    <row r="2587" spans="8:8" x14ac:dyDescent="0.25">
      <c r="H2587" s="23"/>
    </row>
    <row r="2588" spans="8:8" x14ac:dyDescent="0.25">
      <c r="H2588" s="23"/>
    </row>
    <row r="2589" spans="8:8" x14ac:dyDescent="0.25">
      <c r="H2589" s="23"/>
    </row>
    <row r="2590" spans="8:8" x14ac:dyDescent="0.25">
      <c r="H2590" s="23"/>
    </row>
    <row r="2591" spans="8:8" x14ac:dyDescent="0.25">
      <c r="H2591" s="23"/>
    </row>
    <row r="2592" spans="8:8" x14ac:dyDescent="0.25">
      <c r="H2592" s="23"/>
    </row>
    <row r="2593" spans="8:8" x14ac:dyDescent="0.25">
      <c r="H2593" s="23"/>
    </row>
    <row r="2594" spans="8:8" x14ac:dyDescent="0.25">
      <c r="H2594" s="23"/>
    </row>
    <row r="2595" spans="8:8" x14ac:dyDescent="0.25">
      <c r="H2595" s="23"/>
    </row>
    <row r="2596" spans="8:8" x14ac:dyDescent="0.25">
      <c r="H2596" s="23"/>
    </row>
    <row r="2597" spans="8:8" x14ac:dyDescent="0.25">
      <c r="H2597" s="23"/>
    </row>
    <row r="2598" spans="8:8" x14ac:dyDescent="0.25">
      <c r="H2598" s="23"/>
    </row>
    <row r="2599" spans="8:8" x14ac:dyDescent="0.25">
      <c r="H2599" s="23"/>
    </row>
    <row r="2600" spans="8:8" x14ac:dyDescent="0.25">
      <c r="H2600" s="23"/>
    </row>
    <row r="2601" spans="8:8" x14ac:dyDescent="0.25">
      <c r="H2601" s="23"/>
    </row>
    <row r="2602" spans="8:8" x14ac:dyDescent="0.25">
      <c r="H2602" s="23"/>
    </row>
    <row r="2603" spans="8:8" x14ac:dyDescent="0.25">
      <c r="H2603" s="23"/>
    </row>
    <row r="2604" spans="8:8" x14ac:dyDescent="0.25">
      <c r="H2604" s="23"/>
    </row>
    <row r="2605" spans="8:8" x14ac:dyDescent="0.25">
      <c r="H2605" s="23"/>
    </row>
    <row r="2606" spans="8:8" x14ac:dyDescent="0.25">
      <c r="H2606" s="23"/>
    </row>
    <row r="2607" spans="8:8" x14ac:dyDescent="0.25">
      <c r="H2607" s="23"/>
    </row>
    <row r="2608" spans="8:8" x14ac:dyDescent="0.25">
      <c r="H2608" s="23"/>
    </row>
    <row r="2609" spans="8:8" x14ac:dyDescent="0.25">
      <c r="H2609" s="23"/>
    </row>
    <row r="2610" spans="8:8" x14ac:dyDescent="0.25">
      <c r="H2610" s="23"/>
    </row>
    <row r="2611" spans="8:8" x14ac:dyDescent="0.25">
      <c r="H2611" s="23"/>
    </row>
    <row r="2612" spans="8:8" x14ac:dyDescent="0.25">
      <c r="H2612" s="23"/>
    </row>
    <row r="2613" spans="8:8" x14ac:dyDescent="0.25">
      <c r="H2613" s="23"/>
    </row>
    <row r="2614" spans="8:8" x14ac:dyDescent="0.25">
      <c r="H2614" s="23"/>
    </row>
    <row r="2615" spans="8:8" x14ac:dyDescent="0.25">
      <c r="H2615" s="23"/>
    </row>
    <row r="2616" spans="8:8" x14ac:dyDescent="0.25">
      <c r="H2616" s="23"/>
    </row>
    <row r="2617" spans="8:8" x14ac:dyDescent="0.25">
      <c r="H2617" s="23"/>
    </row>
    <row r="2618" spans="8:8" x14ac:dyDescent="0.25">
      <c r="H2618" s="23"/>
    </row>
    <row r="2619" spans="8:8" x14ac:dyDescent="0.25">
      <c r="H2619" s="23"/>
    </row>
    <row r="2620" spans="8:8" x14ac:dyDescent="0.25">
      <c r="H2620" s="23"/>
    </row>
    <row r="2621" spans="8:8" x14ac:dyDescent="0.25">
      <c r="H2621" s="23"/>
    </row>
    <row r="2622" spans="8:8" x14ac:dyDescent="0.25">
      <c r="H2622" s="23"/>
    </row>
    <row r="2623" spans="8:8" x14ac:dyDescent="0.25">
      <c r="H2623" s="23"/>
    </row>
    <row r="2624" spans="8:8" x14ac:dyDescent="0.25">
      <c r="H2624" s="23"/>
    </row>
    <row r="2625" spans="8:8" x14ac:dyDescent="0.25">
      <c r="H2625" s="23"/>
    </row>
    <row r="2626" spans="8:8" x14ac:dyDescent="0.25">
      <c r="H2626" s="23"/>
    </row>
    <row r="2627" spans="8:8" x14ac:dyDescent="0.25">
      <c r="H2627" s="23"/>
    </row>
    <row r="2628" spans="8:8" x14ac:dyDescent="0.25">
      <c r="H2628" s="23"/>
    </row>
    <row r="2629" spans="8:8" x14ac:dyDescent="0.25">
      <c r="H2629" s="23"/>
    </row>
    <row r="2630" spans="8:8" x14ac:dyDescent="0.25">
      <c r="H2630" s="23"/>
    </row>
    <row r="2631" spans="8:8" x14ac:dyDescent="0.25">
      <c r="H2631" s="23"/>
    </row>
    <row r="2632" spans="8:8" x14ac:dyDescent="0.25">
      <c r="H2632" s="23"/>
    </row>
    <row r="2633" spans="8:8" x14ac:dyDescent="0.25">
      <c r="H2633" s="23"/>
    </row>
    <row r="2634" spans="8:8" x14ac:dyDescent="0.25">
      <c r="H2634" s="23"/>
    </row>
    <row r="2635" spans="8:8" x14ac:dyDescent="0.25">
      <c r="H2635" s="23"/>
    </row>
    <row r="2636" spans="8:8" x14ac:dyDescent="0.25">
      <c r="H2636" s="23"/>
    </row>
    <row r="2637" spans="8:8" x14ac:dyDescent="0.25">
      <c r="H2637" s="23"/>
    </row>
    <row r="2638" spans="8:8" x14ac:dyDescent="0.25">
      <c r="H2638" s="23"/>
    </row>
    <row r="2639" spans="8:8" x14ac:dyDescent="0.25">
      <c r="H2639" s="23"/>
    </row>
    <row r="2640" spans="8:8" x14ac:dyDescent="0.25">
      <c r="H2640" s="23"/>
    </row>
    <row r="2641" spans="8:8" x14ac:dyDescent="0.25">
      <c r="H2641" s="23"/>
    </row>
    <row r="2642" spans="8:8" x14ac:dyDescent="0.25">
      <c r="H2642" s="23"/>
    </row>
    <row r="2643" spans="8:8" x14ac:dyDescent="0.25">
      <c r="H2643" s="23"/>
    </row>
    <row r="2644" spans="8:8" x14ac:dyDescent="0.25">
      <c r="H2644" s="23"/>
    </row>
    <row r="2645" spans="8:8" x14ac:dyDescent="0.25">
      <c r="H2645" s="23"/>
    </row>
    <row r="2646" spans="8:8" x14ac:dyDescent="0.25">
      <c r="H2646" s="23"/>
    </row>
    <row r="2647" spans="8:8" x14ac:dyDescent="0.25">
      <c r="H2647" s="23"/>
    </row>
    <row r="2648" spans="8:8" x14ac:dyDescent="0.25">
      <c r="H2648" s="23"/>
    </row>
    <row r="2649" spans="8:8" x14ac:dyDescent="0.25">
      <c r="H2649" s="23"/>
    </row>
    <row r="2650" spans="8:8" x14ac:dyDescent="0.25">
      <c r="H2650" s="23"/>
    </row>
    <row r="2651" spans="8:8" x14ac:dyDescent="0.25">
      <c r="H2651" s="23"/>
    </row>
    <row r="2652" spans="8:8" x14ac:dyDescent="0.25">
      <c r="H2652" s="23"/>
    </row>
    <row r="2653" spans="8:8" x14ac:dyDescent="0.25">
      <c r="H2653" s="23"/>
    </row>
    <row r="2654" spans="8:8" x14ac:dyDescent="0.25">
      <c r="H2654" s="23"/>
    </row>
    <row r="2655" spans="8:8" x14ac:dyDescent="0.25">
      <c r="H2655" s="23"/>
    </row>
    <row r="2656" spans="8:8" x14ac:dyDescent="0.25">
      <c r="H2656" s="23"/>
    </row>
    <row r="2657" spans="8:8" x14ac:dyDescent="0.25">
      <c r="H2657" s="23"/>
    </row>
    <row r="2658" spans="8:8" x14ac:dyDescent="0.25">
      <c r="H2658" s="23"/>
    </row>
    <row r="2659" spans="8:8" x14ac:dyDescent="0.25">
      <c r="H2659" s="23"/>
    </row>
    <row r="2660" spans="8:8" x14ac:dyDescent="0.25">
      <c r="H2660" s="23"/>
    </row>
    <row r="2661" spans="8:8" x14ac:dyDescent="0.25">
      <c r="H2661" s="23"/>
    </row>
    <row r="2662" spans="8:8" x14ac:dyDescent="0.25">
      <c r="H2662" s="23"/>
    </row>
    <row r="2663" spans="8:8" x14ac:dyDescent="0.25">
      <c r="H2663" s="23"/>
    </row>
    <row r="2664" spans="8:8" x14ac:dyDescent="0.25">
      <c r="H2664" s="23"/>
    </row>
    <row r="2665" spans="8:8" x14ac:dyDescent="0.25">
      <c r="H2665" s="23"/>
    </row>
    <row r="2666" spans="8:8" x14ac:dyDescent="0.25">
      <c r="H2666" s="23"/>
    </row>
    <row r="2667" spans="8:8" x14ac:dyDescent="0.25">
      <c r="H2667" s="23"/>
    </row>
    <row r="2668" spans="8:8" x14ac:dyDescent="0.25">
      <c r="H2668" s="23"/>
    </row>
    <row r="2669" spans="8:8" x14ac:dyDescent="0.25">
      <c r="H2669" s="23"/>
    </row>
    <row r="2670" spans="8:8" x14ac:dyDescent="0.25">
      <c r="H2670" s="23"/>
    </row>
    <row r="2671" spans="8:8" x14ac:dyDescent="0.25">
      <c r="H2671" s="23"/>
    </row>
    <row r="2672" spans="8:8" x14ac:dyDescent="0.25">
      <c r="H2672" s="23"/>
    </row>
    <row r="2673" spans="8:8" x14ac:dyDescent="0.25">
      <c r="H2673" s="23"/>
    </row>
    <row r="2674" spans="8:8" x14ac:dyDescent="0.25">
      <c r="H2674" s="23"/>
    </row>
    <row r="2675" spans="8:8" x14ac:dyDescent="0.25">
      <c r="H2675" s="23"/>
    </row>
    <row r="2676" spans="8:8" x14ac:dyDescent="0.25">
      <c r="H2676" s="23"/>
    </row>
    <row r="2677" spans="8:8" x14ac:dyDescent="0.25">
      <c r="H2677" s="23"/>
    </row>
    <row r="2678" spans="8:8" x14ac:dyDescent="0.25">
      <c r="H2678" s="23"/>
    </row>
    <row r="2679" spans="8:8" x14ac:dyDescent="0.25">
      <c r="H2679" s="23"/>
    </row>
    <row r="2680" spans="8:8" x14ac:dyDescent="0.25">
      <c r="H2680" s="23"/>
    </row>
    <row r="2681" spans="8:8" x14ac:dyDescent="0.25">
      <c r="H2681" s="23"/>
    </row>
    <row r="2682" spans="8:8" x14ac:dyDescent="0.25">
      <c r="H2682" s="23"/>
    </row>
    <row r="2683" spans="8:8" x14ac:dyDescent="0.25">
      <c r="H2683" s="23"/>
    </row>
    <row r="2684" spans="8:8" x14ac:dyDescent="0.25">
      <c r="H2684" s="23"/>
    </row>
    <row r="2685" spans="8:8" x14ac:dyDescent="0.25">
      <c r="H2685" s="23"/>
    </row>
    <row r="2686" spans="8:8" x14ac:dyDescent="0.25">
      <c r="H2686" s="23"/>
    </row>
    <row r="2687" spans="8:8" x14ac:dyDescent="0.25">
      <c r="H2687" s="23"/>
    </row>
    <row r="2688" spans="8:8" x14ac:dyDescent="0.25">
      <c r="H2688" s="23"/>
    </row>
    <row r="2689" spans="8:8" x14ac:dyDescent="0.25">
      <c r="H2689" s="23"/>
    </row>
    <row r="2690" spans="8:8" x14ac:dyDescent="0.25">
      <c r="H2690" s="23"/>
    </row>
    <row r="2691" spans="8:8" x14ac:dyDescent="0.25">
      <c r="H2691" s="23"/>
    </row>
    <row r="2692" spans="8:8" x14ac:dyDescent="0.25">
      <c r="H2692" s="23"/>
    </row>
    <row r="2693" spans="8:8" x14ac:dyDescent="0.25">
      <c r="H2693" s="23"/>
    </row>
    <row r="2694" spans="8:8" x14ac:dyDescent="0.25">
      <c r="H2694" s="23"/>
    </row>
    <row r="2695" spans="8:8" x14ac:dyDescent="0.25">
      <c r="H2695" s="23"/>
    </row>
    <row r="2696" spans="8:8" x14ac:dyDescent="0.25">
      <c r="H2696" s="23"/>
    </row>
    <row r="2697" spans="8:8" x14ac:dyDescent="0.25">
      <c r="H2697" s="23"/>
    </row>
    <row r="2698" spans="8:8" x14ac:dyDescent="0.25">
      <c r="H2698" s="23"/>
    </row>
    <row r="2699" spans="8:8" x14ac:dyDescent="0.25">
      <c r="H2699" s="23"/>
    </row>
    <row r="2700" spans="8:8" x14ac:dyDescent="0.25">
      <c r="H2700" s="23"/>
    </row>
    <row r="2701" spans="8:8" x14ac:dyDescent="0.25">
      <c r="H2701" s="23"/>
    </row>
    <row r="2702" spans="8:8" x14ac:dyDescent="0.25">
      <c r="H2702" s="23"/>
    </row>
    <row r="2703" spans="8:8" x14ac:dyDescent="0.25">
      <c r="H2703" s="23"/>
    </row>
    <row r="2704" spans="8:8" x14ac:dyDescent="0.25">
      <c r="H2704" s="23"/>
    </row>
    <row r="2705" spans="8:8" x14ac:dyDescent="0.25">
      <c r="H2705" s="23"/>
    </row>
    <row r="2706" spans="8:8" x14ac:dyDescent="0.25">
      <c r="H2706" s="23"/>
    </row>
    <row r="2707" spans="8:8" x14ac:dyDescent="0.25">
      <c r="H2707" s="23"/>
    </row>
    <row r="2708" spans="8:8" x14ac:dyDescent="0.25">
      <c r="H2708" s="23"/>
    </row>
    <row r="2709" spans="8:8" x14ac:dyDescent="0.25">
      <c r="H2709" s="23"/>
    </row>
    <row r="2710" spans="8:8" x14ac:dyDescent="0.25">
      <c r="H2710" s="23"/>
    </row>
  </sheetData>
  <mergeCells count="5">
    <mergeCell ref="AS18:AV18"/>
    <mergeCell ref="AA19:AD19"/>
    <mergeCell ref="AS19:AV19"/>
    <mergeCell ref="AA20:AD20"/>
    <mergeCell ref="AG20:AG2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2710"/>
  <sheetViews>
    <sheetView topLeftCell="S1" zoomScale="85" zoomScaleNormal="85" workbookViewId="0">
      <selection activeCell="AH22" sqref="AH22:AH30"/>
    </sheetView>
  </sheetViews>
  <sheetFormatPr baseColWidth="10" defaultRowHeight="15" x14ac:dyDescent="0.25"/>
  <cols>
    <col min="1" max="1" width="15.7109375" bestFit="1" customWidth="1"/>
    <col min="2" max="2" width="14.140625" bestFit="1" customWidth="1"/>
    <col min="11" max="12" width="3.140625" bestFit="1" customWidth="1"/>
    <col min="33" max="33" width="11.85546875" bestFit="1" customWidth="1"/>
  </cols>
  <sheetData>
    <row r="1" spans="1:33" x14ac:dyDescent="0.25">
      <c r="A1" t="s">
        <v>25</v>
      </c>
    </row>
    <row r="2" spans="1:33" x14ac:dyDescent="0.25">
      <c r="A2" t="s">
        <v>26</v>
      </c>
      <c r="B2" t="s">
        <v>27</v>
      </c>
      <c r="C2" t="s">
        <v>28</v>
      </c>
      <c r="D2" t="s">
        <v>29</v>
      </c>
      <c r="E2" t="s">
        <v>30</v>
      </c>
    </row>
    <row r="3" spans="1:33" x14ac:dyDescent="0.25">
      <c r="B3" t="s">
        <v>31</v>
      </c>
      <c r="C3" t="s">
        <v>31</v>
      </c>
      <c r="D3" t="s">
        <v>31</v>
      </c>
      <c r="E3" t="s">
        <v>31</v>
      </c>
    </row>
    <row r="4" spans="1:33" x14ac:dyDescent="0.25">
      <c r="B4" t="s">
        <v>32</v>
      </c>
      <c r="C4" t="s">
        <v>33</v>
      </c>
      <c r="D4" t="s">
        <v>34</v>
      </c>
      <c r="E4" t="s">
        <v>34</v>
      </c>
    </row>
    <row r="5" spans="1:33" x14ac:dyDescent="0.25">
      <c r="A5" s="22">
        <v>41891.729166666664</v>
      </c>
      <c r="B5" s="23">
        <v>466.6</v>
      </c>
      <c r="C5">
        <v>94.3</v>
      </c>
      <c r="D5">
        <v>10.3</v>
      </c>
      <c r="E5">
        <v>6</v>
      </c>
      <c r="G5" s="23">
        <f>+DAY(A5)</f>
        <v>9</v>
      </c>
      <c r="H5" s="23">
        <f>+HOUR(A5)</f>
        <v>17</v>
      </c>
      <c r="K5">
        <v>9</v>
      </c>
      <c r="L5">
        <v>0</v>
      </c>
      <c r="M5" t="e">
        <f>+AVERAGEIF($H$5:$H$81,L5,$B$5:$B$81)</f>
        <v>#DIV/0!</v>
      </c>
      <c r="N5">
        <v>58</v>
      </c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</row>
    <row r="6" spans="1:33" x14ac:dyDescent="0.25">
      <c r="A6" s="22">
        <v>41891.732638888891</v>
      </c>
      <c r="B6" s="23">
        <v>467.4</v>
      </c>
      <c r="C6">
        <v>94.3</v>
      </c>
      <c r="D6">
        <v>10.1</v>
      </c>
      <c r="E6">
        <v>6</v>
      </c>
      <c r="G6" s="23">
        <f t="shared" ref="G6:G69" si="0">+DAY(A6)</f>
        <v>9</v>
      </c>
      <c r="H6" s="23">
        <f t="shared" ref="H6:H69" si="1">+HOUR(A6)</f>
        <v>17</v>
      </c>
      <c r="K6">
        <f>+K5</f>
        <v>9</v>
      </c>
      <c r="L6">
        <v>1</v>
      </c>
      <c r="M6" t="e">
        <f t="shared" ref="M6:M28" si="2">+AVERAGEIF($H$5:$H$81,L6,$B$5:$B$81)</f>
        <v>#DIV/0!</v>
      </c>
      <c r="N6">
        <v>92</v>
      </c>
      <c r="U6" s="24" t="s">
        <v>9</v>
      </c>
      <c r="V6" s="24" t="s">
        <v>35</v>
      </c>
      <c r="W6" s="24" t="s">
        <v>36</v>
      </c>
      <c r="X6" s="24" t="s">
        <v>37</v>
      </c>
      <c r="Y6" s="24" t="s">
        <v>38</v>
      </c>
      <c r="Z6" s="24" t="s">
        <v>39</v>
      </c>
      <c r="AA6" s="24" t="s">
        <v>40</v>
      </c>
      <c r="AB6" s="24" t="s">
        <v>41</v>
      </c>
      <c r="AC6" s="24" t="s">
        <v>42</v>
      </c>
      <c r="AD6" s="24" t="s">
        <v>43</v>
      </c>
      <c r="AE6" s="108"/>
      <c r="AF6" s="108"/>
      <c r="AG6" s="108"/>
    </row>
    <row r="7" spans="1:33" x14ac:dyDescent="0.25">
      <c r="A7" s="22">
        <v>41891.739583333336</v>
      </c>
      <c r="B7" s="23">
        <v>468.5</v>
      </c>
      <c r="C7">
        <v>94.2</v>
      </c>
      <c r="D7">
        <v>10.3</v>
      </c>
      <c r="E7">
        <v>6.1</v>
      </c>
      <c r="G7" s="23">
        <f t="shared" si="0"/>
        <v>9</v>
      </c>
      <c r="H7" s="23">
        <f t="shared" si="1"/>
        <v>17</v>
      </c>
      <c r="K7">
        <f t="shared" ref="K7:K28" si="3">+K6</f>
        <v>9</v>
      </c>
      <c r="L7">
        <v>2</v>
      </c>
      <c r="M7" t="e">
        <f t="shared" si="2"/>
        <v>#DIV/0!</v>
      </c>
      <c r="N7">
        <v>22</v>
      </c>
      <c r="U7" s="23">
        <v>100</v>
      </c>
      <c r="V7" s="23">
        <v>907.08</v>
      </c>
      <c r="W7" s="23">
        <v>6</v>
      </c>
      <c r="X7" s="23">
        <v>12</v>
      </c>
      <c r="Y7" s="23">
        <f>36*3600/1000</f>
        <v>129.6</v>
      </c>
      <c r="Z7" s="23">
        <v>30</v>
      </c>
      <c r="AA7" s="23">
        <v>36</v>
      </c>
      <c r="AB7" s="23">
        <f>42.7*3.6</f>
        <v>153.72000000000003</v>
      </c>
      <c r="AC7" s="23">
        <v>157.30000000000001</v>
      </c>
      <c r="AD7" s="23">
        <f>+V7/AC7</f>
        <v>5.7665607120152576</v>
      </c>
      <c r="AF7" s="23"/>
      <c r="AG7" s="23"/>
    </row>
    <row r="8" spans="1:33" x14ac:dyDescent="0.25">
      <c r="A8" s="22">
        <v>41891.743055555555</v>
      </c>
      <c r="B8" s="23">
        <v>468.3</v>
      </c>
      <c r="C8">
        <v>94.3</v>
      </c>
      <c r="D8">
        <v>10.3</v>
      </c>
      <c r="E8">
        <v>6.1</v>
      </c>
      <c r="G8" s="23">
        <f t="shared" si="0"/>
        <v>9</v>
      </c>
      <c r="H8" s="23">
        <f t="shared" si="1"/>
        <v>17</v>
      </c>
      <c r="K8">
        <f t="shared" si="3"/>
        <v>9</v>
      </c>
      <c r="L8">
        <v>3</v>
      </c>
      <c r="M8" t="e">
        <f t="shared" si="2"/>
        <v>#DIV/0!</v>
      </c>
      <c r="N8">
        <v>152</v>
      </c>
      <c r="Q8">
        <f>+SUM(M22:M74)</f>
        <v>22181.66333333333</v>
      </c>
      <c r="R8">
        <f>+SUM(N22:N74)</f>
        <v>7001</v>
      </c>
      <c r="U8" s="23">
        <v>90</v>
      </c>
      <c r="V8" s="23">
        <v>817</v>
      </c>
      <c r="W8" s="23">
        <v>6</v>
      </c>
      <c r="X8" s="23">
        <v>12</v>
      </c>
      <c r="Y8" s="23">
        <v>129.6</v>
      </c>
      <c r="Z8" s="23">
        <v>30</v>
      </c>
      <c r="AA8" s="23">
        <v>36</v>
      </c>
      <c r="AB8" s="23">
        <f>38.2*3.6</f>
        <v>137.52000000000001</v>
      </c>
      <c r="AC8" s="23">
        <v>143</v>
      </c>
      <c r="AD8" s="23">
        <f t="shared" ref="AD8:AD14" si="4">+V8/AC8</f>
        <v>5.7132867132867133</v>
      </c>
      <c r="AE8">
        <f>+AD8/$AD$7</f>
        <v>0.99076156458085285</v>
      </c>
      <c r="AF8" s="23"/>
      <c r="AG8" s="23"/>
    </row>
    <row r="9" spans="1:33" x14ac:dyDescent="0.25">
      <c r="A9" s="22">
        <v>41891.746527777781</v>
      </c>
      <c r="B9" s="23">
        <v>467.6</v>
      </c>
      <c r="C9">
        <v>94.2</v>
      </c>
      <c r="D9">
        <v>10.3</v>
      </c>
      <c r="E9">
        <v>6</v>
      </c>
      <c r="G9" s="23">
        <f t="shared" si="0"/>
        <v>9</v>
      </c>
      <c r="H9" s="23">
        <f t="shared" si="1"/>
        <v>17</v>
      </c>
      <c r="K9">
        <f t="shared" si="3"/>
        <v>9</v>
      </c>
      <c r="L9">
        <v>4</v>
      </c>
      <c r="M9" t="e">
        <f t="shared" si="2"/>
        <v>#DIV/0!</v>
      </c>
      <c r="N9">
        <v>41</v>
      </c>
      <c r="U9" s="23">
        <v>80</v>
      </c>
      <c r="V9" s="23">
        <v>726.3</v>
      </c>
      <c r="W9" s="23">
        <v>6</v>
      </c>
      <c r="X9" s="23">
        <v>12</v>
      </c>
      <c r="Y9" s="23">
        <v>129.6</v>
      </c>
      <c r="Z9" s="23">
        <v>30</v>
      </c>
      <c r="AA9" s="23">
        <v>36</v>
      </c>
      <c r="AB9" s="23">
        <f>34*3.6</f>
        <v>122.4</v>
      </c>
      <c r="AC9" s="23">
        <v>129.4</v>
      </c>
      <c r="AD9" s="23">
        <f t="shared" si="4"/>
        <v>5.6128284389489949</v>
      </c>
      <c r="AE9">
        <f t="shared" ref="AE9:AE14" si="5">+AD9/$AD$7</f>
        <v>0.97334073449604985</v>
      </c>
      <c r="AF9" s="23"/>
      <c r="AG9" s="23"/>
    </row>
    <row r="10" spans="1:33" x14ac:dyDescent="0.25">
      <c r="A10" s="22">
        <v>41891.75</v>
      </c>
      <c r="B10" s="23">
        <v>467.2</v>
      </c>
      <c r="C10">
        <v>94.2</v>
      </c>
      <c r="D10">
        <v>10.199999999999999</v>
      </c>
      <c r="E10">
        <v>6</v>
      </c>
      <c r="G10" s="23">
        <f t="shared" si="0"/>
        <v>9</v>
      </c>
      <c r="H10" s="23">
        <f t="shared" si="1"/>
        <v>18</v>
      </c>
      <c r="K10">
        <f t="shared" si="3"/>
        <v>9</v>
      </c>
      <c r="L10">
        <v>5</v>
      </c>
      <c r="M10" t="e">
        <f t="shared" si="2"/>
        <v>#DIV/0!</v>
      </c>
      <c r="N10">
        <v>138</v>
      </c>
      <c r="U10" s="23">
        <v>70</v>
      </c>
      <c r="V10" s="23">
        <v>635.5</v>
      </c>
      <c r="W10" s="23">
        <v>6</v>
      </c>
      <c r="X10" s="23">
        <v>12</v>
      </c>
      <c r="Y10" s="23">
        <v>129.6</v>
      </c>
      <c r="Z10" s="23">
        <v>30</v>
      </c>
      <c r="AA10" s="23">
        <v>36</v>
      </c>
      <c r="AB10" s="23">
        <f>29.9*3.6</f>
        <v>107.64</v>
      </c>
      <c r="AC10" s="23">
        <v>116.2</v>
      </c>
      <c r="AD10" s="23">
        <f t="shared" si="4"/>
        <v>5.4690189328743548</v>
      </c>
      <c r="AE10">
        <f t="shared" si="5"/>
        <v>0.94840221164741367</v>
      </c>
      <c r="AF10" s="23"/>
      <c r="AG10" s="23"/>
    </row>
    <row r="11" spans="1:33" x14ac:dyDescent="0.25">
      <c r="A11" s="22">
        <v>41891.753472222219</v>
      </c>
      <c r="B11" s="23">
        <v>470.2</v>
      </c>
      <c r="C11">
        <v>94.3</v>
      </c>
      <c r="D11">
        <v>10.199999999999999</v>
      </c>
      <c r="E11">
        <v>5.9</v>
      </c>
      <c r="G11" s="23">
        <f t="shared" si="0"/>
        <v>9</v>
      </c>
      <c r="H11" s="23">
        <f t="shared" si="1"/>
        <v>18</v>
      </c>
      <c r="K11">
        <f t="shared" si="3"/>
        <v>9</v>
      </c>
      <c r="L11">
        <v>6</v>
      </c>
      <c r="M11" t="e">
        <f t="shared" si="2"/>
        <v>#DIV/0!</v>
      </c>
      <c r="N11">
        <v>102</v>
      </c>
      <c r="U11" s="23">
        <v>60</v>
      </c>
      <c r="V11" s="23">
        <v>544.70000000000005</v>
      </c>
      <c r="W11" s="23">
        <v>6</v>
      </c>
      <c r="X11" s="23">
        <v>12</v>
      </c>
      <c r="Y11" s="23">
        <v>129.6</v>
      </c>
      <c r="Z11" s="23">
        <v>30</v>
      </c>
      <c r="AA11" s="23">
        <v>35.5</v>
      </c>
      <c r="AB11" s="23">
        <f>28*3.6</f>
        <v>100.8</v>
      </c>
      <c r="AC11" s="23">
        <v>101.7</v>
      </c>
      <c r="AD11" s="23">
        <f t="shared" si="4"/>
        <v>5.355948869223206</v>
      </c>
      <c r="AE11">
        <f t="shared" si="5"/>
        <v>0.92879432589056121</v>
      </c>
      <c r="AF11" s="23"/>
      <c r="AG11" s="23"/>
    </row>
    <row r="12" spans="1:33" x14ac:dyDescent="0.25">
      <c r="A12" s="22">
        <v>41891.756944444445</v>
      </c>
      <c r="B12" s="23">
        <v>469.3</v>
      </c>
      <c r="C12">
        <v>94.3</v>
      </c>
      <c r="D12">
        <v>10.199999999999999</v>
      </c>
      <c r="E12">
        <v>5.9</v>
      </c>
      <c r="G12" s="23">
        <f t="shared" si="0"/>
        <v>9</v>
      </c>
      <c r="H12" s="23">
        <f t="shared" si="1"/>
        <v>18</v>
      </c>
      <c r="K12">
        <f t="shared" si="3"/>
        <v>9</v>
      </c>
      <c r="L12">
        <v>7</v>
      </c>
      <c r="M12" t="e">
        <f t="shared" si="2"/>
        <v>#DIV/0!</v>
      </c>
      <c r="N12">
        <v>60</v>
      </c>
      <c r="U12" s="23">
        <v>50</v>
      </c>
      <c r="V12" s="23">
        <v>453.9</v>
      </c>
      <c r="W12" s="23">
        <v>6</v>
      </c>
      <c r="X12" s="23">
        <v>12</v>
      </c>
      <c r="Y12" s="23">
        <v>129.6</v>
      </c>
      <c r="Z12" s="23">
        <v>30</v>
      </c>
      <c r="AA12" s="23">
        <v>34.6</v>
      </c>
      <c r="AB12" s="23">
        <v>100.8</v>
      </c>
      <c r="AC12" s="23">
        <v>86.1</v>
      </c>
      <c r="AD12" s="23">
        <f t="shared" si="4"/>
        <v>5.2717770034843205</v>
      </c>
      <c r="AE12">
        <f t="shared" si="5"/>
        <v>0.9141977804031437</v>
      </c>
      <c r="AF12" s="23"/>
      <c r="AG12" s="23"/>
    </row>
    <row r="13" spans="1:33" x14ac:dyDescent="0.25">
      <c r="A13" s="22">
        <v>41891.760416666664</v>
      </c>
      <c r="B13" s="23">
        <v>470.1</v>
      </c>
      <c r="C13">
        <v>94.2</v>
      </c>
      <c r="D13">
        <v>10.199999999999999</v>
      </c>
      <c r="E13">
        <v>5.9</v>
      </c>
      <c r="G13" s="23">
        <f t="shared" si="0"/>
        <v>9</v>
      </c>
      <c r="H13" s="23">
        <f t="shared" si="1"/>
        <v>18</v>
      </c>
      <c r="K13">
        <f t="shared" si="3"/>
        <v>9</v>
      </c>
      <c r="L13">
        <v>8</v>
      </c>
      <c r="M13" t="e">
        <f t="shared" si="2"/>
        <v>#DIV/0!</v>
      </c>
      <c r="N13">
        <v>64</v>
      </c>
      <c r="U13" s="23">
        <v>40</v>
      </c>
      <c r="V13" s="23">
        <v>363.1</v>
      </c>
      <c r="W13" s="23">
        <v>6</v>
      </c>
      <c r="X13" s="23">
        <v>10.8</v>
      </c>
      <c r="Y13" s="23">
        <v>129.6</v>
      </c>
      <c r="Z13" s="23">
        <v>30</v>
      </c>
      <c r="AA13" s="23">
        <v>33.700000000000003</v>
      </c>
      <c r="AB13" s="23">
        <v>100.8</v>
      </c>
      <c r="AC13" s="23">
        <v>72.8</v>
      </c>
      <c r="AD13" s="23">
        <f t="shared" si="4"/>
        <v>4.9876373626373631</v>
      </c>
      <c r="AE13">
        <f t="shared" si="5"/>
        <v>0.86492410497735284</v>
      </c>
      <c r="AF13" s="23"/>
      <c r="AG13" s="23"/>
    </row>
    <row r="14" spans="1:33" x14ac:dyDescent="0.25">
      <c r="A14" s="22">
        <v>41891.763888888891</v>
      </c>
      <c r="B14" s="23">
        <v>472.7</v>
      </c>
      <c r="C14">
        <v>94.2</v>
      </c>
      <c r="D14">
        <v>10.199999999999999</v>
      </c>
      <c r="E14">
        <v>5.9</v>
      </c>
      <c r="G14" s="23">
        <f t="shared" si="0"/>
        <v>9</v>
      </c>
      <c r="H14" s="23">
        <f t="shared" si="1"/>
        <v>18</v>
      </c>
      <c r="K14">
        <f t="shared" si="3"/>
        <v>9</v>
      </c>
      <c r="L14">
        <v>9</v>
      </c>
      <c r="M14" t="e">
        <f t="shared" si="2"/>
        <v>#DIV/0!</v>
      </c>
      <c r="N14">
        <v>129</v>
      </c>
      <c r="U14" s="23">
        <v>30</v>
      </c>
      <c r="V14" s="23">
        <v>272.3</v>
      </c>
      <c r="W14" s="23">
        <v>6</v>
      </c>
      <c r="X14" s="23">
        <v>9.5</v>
      </c>
      <c r="Y14" s="23">
        <v>129.6</v>
      </c>
      <c r="Z14" s="23">
        <v>30</v>
      </c>
      <c r="AA14" s="23">
        <v>32.799999999999997</v>
      </c>
      <c r="AB14" s="23">
        <v>100.8</v>
      </c>
      <c r="AC14" s="23">
        <v>63.6</v>
      </c>
      <c r="AD14" s="23">
        <f t="shared" si="4"/>
        <v>4.2814465408805029</v>
      </c>
      <c r="AE14">
        <f t="shared" si="5"/>
        <v>0.74246101874201076</v>
      </c>
      <c r="AF14" s="23"/>
      <c r="AG14" s="23"/>
    </row>
    <row r="15" spans="1:33" x14ac:dyDescent="0.25">
      <c r="A15" s="22">
        <v>41891.767361111109</v>
      </c>
      <c r="B15" s="23">
        <v>472.1</v>
      </c>
      <c r="C15">
        <v>94.2</v>
      </c>
      <c r="D15">
        <v>10.4</v>
      </c>
      <c r="E15">
        <v>6.1</v>
      </c>
      <c r="G15" s="23">
        <f t="shared" si="0"/>
        <v>9</v>
      </c>
      <c r="H15" s="23">
        <f t="shared" si="1"/>
        <v>18</v>
      </c>
      <c r="K15">
        <f t="shared" si="3"/>
        <v>9</v>
      </c>
      <c r="L15">
        <v>10</v>
      </c>
      <c r="M15" t="e">
        <f t="shared" si="2"/>
        <v>#DIV/0!</v>
      </c>
      <c r="N15">
        <v>102</v>
      </c>
      <c r="U15" s="23">
        <v>20</v>
      </c>
      <c r="V15" s="23"/>
      <c r="W15" s="23"/>
      <c r="X15" s="23"/>
      <c r="Y15" s="23"/>
      <c r="Z15" s="23"/>
      <c r="AA15" s="23"/>
      <c r="AB15" s="23"/>
      <c r="AC15" s="23"/>
      <c r="AD15" s="23"/>
      <c r="AF15" s="23"/>
      <c r="AG15" s="23"/>
    </row>
    <row r="16" spans="1:33" x14ac:dyDescent="0.25">
      <c r="A16" s="22">
        <v>41891.770833333336</v>
      </c>
      <c r="B16" s="23">
        <v>465.8</v>
      </c>
      <c r="C16">
        <v>94.3</v>
      </c>
      <c r="D16">
        <v>10.3</v>
      </c>
      <c r="E16">
        <v>6</v>
      </c>
      <c r="G16" s="23">
        <f t="shared" si="0"/>
        <v>9</v>
      </c>
      <c r="H16" s="23">
        <f t="shared" si="1"/>
        <v>18</v>
      </c>
      <c r="K16">
        <f t="shared" si="3"/>
        <v>9</v>
      </c>
      <c r="L16">
        <v>11</v>
      </c>
      <c r="M16" t="e">
        <f t="shared" si="2"/>
        <v>#DIV/0!</v>
      </c>
      <c r="N16">
        <v>100</v>
      </c>
      <c r="W16" s="23"/>
    </row>
    <row r="17" spans="1:49" x14ac:dyDescent="0.25">
      <c r="A17" s="22">
        <v>41891.774305555555</v>
      </c>
      <c r="B17" s="23">
        <v>466.6</v>
      </c>
      <c r="C17">
        <v>94.3</v>
      </c>
      <c r="D17">
        <v>10.3</v>
      </c>
      <c r="E17">
        <v>6</v>
      </c>
      <c r="G17" s="23">
        <f t="shared" si="0"/>
        <v>9</v>
      </c>
      <c r="H17" s="23">
        <f t="shared" si="1"/>
        <v>18</v>
      </c>
      <c r="K17">
        <f t="shared" si="3"/>
        <v>9</v>
      </c>
      <c r="L17">
        <v>12</v>
      </c>
      <c r="M17" t="e">
        <f t="shared" si="2"/>
        <v>#DIV/0!</v>
      </c>
      <c r="N17">
        <v>129</v>
      </c>
    </row>
    <row r="18" spans="1:49" x14ac:dyDescent="0.25">
      <c r="A18" s="22">
        <v>41891.777777777781</v>
      </c>
      <c r="B18" s="23">
        <v>468.2</v>
      </c>
      <c r="C18">
        <v>94.2</v>
      </c>
      <c r="D18">
        <v>10.4</v>
      </c>
      <c r="E18">
        <v>6.1</v>
      </c>
      <c r="G18" s="23">
        <f t="shared" si="0"/>
        <v>9</v>
      </c>
      <c r="H18" s="23">
        <f t="shared" si="1"/>
        <v>18</v>
      </c>
      <c r="K18">
        <f t="shared" si="3"/>
        <v>9</v>
      </c>
      <c r="L18">
        <v>13</v>
      </c>
      <c r="M18" t="e">
        <f t="shared" si="2"/>
        <v>#DIV/0!</v>
      </c>
      <c r="N18">
        <v>60</v>
      </c>
      <c r="W18" s="23"/>
      <c r="Y18" s="23"/>
      <c r="AS18" s="673" t="s">
        <v>42</v>
      </c>
      <c r="AT18" s="673"/>
      <c r="AU18" s="673"/>
      <c r="AV18" s="673"/>
    </row>
    <row r="19" spans="1:49" ht="15.75" thickBot="1" x14ac:dyDescent="0.3">
      <c r="A19" s="22">
        <v>41891.78125</v>
      </c>
      <c r="B19" s="23">
        <v>469.3</v>
      </c>
      <c r="C19">
        <v>94.2</v>
      </c>
      <c r="D19">
        <v>10.4</v>
      </c>
      <c r="E19">
        <v>6.2</v>
      </c>
      <c r="G19" s="23">
        <f t="shared" si="0"/>
        <v>9</v>
      </c>
      <c r="H19" s="23">
        <f t="shared" si="1"/>
        <v>18</v>
      </c>
      <c r="K19">
        <f t="shared" si="3"/>
        <v>9</v>
      </c>
      <c r="L19">
        <v>14</v>
      </c>
      <c r="M19" t="e">
        <f t="shared" si="2"/>
        <v>#DIV/0!</v>
      </c>
      <c r="N19">
        <v>140</v>
      </c>
      <c r="AA19" s="673" t="s">
        <v>43</v>
      </c>
      <c r="AB19" s="673"/>
      <c r="AC19" s="673"/>
      <c r="AD19" s="673"/>
      <c r="AS19" s="673" t="s">
        <v>44</v>
      </c>
      <c r="AT19" s="673"/>
      <c r="AU19" s="673"/>
      <c r="AV19" s="673"/>
    </row>
    <row r="20" spans="1:49" x14ac:dyDescent="0.25">
      <c r="A20" s="22">
        <v>41891.784722222219</v>
      </c>
      <c r="B20" s="23">
        <v>473.3</v>
      </c>
      <c r="C20">
        <v>94.2</v>
      </c>
      <c r="D20">
        <v>10.5</v>
      </c>
      <c r="E20">
        <v>6.2</v>
      </c>
      <c r="G20" s="23">
        <f t="shared" si="0"/>
        <v>9</v>
      </c>
      <c r="H20" s="23">
        <f t="shared" si="1"/>
        <v>18</v>
      </c>
      <c r="K20">
        <f t="shared" si="3"/>
        <v>9</v>
      </c>
      <c r="L20">
        <v>15</v>
      </c>
      <c r="M20" t="e">
        <f t="shared" si="2"/>
        <v>#DIV/0!</v>
      </c>
      <c r="N20">
        <v>93</v>
      </c>
      <c r="AA20" s="673" t="s">
        <v>44</v>
      </c>
      <c r="AB20" s="673"/>
      <c r="AC20" s="673"/>
      <c r="AD20" s="673"/>
      <c r="AG20" s="674" t="s">
        <v>9</v>
      </c>
      <c r="AH20" s="25">
        <v>7</v>
      </c>
      <c r="AI20" s="26" t="s">
        <v>45</v>
      </c>
      <c r="AR20" s="107" t="s">
        <v>46</v>
      </c>
      <c r="AS20" s="28">
        <v>5</v>
      </c>
      <c r="AT20" s="29">
        <v>6</v>
      </c>
      <c r="AU20" s="28">
        <v>7</v>
      </c>
      <c r="AV20" s="28">
        <v>8</v>
      </c>
      <c r="AW20" s="28">
        <v>9</v>
      </c>
    </row>
    <row r="21" spans="1:49" x14ac:dyDescent="0.25">
      <c r="A21" s="22">
        <v>41891.788194444445</v>
      </c>
      <c r="B21" s="23">
        <v>474.3</v>
      </c>
      <c r="C21">
        <v>94.4</v>
      </c>
      <c r="D21">
        <v>10.6</v>
      </c>
      <c r="E21">
        <v>6.3</v>
      </c>
      <c r="G21" s="23">
        <f t="shared" si="0"/>
        <v>9</v>
      </c>
      <c r="H21" s="23">
        <f t="shared" si="1"/>
        <v>18</v>
      </c>
      <c r="K21">
        <f t="shared" si="3"/>
        <v>9</v>
      </c>
      <c r="L21">
        <v>16</v>
      </c>
      <c r="M21" t="e">
        <f t="shared" si="2"/>
        <v>#DIV/0!</v>
      </c>
      <c r="N21">
        <v>80</v>
      </c>
      <c r="U21" s="24" t="s">
        <v>45</v>
      </c>
      <c r="V21" s="24" t="s">
        <v>46</v>
      </c>
      <c r="W21" s="24" t="s">
        <v>43</v>
      </c>
      <c r="X21" s="24" t="s">
        <v>42</v>
      </c>
      <c r="Z21" s="107" t="s">
        <v>46</v>
      </c>
      <c r="AA21" s="28">
        <v>5</v>
      </c>
      <c r="AB21" s="29">
        <v>6</v>
      </c>
      <c r="AC21" s="28">
        <v>7</v>
      </c>
      <c r="AD21" s="28">
        <v>8</v>
      </c>
      <c r="AE21" s="28">
        <v>9</v>
      </c>
      <c r="AG21" s="675"/>
      <c r="AH21" s="30">
        <v>30</v>
      </c>
      <c r="AI21" s="31" t="s">
        <v>46</v>
      </c>
      <c r="AR21" s="32">
        <v>25</v>
      </c>
      <c r="AS21" s="33">
        <f>-6.42*AR21+743.47</f>
        <v>582.97</v>
      </c>
      <c r="AT21" s="33">
        <f>21.678*AT20+474.31</f>
        <v>604.37800000000004</v>
      </c>
      <c r="AU21" s="33">
        <f>-6.71*AR21+793.27</f>
        <v>625.52</v>
      </c>
      <c r="AV21" s="33">
        <f>21.678*AV20+474.31</f>
        <v>647.73400000000004</v>
      </c>
      <c r="AW21" s="33">
        <f t="shared" ref="AW21:AW31" si="6">-6.99*AR21+844.43</f>
        <v>669.68</v>
      </c>
    </row>
    <row r="22" spans="1:49" x14ac:dyDescent="0.25">
      <c r="A22" s="22">
        <v>41891.791666666664</v>
      </c>
      <c r="B22" s="23">
        <v>472.4</v>
      </c>
      <c r="C22">
        <v>94.3</v>
      </c>
      <c r="D22">
        <v>10.5</v>
      </c>
      <c r="E22">
        <v>6.2</v>
      </c>
      <c r="G22" s="23">
        <f t="shared" si="0"/>
        <v>9</v>
      </c>
      <c r="H22" s="23">
        <f t="shared" si="1"/>
        <v>19</v>
      </c>
      <c r="K22">
        <f t="shared" si="3"/>
        <v>9</v>
      </c>
      <c r="L22">
        <v>17</v>
      </c>
      <c r="M22">
        <f t="shared" si="2"/>
        <v>467.68</v>
      </c>
      <c r="N22">
        <v>122</v>
      </c>
      <c r="O22">
        <f>+M22/N22</f>
        <v>3.8334426229508196</v>
      </c>
      <c r="P22">
        <f>+Q8/R8</f>
        <v>3.1683564252725795</v>
      </c>
      <c r="Q22" s="5">
        <f>+M22/588</f>
        <v>0.79537414965986397</v>
      </c>
      <c r="R22" s="34">
        <f>+AVERAGE(Q22:Q49)</f>
        <v>0.71653840702947846</v>
      </c>
      <c r="U22" s="109">
        <v>5</v>
      </c>
      <c r="V22" s="109">
        <v>25</v>
      </c>
      <c r="W22" s="109">
        <v>5.7</v>
      </c>
      <c r="X22" s="109">
        <v>582.6</v>
      </c>
      <c r="Z22" s="32">
        <v>25</v>
      </c>
      <c r="AA22">
        <f>-0.16*Z22+9.7</f>
        <v>5.6999999999999993</v>
      </c>
      <c r="AB22">
        <f>-0.0104*AB21^2+0.316*AB21+4.3794</f>
        <v>5.9009999999999998</v>
      </c>
      <c r="AC22">
        <f t="shared" ref="AC22:AC32" si="7">-0.17*Z22+10.333</f>
        <v>6.0830000000000002</v>
      </c>
      <c r="AD22">
        <f>-0.0104*AD21^2+0.316*AD21+4.3794</f>
        <v>6.2418000000000005</v>
      </c>
      <c r="AE22">
        <f t="shared" ref="AE22:AE32" si="8">-0.17*Z22+10.633</f>
        <v>6.3829999999999991</v>
      </c>
      <c r="AG22" s="110">
        <v>100</v>
      </c>
      <c r="AH22" s="35">
        <v>5.9</v>
      </c>
      <c r="AI22" s="36">
        <v>930</v>
      </c>
      <c r="AR22" s="32">
        <v>26</v>
      </c>
      <c r="AS22" s="33">
        <f t="shared" ref="AS22:AS31" si="9">-6.42*AR22+743.47</f>
        <v>576.55000000000007</v>
      </c>
      <c r="AT22" s="33">
        <f>21.535*AT20+468.61</f>
        <v>597.82000000000005</v>
      </c>
      <c r="AU22" s="33">
        <f t="shared" ref="AU22:AU31" si="10">-6.71*AR22+793.27</f>
        <v>618.80999999999995</v>
      </c>
      <c r="AV22" s="33">
        <f>21.535*AV20+468.61</f>
        <v>640.89</v>
      </c>
      <c r="AW22" s="33">
        <f t="shared" si="6"/>
        <v>662.68999999999994</v>
      </c>
    </row>
    <row r="23" spans="1:49" x14ac:dyDescent="0.25">
      <c r="A23" s="22">
        <v>41891.795138888891</v>
      </c>
      <c r="B23" s="23">
        <v>474.5</v>
      </c>
      <c r="C23">
        <v>94.2</v>
      </c>
      <c r="D23">
        <v>10.5</v>
      </c>
      <c r="E23">
        <v>6.2</v>
      </c>
      <c r="G23" s="23">
        <f t="shared" si="0"/>
        <v>9</v>
      </c>
      <c r="H23" s="23">
        <f t="shared" si="1"/>
        <v>19</v>
      </c>
      <c r="K23">
        <f t="shared" si="3"/>
        <v>9</v>
      </c>
      <c r="L23">
        <v>18</v>
      </c>
      <c r="M23">
        <f t="shared" si="2"/>
        <v>469.92500000000001</v>
      </c>
      <c r="N23">
        <v>116</v>
      </c>
      <c r="O23">
        <f t="shared" ref="O23:O78" si="11">+M23/N23</f>
        <v>4.0510775862068966</v>
      </c>
      <c r="P23">
        <f>+P22</f>
        <v>3.1683564252725795</v>
      </c>
      <c r="Q23" s="5">
        <f t="shared" ref="Q23:Q74" si="12">+M23/588</f>
        <v>0.79919217687074828</v>
      </c>
      <c r="R23" s="34">
        <f>+R22</f>
        <v>0.71653840702947846</v>
      </c>
      <c r="U23" s="109">
        <v>5</v>
      </c>
      <c r="V23" s="109">
        <v>30</v>
      </c>
      <c r="W23" s="109">
        <v>4.9000000000000004</v>
      </c>
      <c r="X23" s="109">
        <v>551.6</v>
      </c>
      <c r="Z23" s="32">
        <v>26</v>
      </c>
      <c r="AA23">
        <f t="shared" ref="AA23:AA32" si="13">-0.16*Z23+9.7</f>
        <v>5.5399999999999991</v>
      </c>
      <c r="AB23">
        <f>-0.0091*AB21^2+0.296*AB21+4.2881</f>
        <v>5.7364999999999995</v>
      </c>
      <c r="AC23">
        <f t="shared" si="7"/>
        <v>5.9130000000000003</v>
      </c>
      <c r="AD23">
        <f>-0.0091*AD21^2+0.296*AD21+4.2881</f>
        <v>6.0736999999999997</v>
      </c>
      <c r="AE23">
        <f t="shared" si="8"/>
        <v>6.2129999999999992</v>
      </c>
      <c r="AG23" s="110">
        <v>90</v>
      </c>
      <c r="AH23" s="35">
        <f t="shared" ref="AH23:AH29" si="14">+$AH$22*AE8</f>
        <v>5.8454932310270324</v>
      </c>
      <c r="AI23" s="36">
        <f t="shared" ref="AI23:AI30" si="15">+AG23*$AI$22/100</f>
        <v>837</v>
      </c>
      <c r="AR23" s="32">
        <v>27</v>
      </c>
      <c r="AS23" s="33">
        <f t="shared" si="9"/>
        <v>570.13</v>
      </c>
      <c r="AT23" s="33">
        <f>21.392*AT20+462.9</f>
        <v>591.25199999999995</v>
      </c>
      <c r="AU23" s="33">
        <f t="shared" si="10"/>
        <v>612.1</v>
      </c>
      <c r="AV23" s="33">
        <f>21.392*AV20+462.9</f>
        <v>634.03599999999994</v>
      </c>
      <c r="AW23" s="33">
        <f t="shared" si="6"/>
        <v>655.69999999999993</v>
      </c>
    </row>
    <row r="24" spans="1:49" x14ac:dyDescent="0.25">
      <c r="A24" s="22">
        <v>41891.798611111109</v>
      </c>
      <c r="B24" s="23">
        <v>475.4</v>
      </c>
      <c r="C24">
        <v>94.2</v>
      </c>
      <c r="D24">
        <v>10.6</v>
      </c>
      <c r="E24">
        <v>6.2</v>
      </c>
      <c r="G24" s="23">
        <f t="shared" si="0"/>
        <v>9</v>
      </c>
      <c r="H24" s="23">
        <f t="shared" si="1"/>
        <v>19</v>
      </c>
      <c r="K24">
        <f t="shared" si="3"/>
        <v>9</v>
      </c>
      <c r="L24">
        <v>19</v>
      </c>
      <c r="M24">
        <f t="shared" si="2"/>
        <v>475.75833333333338</v>
      </c>
      <c r="N24">
        <v>129</v>
      </c>
      <c r="O24">
        <f t="shared" si="11"/>
        <v>3.6880490956072354</v>
      </c>
      <c r="P24">
        <f t="shared" ref="P24:P49" si="16">+P23</f>
        <v>3.1683564252725795</v>
      </c>
      <c r="Q24" s="5">
        <f t="shared" si="12"/>
        <v>0.80911281179138328</v>
      </c>
      <c r="R24" s="34">
        <f t="shared" ref="R24:R76" si="17">+R23</f>
        <v>0.71653840702947846</v>
      </c>
      <c r="U24" s="109">
        <v>5</v>
      </c>
      <c r="V24" s="109">
        <v>35</v>
      </c>
      <c r="W24" s="109">
        <v>4.0999999999999996</v>
      </c>
      <c r="X24" s="109">
        <v>518.4</v>
      </c>
      <c r="Z24" s="32">
        <v>27</v>
      </c>
      <c r="AA24">
        <f t="shared" si="13"/>
        <v>5.379999999999999</v>
      </c>
      <c r="AB24">
        <f>-0.0079*AB21^2+0.276*AB21+4.1969</f>
        <v>5.5685000000000002</v>
      </c>
      <c r="AC24">
        <f t="shared" si="7"/>
        <v>5.7429999999999994</v>
      </c>
      <c r="AD24">
        <f>-0.0079*AD21^2+0.276*AD21+4.1969</f>
        <v>5.8993000000000002</v>
      </c>
      <c r="AE24">
        <f t="shared" si="8"/>
        <v>6.0429999999999984</v>
      </c>
      <c r="AG24" s="110">
        <v>80</v>
      </c>
      <c r="AH24" s="35">
        <f t="shared" si="14"/>
        <v>5.7427103335266949</v>
      </c>
      <c r="AI24" s="36">
        <f t="shared" si="15"/>
        <v>744</v>
      </c>
      <c r="AR24" s="32">
        <v>28</v>
      </c>
      <c r="AS24" s="33">
        <f t="shared" si="9"/>
        <v>563.71</v>
      </c>
      <c r="AT24" s="33">
        <f>21.25*AT20+457.19</f>
        <v>584.69000000000005</v>
      </c>
      <c r="AU24" s="33">
        <f t="shared" si="10"/>
        <v>605.39</v>
      </c>
      <c r="AV24" s="33">
        <f>21.25*AV20+457.19</f>
        <v>627.19000000000005</v>
      </c>
      <c r="AW24" s="33">
        <f t="shared" si="6"/>
        <v>648.70999999999992</v>
      </c>
    </row>
    <row r="25" spans="1:49" x14ac:dyDescent="0.25">
      <c r="A25" s="22">
        <v>41891.802083333336</v>
      </c>
      <c r="B25" s="23">
        <v>479.5</v>
      </c>
      <c r="C25">
        <v>94.4</v>
      </c>
      <c r="D25">
        <v>10.6</v>
      </c>
      <c r="E25">
        <v>6.2</v>
      </c>
      <c r="G25" s="23">
        <f t="shared" si="0"/>
        <v>9</v>
      </c>
      <c r="H25" s="23">
        <f t="shared" si="1"/>
        <v>19</v>
      </c>
      <c r="K25">
        <f t="shared" si="3"/>
        <v>9</v>
      </c>
      <c r="L25">
        <v>20</v>
      </c>
      <c r="M25">
        <f t="shared" si="2"/>
        <v>476.01666666666671</v>
      </c>
      <c r="N25">
        <v>120</v>
      </c>
      <c r="O25">
        <f t="shared" si="11"/>
        <v>3.9668055555555557</v>
      </c>
      <c r="P25">
        <f t="shared" si="16"/>
        <v>3.1683564252725795</v>
      </c>
      <c r="Q25" s="5">
        <f t="shared" si="12"/>
        <v>0.80955215419501136</v>
      </c>
      <c r="R25" s="34">
        <f t="shared" si="17"/>
        <v>0.71653840702947846</v>
      </c>
      <c r="U25" s="109">
        <v>7</v>
      </c>
      <c r="V25" s="109">
        <v>25</v>
      </c>
      <c r="W25" s="109">
        <v>6.1</v>
      </c>
      <c r="X25" s="109">
        <v>625.1</v>
      </c>
      <c r="Z25" s="32">
        <v>28</v>
      </c>
      <c r="AA25">
        <f t="shared" si="13"/>
        <v>5.2199999999999989</v>
      </c>
      <c r="AB25">
        <f>-0.0066*AB21^2+0.256*AB21+4.1056</f>
        <v>5.4039999999999999</v>
      </c>
      <c r="AC25">
        <f t="shared" si="7"/>
        <v>5.5729999999999995</v>
      </c>
      <c r="AD25">
        <f>-0.0066*AD21^2+0.256*AD21+4.1056</f>
        <v>5.7311999999999994</v>
      </c>
      <c r="AE25">
        <f t="shared" si="8"/>
        <v>5.8729999999999984</v>
      </c>
      <c r="AG25" s="110">
        <v>70</v>
      </c>
      <c r="AH25" s="35">
        <f t="shared" si="14"/>
        <v>5.595573048719741</v>
      </c>
      <c r="AI25" s="36">
        <f t="shared" si="15"/>
        <v>651</v>
      </c>
      <c r="AR25" s="32">
        <v>29</v>
      </c>
      <c r="AS25" s="33">
        <f t="shared" si="9"/>
        <v>557.29</v>
      </c>
      <c r="AT25" s="33">
        <f>21.108*AT20+451.48</f>
        <v>578.12800000000004</v>
      </c>
      <c r="AU25" s="33">
        <f t="shared" si="10"/>
        <v>598.67999999999995</v>
      </c>
      <c r="AV25" s="33">
        <f>21.108*AV20+451.48</f>
        <v>620.34400000000005</v>
      </c>
      <c r="AW25" s="33">
        <f t="shared" si="6"/>
        <v>641.71999999999991</v>
      </c>
    </row>
    <row r="26" spans="1:49" x14ac:dyDescent="0.25">
      <c r="A26" s="22">
        <v>41891.805555555555</v>
      </c>
      <c r="B26" s="23">
        <v>476</v>
      </c>
      <c r="C26">
        <v>94.2</v>
      </c>
      <c r="D26">
        <v>10.6</v>
      </c>
      <c r="E26">
        <v>6.2</v>
      </c>
      <c r="G26" s="23">
        <f t="shared" si="0"/>
        <v>9</v>
      </c>
      <c r="H26" s="23">
        <f t="shared" si="1"/>
        <v>19</v>
      </c>
      <c r="K26">
        <f t="shared" si="3"/>
        <v>9</v>
      </c>
      <c r="L26">
        <v>21</v>
      </c>
      <c r="M26">
        <f t="shared" si="2"/>
        <v>473.7833333333333</v>
      </c>
      <c r="N26">
        <v>101</v>
      </c>
      <c r="O26">
        <f t="shared" si="11"/>
        <v>4.690924092409241</v>
      </c>
      <c r="P26">
        <f t="shared" si="16"/>
        <v>3.1683564252725795</v>
      </c>
      <c r="Q26" s="5">
        <f t="shared" si="12"/>
        <v>0.80575396825396817</v>
      </c>
      <c r="R26" s="34">
        <f t="shared" si="17"/>
        <v>0.71653840702947846</v>
      </c>
      <c r="U26" s="109">
        <v>7</v>
      </c>
      <c r="V26" s="109">
        <v>30</v>
      </c>
      <c r="W26" s="109">
        <v>5.2</v>
      </c>
      <c r="X26" s="109">
        <v>592.79999999999995</v>
      </c>
      <c r="Z26" s="32">
        <v>29</v>
      </c>
      <c r="AA26">
        <f t="shared" si="13"/>
        <v>5.0599999999999996</v>
      </c>
      <c r="AB26">
        <f>-0.0054*AB21^2+0.236*AB21+4.0144</f>
        <v>5.2360000000000007</v>
      </c>
      <c r="AC26">
        <f t="shared" si="7"/>
        <v>5.4029999999999996</v>
      </c>
      <c r="AD26">
        <f>-0.0054*AD21^2+0.236*AD21+4.0144</f>
        <v>5.5568</v>
      </c>
      <c r="AE26">
        <f t="shared" si="8"/>
        <v>5.7029999999999985</v>
      </c>
      <c r="AG26" s="110">
        <v>60</v>
      </c>
      <c r="AH26" s="35">
        <f t="shared" si="14"/>
        <v>5.4798865227543114</v>
      </c>
      <c r="AI26" s="36">
        <f t="shared" si="15"/>
        <v>558</v>
      </c>
      <c r="AR26" s="32">
        <v>30</v>
      </c>
      <c r="AS26" s="33">
        <f t="shared" si="9"/>
        <v>550.87</v>
      </c>
      <c r="AT26" s="33">
        <f>20.965*AT20+445.77</f>
        <v>571.55999999999995</v>
      </c>
      <c r="AU26" s="33">
        <f t="shared" si="10"/>
        <v>591.97</v>
      </c>
      <c r="AV26" s="33">
        <f>20.965*AV20+445.77</f>
        <v>613.49</v>
      </c>
      <c r="AW26" s="33">
        <f t="shared" si="6"/>
        <v>634.7299999999999</v>
      </c>
    </row>
    <row r="27" spans="1:49" x14ac:dyDescent="0.25">
      <c r="A27" s="22">
        <v>41891.809027777781</v>
      </c>
      <c r="B27" s="23">
        <v>476.8</v>
      </c>
      <c r="C27">
        <v>94.2</v>
      </c>
      <c r="D27">
        <v>10.6</v>
      </c>
      <c r="E27">
        <v>6.3</v>
      </c>
      <c r="G27" s="23">
        <f t="shared" si="0"/>
        <v>9</v>
      </c>
      <c r="H27" s="23">
        <f t="shared" si="1"/>
        <v>19</v>
      </c>
      <c r="K27">
        <f t="shared" si="3"/>
        <v>9</v>
      </c>
      <c r="L27">
        <v>22</v>
      </c>
      <c r="M27">
        <f t="shared" si="2"/>
        <v>445.07500000000005</v>
      </c>
      <c r="N27">
        <v>70</v>
      </c>
      <c r="O27">
        <f t="shared" si="11"/>
        <v>6.3582142857142863</v>
      </c>
      <c r="P27">
        <f t="shared" si="16"/>
        <v>3.1683564252725795</v>
      </c>
      <c r="Q27" s="5">
        <f t="shared" si="12"/>
        <v>0.75693027210884356</v>
      </c>
      <c r="R27" s="34">
        <f t="shared" si="17"/>
        <v>0.71653840702947846</v>
      </c>
      <c r="U27" s="109">
        <v>7</v>
      </c>
      <c r="V27" s="109">
        <v>35</v>
      </c>
      <c r="W27" s="109">
        <v>4.4000000000000004</v>
      </c>
      <c r="X27" s="109">
        <v>558</v>
      </c>
      <c r="Z27" s="32">
        <v>30</v>
      </c>
      <c r="AA27">
        <f t="shared" si="13"/>
        <v>4.8999999999999995</v>
      </c>
      <c r="AB27">
        <f>-0.0041*AB21^2+0.216*AB21+3.9231</f>
        <v>5.0715000000000003</v>
      </c>
      <c r="AC27">
        <f t="shared" si="7"/>
        <v>5.2329999999999997</v>
      </c>
      <c r="AD27">
        <f>-0.0041*AD21^2+0.216*AD21+3.9231</f>
        <v>5.3887</v>
      </c>
      <c r="AE27">
        <f t="shared" si="8"/>
        <v>5.5329999999999986</v>
      </c>
      <c r="AG27" s="110">
        <v>50</v>
      </c>
      <c r="AH27" s="35">
        <f t="shared" si="14"/>
        <v>5.3937669043785483</v>
      </c>
      <c r="AI27" s="36">
        <f t="shared" si="15"/>
        <v>465</v>
      </c>
      <c r="AR27" s="32">
        <v>31</v>
      </c>
      <c r="AS27" s="33">
        <f t="shared" si="9"/>
        <v>544.45000000000005</v>
      </c>
      <c r="AT27" s="33">
        <f>20.822*AT20+440.06</f>
        <v>564.99199999999996</v>
      </c>
      <c r="AU27" s="33">
        <f t="shared" si="10"/>
        <v>585.26</v>
      </c>
      <c r="AV27" s="33">
        <f>20.822*AV20+440.06</f>
        <v>606.63599999999997</v>
      </c>
      <c r="AW27" s="33">
        <f t="shared" si="6"/>
        <v>627.74</v>
      </c>
    </row>
    <row r="28" spans="1:49" x14ac:dyDescent="0.25">
      <c r="A28" s="22">
        <v>41891.8125</v>
      </c>
      <c r="B28" s="23">
        <v>476.6</v>
      </c>
      <c r="C28">
        <v>94.3</v>
      </c>
      <c r="D28">
        <v>10.6</v>
      </c>
      <c r="E28">
        <v>6.3</v>
      </c>
      <c r="G28" s="23">
        <f t="shared" si="0"/>
        <v>9</v>
      </c>
      <c r="H28" s="23">
        <f t="shared" si="1"/>
        <v>19</v>
      </c>
      <c r="K28">
        <f t="shared" si="3"/>
        <v>9</v>
      </c>
      <c r="L28">
        <v>23</v>
      </c>
      <c r="M28">
        <f t="shared" si="2"/>
        <v>386.05833333333334</v>
      </c>
      <c r="N28">
        <v>129</v>
      </c>
      <c r="O28">
        <f t="shared" si="11"/>
        <v>2.992700258397933</v>
      </c>
      <c r="P28">
        <f t="shared" si="16"/>
        <v>3.1683564252725795</v>
      </c>
      <c r="Q28" s="5">
        <f t="shared" si="12"/>
        <v>0.65656179138321991</v>
      </c>
      <c r="R28" s="34">
        <f t="shared" si="17"/>
        <v>0.71653840702947846</v>
      </c>
      <c r="U28" s="109">
        <v>9</v>
      </c>
      <c r="V28" s="109">
        <v>25</v>
      </c>
      <c r="W28" s="109">
        <v>6.4</v>
      </c>
      <c r="X28" s="109">
        <v>669.2</v>
      </c>
      <c r="Z28" s="32">
        <v>31</v>
      </c>
      <c r="AA28">
        <f t="shared" si="13"/>
        <v>4.7399999999999993</v>
      </c>
      <c r="AB28">
        <f>-0.0029*AB21^2+0.196*AB21+3.8319</f>
        <v>4.9035000000000002</v>
      </c>
      <c r="AC28">
        <f t="shared" si="7"/>
        <v>5.0629999999999997</v>
      </c>
      <c r="AD28">
        <f>-0.0029*AD21^2+0.196*AD21+3.8319</f>
        <v>5.2142999999999997</v>
      </c>
      <c r="AE28">
        <f t="shared" si="8"/>
        <v>5.3629999999999987</v>
      </c>
      <c r="AG28" s="110">
        <v>40</v>
      </c>
      <c r="AH28" s="35">
        <f t="shared" si="14"/>
        <v>5.1030522193663819</v>
      </c>
      <c r="AI28" s="36">
        <f t="shared" si="15"/>
        <v>372</v>
      </c>
      <c r="AR28" s="32">
        <v>32</v>
      </c>
      <c r="AS28" s="33">
        <f t="shared" si="9"/>
        <v>538.03</v>
      </c>
      <c r="AT28" s="33">
        <f>20.68*AT20+434.35</f>
        <v>558.43000000000006</v>
      </c>
      <c r="AU28" s="33">
        <f t="shared" si="10"/>
        <v>578.54999999999995</v>
      </c>
      <c r="AV28" s="33">
        <f>20.68*AV20+434.35</f>
        <v>599.79</v>
      </c>
      <c r="AW28" s="33">
        <f t="shared" si="6"/>
        <v>620.75</v>
      </c>
    </row>
    <row r="29" spans="1:49" x14ac:dyDescent="0.25">
      <c r="A29" s="22">
        <v>41891.815972222219</v>
      </c>
      <c r="B29" s="23">
        <v>475.1</v>
      </c>
      <c r="C29">
        <v>94.3</v>
      </c>
      <c r="D29">
        <v>10.6</v>
      </c>
      <c r="E29">
        <v>6.3</v>
      </c>
      <c r="G29" s="23">
        <f t="shared" si="0"/>
        <v>9</v>
      </c>
      <c r="H29" s="23">
        <f t="shared" si="1"/>
        <v>19</v>
      </c>
      <c r="K29">
        <v>10</v>
      </c>
      <c r="L29">
        <v>0</v>
      </c>
      <c r="M29">
        <f>+AVERAGEIF($H$82:$H$369,L29,$B$82:$B$369)</f>
        <v>382.26666666666665</v>
      </c>
      <c r="N29">
        <v>90</v>
      </c>
      <c r="O29">
        <f t="shared" si="11"/>
        <v>4.2474074074074073</v>
      </c>
      <c r="P29">
        <f t="shared" si="16"/>
        <v>3.1683564252725795</v>
      </c>
      <c r="Q29" s="5">
        <f t="shared" si="12"/>
        <v>0.65011337868480723</v>
      </c>
      <c r="R29" s="34">
        <f t="shared" si="17"/>
        <v>0.71653840702947846</v>
      </c>
      <c r="U29" s="109">
        <v>9</v>
      </c>
      <c r="V29" s="109">
        <v>30</v>
      </c>
      <c r="W29" s="109">
        <v>5.5</v>
      </c>
      <c r="X29" s="109">
        <v>635.70000000000005</v>
      </c>
      <c r="Z29" s="32">
        <v>32</v>
      </c>
      <c r="AA29">
        <f t="shared" si="13"/>
        <v>4.5799999999999992</v>
      </c>
      <c r="AB29">
        <f>-0.0016*AB21^2+0.176*AB21+3.7406</f>
        <v>4.7389999999999999</v>
      </c>
      <c r="AC29">
        <f t="shared" si="7"/>
        <v>4.8929999999999998</v>
      </c>
      <c r="AD29">
        <f>-0.0016*AD21^2+0.176*AD21+3.7406</f>
        <v>5.0461999999999998</v>
      </c>
      <c r="AE29">
        <f t="shared" si="8"/>
        <v>5.1929999999999987</v>
      </c>
      <c r="AG29" s="110">
        <v>30</v>
      </c>
      <c r="AH29" s="35">
        <f t="shared" si="14"/>
        <v>4.3805200105778637</v>
      </c>
      <c r="AI29" s="36">
        <f t="shared" si="15"/>
        <v>279</v>
      </c>
      <c r="AR29" s="32">
        <v>33</v>
      </c>
      <c r="AS29" s="33">
        <f t="shared" si="9"/>
        <v>531.61</v>
      </c>
      <c r="AT29" s="33">
        <f>20.538*AT20+428.64</f>
        <v>551.86799999999994</v>
      </c>
      <c r="AU29" s="33">
        <f t="shared" si="10"/>
        <v>571.83999999999992</v>
      </c>
      <c r="AV29" s="33">
        <f>20.538*AV20+428.64</f>
        <v>592.94399999999996</v>
      </c>
      <c r="AW29" s="33">
        <f t="shared" si="6"/>
        <v>613.76</v>
      </c>
    </row>
    <row r="30" spans="1:49" ht="15.75" thickBot="1" x14ac:dyDescent="0.3">
      <c r="A30" s="22">
        <v>41891.819444444445</v>
      </c>
      <c r="B30" s="23">
        <v>473.2</v>
      </c>
      <c r="C30">
        <v>94.3</v>
      </c>
      <c r="D30">
        <v>10.6</v>
      </c>
      <c r="E30">
        <v>6.3</v>
      </c>
      <c r="G30" s="23">
        <f t="shared" si="0"/>
        <v>9</v>
      </c>
      <c r="H30" s="23">
        <f t="shared" si="1"/>
        <v>19</v>
      </c>
      <c r="K30">
        <f>+K29</f>
        <v>10</v>
      </c>
      <c r="L30">
        <v>1</v>
      </c>
      <c r="M30">
        <f t="shared" ref="M30:M51" si="18">+AVERAGEIF($H$82:$H$369,L30,$B$82:$B$369)</f>
        <v>377.64166666666671</v>
      </c>
      <c r="N30">
        <v>94</v>
      </c>
      <c r="O30">
        <f t="shared" si="11"/>
        <v>4.0174645390070927</v>
      </c>
      <c r="P30">
        <f t="shared" si="16"/>
        <v>3.1683564252725795</v>
      </c>
      <c r="Q30" s="5">
        <f t="shared" si="12"/>
        <v>0.64224773242630395</v>
      </c>
      <c r="R30" s="34">
        <f t="shared" si="17"/>
        <v>0.71653840702947846</v>
      </c>
      <c r="U30" s="109">
        <v>9</v>
      </c>
      <c r="V30" s="109">
        <v>35</v>
      </c>
      <c r="W30" s="109">
        <v>4.7</v>
      </c>
      <c r="X30" s="109">
        <v>599.29999999999995</v>
      </c>
      <c r="Z30" s="32">
        <v>33</v>
      </c>
      <c r="AA30">
        <f t="shared" si="13"/>
        <v>4.419999999999999</v>
      </c>
      <c r="AB30">
        <f>-0.0004*AB21^2+0.156*AB21+3.6494</f>
        <v>4.5709999999999997</v>
      </c>
      <c r="AC30">
        <f t="shared" si="7"/>
        <v>4.7229999999999999</v>
      </c>
      <c r="AD30">
        <f>-0.0004*AD21^2+0.156*AD21+3.6494</f>
        <v>4.8718000000000004</v>
      </c>
      <c r="AE30">
        <f t="shared" si="8"/>
        <v>5.0229999999999988</v>
      </c>
      <c r="AG30" s="111">
        <v>20</v>
      </c>
      <c r="AH30" s="112">
        <v>3.7</v>
      </c>
      <c r="AI30" s="38">
        <f t="shared" si="15"/>
        <v>186</v>
      </c>
      <c r="AR30" s="32">
        <v>34</v>
      </c>
      <c r="AS30" s="33">
        <f t="shared" si="9"/>
        <v>525.19000000000005</v>
      </c>
      <c r="AT30" s="33">
        <f>20.395*AT20+422.93</f>
        <v>545.29999999999995</v>
      </c>
      <c r="AU30" s="33">
        <f t="shared" si="10"/>
        <v>565.13</v>
      </c>
      <c r="AV30" s="33">
        <f>20.395*AV20+422.93</f>
        <v>586.09</v>
      </c>
      <c r="AW30" s="33">
        <f t="shared" si="6"/>
        <v>606.77</v>
      </c>
    </row>
    <row r="31" spans="1:49" x14ac:dyDescent="0.25">
      <c r="A31" s="22">
        <v>41891.822916666664</v>
      </c>
      <c r="B31" s="23">
        <v>473.5</v>
      </c>
      <c r="C31">
        <v>94.2</v>
      </c>
      <c r="D31">
        <v>10.6</v>
      </c>
      <c r="E31">
        <v>6.3</v>
      </c>
      <c r="G31" s="23">
        <f t="shared" si="0"/>
        <v>9</v>
      </c>
      <c r="H31" s="23">
        <f t="shared" si="1"/>
        <v>19</v>
      </c>
      <c r="K31">
        <f t="shared" ref="K31:K52" si="19">+K30</f>
        <v>10</v>
      </c>
      <c r="L31">
        <v>2</v>
      </c>
      <c r="M31">
        <f t="shared" si="18"/>
        <v>360.98333333333335</v>
      </c>
      <c r="N31">
        <v>119</v>
      </c>
      <c r="O31">
        <f t="shared" si="11"/>
        <v>3.0334733893557426</v>
      </c>
      <c r="P31">
        <f t="shared" si="16"/>
        <v>3.1683564252725795</v>
      </c>
      <c r="Q31" s="5">
        <f t="shared" si="12"/>
        <v>0.61391723356009076</v>
      </c>
      <c r="R31" s="34">
        <f t="shared" si="17"/>
        <v>0.71653840702947846</v>
      </c>
      <c r="Z31" s="32">
        <v>34</v>
      </c>
      <c r="AA31">
        <f t="shared" si="13"/>
        <v>4.2599999999999989</v>
      </c>
      <c r="AB31">
        <f>0.0009*AB21^2+0.136*AB21+3.5581</f>
        <v>4.4065000000000003</v>
      </c>
      <c r="AC31">
        <f t="shared" si="7"/>
        <v>4.5529999999999999</v>
      </c>
      <c r="AD31">
        <f>0.0009*AD21^2+0.136*AD21+3.5581</f>
        <v>4.7037000000000004</v>
      </c>
      <c r="AE31">
        <f t="shared" si="8"/>
        <v>4.8529999999999989</v>
      </c>
      <c r="AR31" s="32">
        <v>35</v>
      </c>
      <c r="AS31" s="33">
        <f t="shared" si="9"/>
        <v>518.77</v>
      </c>
      <c r="AT31" s="33">
        <f>20.252*AT20+417.22</f>
        <v>538.73199999999997</v>
      </c>
      <c r="AU31" s="33">
        <f t="shared" si="10"/>
        <v>558.41999999999996</v>
      </c>
      <c r="AV31" s="33">
        <f>20.252*AV20+417.22</f>
        <v>579.23599999999999</v>
      </c>
      <c r="AW31" s="33">
        <f t="shared" si="6"/>
        <v>599.78</v>
      </c>
    </row>
    <row r="32" spans="1:49" x14ac:dyDescent="0.25">
      <c r="A32" s="22">
        <v>41891.826388888891</v>
      </c>
      <c r="B32" s="23">
        <v>478.6</v>
      </c>
      <c r="C32">
        <v>94.2</v>
      </c>
      <c r="D32">
        <v>10.6</v>
      </c>
      <c r="E32">
        <v>6.2</v>
      </c>
      <c r="G32" s="23">
        <f t="shared" si="0"/>
        <v>9</v>
      </c>
      <c r="H32" s="23">
        <f t="shared" si="1"/>
        <v>19</v>
      </c>
      <c r="K32">
        <f t="shared" si="19"/>
        <v>10</v>
      </c>
      <c r="L32">
        <v>3</v>
      </c>
      <c r="M32">
        <f t="shared" si="18"/>
        <v>350.18333333333339</v>
      </c>
      <c r="N32">
        <v>82</v>
      </c>
      <c r="O32">
        <f t="shared" si="11"/>
        <v>4.2705284552845537</v>
      </c>
      <c r="P32">
        <f t="shared" si="16"/>
        <v>3.1683564252725795</v>
      </c>
      <c r="Q32" s="5">
        <f t="shared" si="12"/>
        <v>0.59554988662131525</v>
      </c>
      <c r="R32" s="34">
        <f t="shared" si="17"/>
        <v>0.71653840702947846</v>
      </c>
      <c r="Z32" s="32">
        <v>35</v>
      </c>
      <c r="AA32">
        <f t="shared" si="13"/>
        <v>4.0999999999999988</v>
      </c>
      <c r="AB32">
        <f>0.0021*AB21^2+0.116*AB21+3.4669</f>
        <v>4.2385000000000002</v>
      </c>
      <c r="AC32">
        <f t="shared" si="7"/>
        <v>4.383</v>
      </c>
      <c r="AD32">
        <f>0.0021*AD21^2+0.116*AD21+3.4669</f>
        <v>4.5293000000000001</v>
      </c>
      <c r="AE32">
        <f t="shared" si="8"/>
        <v>4.6829999999999989</v>
      </c>
    </row>
    <row r="33" spans="1:18" x14ac:dyDescent="0.25">
      <c r="A33" s="22">
        <v>41891.829861111109</v>
      </c>
      <c r="B33" s="23">
        <v>477.5</v>
      </c>
      <c r="C33">
        <v>94.4</v>
      </c>
      <c r="D33">
        <v>10.6</v>
      </c>
      <c r="E33">
        <v>6.3</v>
      </c>
      <c r="G33" s="23">
        <f t="shared" si="0"/>
        <v>9</v>
      </c>
      <c r="H33" s="23">
        <f t="shared" si="1"/>
        <v>19</v>
      </c>
      <c r="K33">
        <f t="shared" si="19"/>
        <v>10</v>
      </c>
      <c r="L33">
        <v>4</v>
      </c>
      <c r="M33">
        <f t="shared" si="18"/>
        <v>344.48333333333329</v>
      </c>
      <c r="N33">
        <v>39</v>
      </c>
      <c r="O33">
        <f t="shared" si="11"/>
        <v>8.8329059829059826</v>
      </c>
      <c r="P33">
        <f t="shared" si="16"/>
        <v>3.1683564252725795</v>
      </c>
      <c r="Q33" s="5">
        <f t="shared" si="12"/>
        <v>0.58585600907029467</v>
      </c>
      <c r="R33" s="34">
        <f t="shared" si="17"/>
        <v>0.71653840702947846</v>
      </c>
    </row>
    <row r="34" spans="1:18" x14ac:dyDescent="0.25">
      <c r="A34" s="22">
        <v>41891.833333333336</v>
      </c>
      <c r="B34" s="23">
        <v>476</v>
      </c>
      <c r="C34">
        <v>94.3</v>
      </c>
      <c r="D34">
        <v>10.6</v>
      </c>
      <c r="E34">
        <v>6.3</v>
      </c>
      <c r="G34" s="23">
        <f t="shared" si="0"/>
        <v>9</v>
      </c>
      <c r="H34" s="23">
        <f t="shared" si="1"/>
        <v>20</v>
      </c>
      <c r="K34">
        <f t="shared" si="19"/>
        <v>10</v>
      </c>
      <c r="L34">
        <v>5</v>
      </c>
      <c r="M34">
        <f t="shared" si="18"/>
        <v>338.70000000000005</v>
      </c>
      <c r="N34">
        <v>89</v>
      </c>
      <c r="O34">
        <f t="shared" si="11"/>
        <v>3.8056179775280903</v>
      </c>
      <c r="P34">
        <f t="shared" si="16"/>
        <v>3.1683564252725795</v>
      </c>
      <c r="Q34" s="5">
        <f t="shared" si="12"/>
        <v>0.57602040816326538</v>
      </c>
      <c r="R34" s="34">
        <f t="shared" si="17"/>
        <v>0.71653840702947846</v>
      </c>
    </row>
    <row r="35" spans="1:18" x14ac:dyDescent="0.25">
      <c r="A35" s="22">
        <v>41891.836805555555</v>
      </c>
      <c r="B35" s="23">
        <v>476</v>
      </c>
      <c r="C35">
        <v>94.3</v>
      </c>
      <c r="D35">
        <v>10.6</v>
      </c>
      <c r="E35">
        <v>6.2</v>
      </c>
      <c r="G35" s="23">
        <f t="shared" si="0"/>
        <v>9</v>
      </c>
      <c r="H35" s="23">
        <f t="shared" si="1"/>
        <v>20</v>
      </c>
      <c r="K35">
        <f t="shared" si="19"/>
        <v>10</v>
      </c>
      <c r="L35">
        <v>6</v>
      </c>
      <c r="M35">
        <f t="shared" si="18"/>
        <v>365.36666666666673</v>
      </c>
      <c r="N35">
        <v>74</v>
      </c>
      <c r="O35">
        <f t="shared" si="11"/>
        <v>4.9373873873873881</v>
      </c>
      <c r="P35">
        <f t="shared" si="16"/>
        <v>3.1683564252725795</v>
      </c>
      <c r="Q35" s="5">
        <f t="shared" si="12"/>
        <v>0.62137188208616789</v>
      </c>
      <c r="R35" s="34">
        <f t="shared" si="17"/>
        <v>0.71653840702947846</v>
      </c>
    </row>
    <row r="36" spans="1:18" x14ac:dyDescent="0.25">
      <c r="A36" s="22">
        <v>41891.840277777781</v>
      </c>
      <c r="B36" s="23">
        <v>476.5</v>
      </c>
      <c r="C36">
        <v>94.2</v>
      </c>
      <c r="D36">
        <v>10.5</v>
      </c>
      <c r="E36">
        <v>6.2</v>
      </c>
      <c r="G36" s="23">
        <f t="shared" si="0"/>
        <v>9</v>
      </c>
      <c r="H36" s="23">
        <f t="shared" si="1"/>
        <v>20</v>
      </c>
      <c r="K36">
        <f t="shared" si="19"/>
        <v>10</v>
      </c>
      <c r="L36">
        <v>7</v>
      </c>
      <c r="M36">
        <f t="shared" si="18"/>
        <v>371.90833333333336</v>
      </c>
      <c r="N36">
        <v>92</v>
      </c>
      <c r="O36">
        <f t="shared" si="11"/>
        <v>4.0424818840579713</v>
      </c>
      <c r="P36">
        <f t="shared" si="16"/>
        <v>3.1683564252725795</v>
      </c>
      <c r="Q36" s="5">
        <f t="shared" si="12"/>
        <v>0.63249716553287982</v>
      </c>
      <c r="R36" s="34">
        <f t="shared" si="17"/>
        <v>0.71653840702947846</v>
      </c>
    </row>
    <row r="37" spans="1:18" x14ac:dyDescent="0.25">
      <c r="A37" s="22">
        <v>41891.84375</v>
      </c>
      <c r="B37" s="23">
        <v>477.4</v>
      </c>
      <c r="C37">
        <v>94.3</v>
      </c>
      <c r="D37">
        <v>10.5</v>
      </c>
      <c r="E37">
        <v>6.1</v>
      </c>
      <c r="G37" s="23">
        <f t="shared" si="0"/>
        <v>9</v>
      </c>
      <c r="H37" s="23">
        <f t="shared" si="1"/>
        <v>20</v>
      </c>
      <c r="K37">
        <f t="shared" si="19"/>
        <v>10</v>
      </c>
      <c r="L37">
        <v>8</v>
      </c>
      <c r="M37">
        <f t="shared" si="18"/>
        <v>408.5</v>
      </c>
      <c r="N37">
        <v>108</v>
      </c>
      <c r="O37">
        <f t="shared" si="11"/>
        <v>3.7824074074074074</v>
      </c>
      <c r="P37">
        <f t="shared" si="16"/>
        <v>3.1683564252725795</v>
      </c>
      <c r="Q37" s="5">
        <f t="shared" si="12"/>
        <v>0.69472789115646261</v>
      </c>
      <c r="R37" s="34">
        <f t="shared" si="17"/>
        <v>0.71653840702947846</v>
      </c>
    </row>
    <row r="38" spans="1:18" x14ac:dyDescent="0.25">
      <c r="A38" s="22">
        <v>41891.847222222219</v>
      </c>
      <c r="B38" s="23">
        <v>476.4</v>
      </c>
      <c r="C38">
        <v>94.3</v>
      </c>
      <c r="D38">
        <v>10.5</v>
      </c>
      <c r="E38">
        <v>6.1</v>
      </c>
      <c r="G38" s="23">
        <f t="shared" si="0"/>
        <v>9</v>
      </c>
      <c r="H38" s="23">
        <f t="shared" si="1"/>
        <v>20</v>
      </c>
      <c r="K38">
        <f t="shared" si="19"/>
        <v>10</v>
      </c>
      <c r="L38">
        <v>9</v>
      </c>
      <c r="M38">
        <f t="shared" si="18"/>
        <v>433.0916666666667</v>
      </c>
      <c r="N38">
        <v>88</v>
      </c>
      <c r="O38">
        <f t="shared" si="11"/>
        <v>4.9214962121212125</v>
      </c>
      <c r="P38">
        <f t="shared" si="16"/>
        <v>3.1683564252725795</v>
      </c>
      <c r="Q38" s="5">
        <f t="shared" si="12"/>
        <v>0.73655045351473925</v>
      </c>
      <c r="R38" s="34">
        <f t="shared" si="17"/>
        <v>0.71653840702947846</v>
      </c>
    </row>
    <row r="39" spans="1:18" x14ac:dyDescent="0.25">
      <c r="A39" s="22">
        <v>41891.850694444445</v>
      </c>
      <c r="B39" s="23">
        <v>477.2</v>
      </c>
      <c r="C39">
        <v>94.3</v>
      </c>
      <c r="D39">
        <v>10.4</v>
      </c>
      <c r="E39">
        <v>6.1</v>
      </c>
      <c r="G39" s="23">
        <f t="shared" si="0"/>
        <v>9</v>
      </c>
      <c r="H39" s="23">
        <f t="shared" si="1"/>
        <v>20</v>
      </c>
      <c r="K39">
        <f t="shared" si="19"/>
        <v>10</v>
      </c>
      <c r="L39">
        <v>10</v>
      </c>
      <c r="M39">
        <f t="shared" si="18"/>
        <v>415.16666666666674</v>
      </c>
      <c r="N39">
        <v>107</v>
      </c>
      <c r="O39">
        <f t="shared" si="11"/>
        <v>3.8800623052959509</v>
      </c>
      <c r="P39">
        <f t="shared" si="16"/>
        <v>3.1683564252725795</v>
      </c>
      <c r="Q39" s="5">
        <f t="shared" si="12"/>
        <v>0.70606575963718832</v>
      </c>
      <c r="R39" s="34">
        <f t="shared" si="17"/>
        <v>0.71653840702947846</v>
      </c>
    </row>
    <row r="40" spans="1:18" x14ac:dyDescent="0.25">
      <c r="A40" s="22">
        <v>41891.854166666664</v>
      </c>
      <c r="B40" s="23">
        <v>473.9</v>
      </c>
      <c r="C40">
        <v>94.3</v>
      </c>
      <c r="D40">
        <v>10.4</v>
      </c>
      <c r="E40">
        <v>6.1</v>
      </c>
      <c r="G40" s="23">
        <f t="shared" si="0"/>
        <v>9</v>
      </c>
      <c r="H40" s="23">
        <f t="shared" si="1"/>
        <v>20</v>
      </c>
      <c r="K40">
        <f t="shared" si="19"/>
        <v>10</v>
      </c>
      <c r="L40">
        <v>11</v>
      </c>
      <c r="M40">
        <f t="shared" si="18"/>
        <v>371.40000000000009</v>
      </c>
      <c r="N40">
        <v>88</v>
      </c>
      <c r="O40">
        <f t="shared" si="11"/>
        <v>4.2204545454545466</v>
      </c>
      <c r="P40">
        <f t="shared" si="16"/>
        <v>3.1683564252725795</v>
      </c>
      <c r="Q40" s="5">
        <f t="shared" si="12"/>
        <v>0.63163265306122462</v>
      </c>
      <c r="R40" s="34">
        <f t="shared" si="17"/>
        <v>0.71653840702947846</v>
      </c>
    </row>
    <row r="41" spans="1:18" x14ac:dyDescent="0.25">
      <c r="A41" s="22">
        <v>41891.857638888891</v>
      </c>
      <c r="B41" s="23">
        <v>475</v>
      </c>
      <c r="C41">
        <v>94.3</v>
      </c>
      <c r="D41">
        <v>10.4</v>
      </c>
      <c r="E41">
        <v>6.1</v>
      </c>
      <c r="G41" s="23">
        <f t="shared" si="0"/>
        <v>9</v>
      </c>
      <c r="H41" s="23">
        <f t="shared" si="1"/>
        <v>20</v>
      </c>
      <c r="K41">
        <f t="shared" si="19"/>
        <v>10</v>
      </c>
      <c r="L41">
        <v>12</v>
      </c>
      <c r="M41">
        <f t="shared" si="18"/>
        <v>400.42499999999995</v>
      </c>
      <c r="N41">
        <v>100</v>
      </c>
      <c r="O41">
        <f t="shared" si="11"/>
        <v>4.0042499999999999</v>
      </c>
      <c r="P41">
        <f t="shared" si="16"/>
        <v>3.1683564252725795</v>
      </c>
      <c r="Q41" s="5">
        <f t="shared" si="12"/>
        <v>0.68099489795918355</v>
      </c>
      <c r="R41" s="34">
        <f t="shared" si="17"/>
        <v>0.71653840702947846</v>
      </c>
    </row>
    <row r="42" spans="1:18" x14ac:dyDescent="0.25">
      <c r="A42" s="22">
        <v>41891.861111111109</v>
      </c>
      <c r="B42" s="23">
        <v>475.5</v>
      </c>
      <c r="C42">
        <v>94.3</v>
      </c>
      <c r="D42">
        <v>10.4</v>
      </c>
      <c r="E42">
        <v>6.1</v>
      </c>
      <c r="G42" s="23">
        <f t="shared" si="0"/>
        <v>9</v>
      </c>
      <c r="H42" s="23">
        <f t="shared" si="1"/>
        <v>20</v>
      </c>
      <c r="K42">
        <f t="shared" si="19"/>
        <v>10</v>
      </c>
      <c r="L42">
        <v>13</v>
      </c>
      <c r="M42">
        <f t="shared" si="18"/>
        <v>460.22499999999991</v>
      </c>
      <c r="N42">
        <v>120</v>
      </c>
      <c r="O42">
        <f t="shared" si="11"/>
        <v>3.8352083333333327</v>
      </c>
      <c r="P42">
        <f t="shared" si="16"/>
        <v>3.1683564252725795</v>
      </c>
      <c r="Q42" s="5">
        <f t="shared" si="12"/>
        <v>0.78269557823129232</v>
      </c>
      <c r="R42" s="34">
        <f t="shared" si="17"/>
        <v>0.71653840702947846</v>
      </c>
    </row>
    <row r="43" spans="1:18" x14ac:dyDescent="0.25">
      <c r="A43" s="22">
        <v>41891.864583333336</v>
      </c>
      <c r="B43" s="23">
        <v>476.6</v>
      </c>
      <c r="C43">
        <v>94.3</v>
      </c>
      <c r="D43">
        <v>10.4</v>
      </c>
      <c r="E43">
        <v>6</v>
      </c>
      <c r="G43" s="23">
        <f t="shared" si="0"/>
        <v>9</v>
      </c>
      <c r="H43" s="23">
        <f t="shared" si="1"/>
        <v>20</v>
      </c>
      <c r="K43">
        <f t="shared" si="19"/>
        <v>10</v>
      </c>
      <c r="L43">
        <v>14</v>
      </c>
      <c r="M43">
        <f t="shared" si="18"/>
        <v>458.91666666666674</v>
      </c>
      <c r="N43">
        <v>130</v>
      </c>
      <c r="O43">
        <f t="shared" si="11"/>
        <v>3.5301282051282059</v>
      </c>
      <c r="P43">
        <f t="shared" si="16"/>
        <v>3.1683564252725795</v>
      </c>
      <c r="Q43" s="5">
        <f t="shared" si="12"/>
        <v>0.78047052154195029</v>
      </c>
      <c r="R43" s="34">
        <f t="shared" si="17"/>
        <v>0.71653840702947846</v>
      </c>
    </row>
    <row r="44" spans="1:18" x14ac:dyDescent="0.25">
      <c r="A44" s="22">
        <v>41891.868055555555</v>
      </c>
      <c r="B44" s="23">
        <v>476.1</v>
      </c>
      <c r="C44">
        <v>94.2</v>
      </c>
      <c r="D44">
        <v>10.4</v>
      </c>
      <c r="E44">
        <v>6</v>
      </c>
      <c r="G44" s="23">
        <f t="shared" si="0"/>
        <v>9</v>
      </c>
      <c r="H44" s="23">
        <f t="shared" si="1"/>
        <v>20</v>
      </c>
      <c r="K44">
        <f t="shared" si="19"/>
        <v>10</v>
      </c>
      <c r="L44">
        <v>15</v>
      </c>
      <c r="M44">
        <f t="shared" si="18"/>
        <v>457.10833333333335</v>
      </c>
      <c r="N44">
        <v>147</v>
      </c>
      <c r="O44">
        <f t="shared" si="11"/>
        <v>3.1095804988662135</v>
      </c>
      <c r="P44">
        <f t="shared" si="16"/>
        <v>3.1683564252725795</v>
      </c>
      <c r="Q44" s="5">
        <f t="shared" si="12"/>
        <v>0.77739512471655337</v>
      </c>
      <c r="R44" s="34">
        <f t="shared" si="17"/>
        <v>0.71653840702947846</v>
      </c>
    </row>
    <row r="45" spans="1:18" x14ac:dyDescent="0.25">
      <c r="A45" s="22">
        <v>41891.871527777781</v>
      </c>
      <c r="B45" s="23">
        <v>475.6</v>
      </c>
      <c r="C45">
        <v>94.2</v>
      </c>
      <c r="D45">
        <v>10.4</v>
      </c>
      <c r="E45">
        <v>6</v>
      </c>
      <c r="G45" s="23">
        <f t="shared" si="0"/>
        <v>9</v>
      </c>
      <c r="H45" s="23">
        <f t="shared" si="1"/>
        <v>20</v>
      </c>
      <c r="K45">
        <f t="shared" si="19"/>
        <v>10</v>
      </c>
      <c r="L45">
        <v>16</v>
      </c>
      <c r="M45">
        <f t="shared" si="18"/>
        <v>427.28333333333336</v>
      </c>
      <c r="N45">
        <v>96</v>
      </c>
      <c r="O45">
        <f t="shared" si="11"/>
        <v>4.4508680555555555</v>
      </c>
      <c r="P45">
        <f t="shared" si="16"/>
        <v>3.1683564252725795</v>
      </c>
      <c r="Q45" s="5">
        <f t="shared" si="12"/>
        <v>0.72667233560090705</v>
      </c>
      <c r="R45" s="34">
        <f t="shared" si="17"/>
        <v>0.71653840702947846</v>
      </c>
    </row>
    <row r="46" spans="1:18" x14ac:dyDescent="0.25">
      <c r="A46" s="22">
        <v>41891.875</v>
      </c>
      <c r="B46" s="23">
        <v>474.9</v>
      </c>
      <c r="C46">
        <v>94.2</v>
      </c>
      <c r="D46">
        <v>10.4</v>
      </c>
      <c r="E46">
        <v>6</v>
      </c>
      <c r="G46" s="23">
        <f t="shared" si="0"/>
        <v>9</v>
      </c>
      <c r="H46" s="23">
        <f t="shared" si="1"/>
        <v>21</v>
      </c>
      <c r="K46">
        <f t="shared" si="19"/>
        <v>10</v>
      </c>
      <c r="L46">
        <v>17</v>
      </c>
      <c r="M46">
        <f t="shared" si="18"/>
        <v>432.75833333333338</v>
      </c>
      <c r="N46">
        <v>67</v>
      </c>
      <c r="O46">
        <f t="shared" si="11"/>
        <v>6.4590796019900507</v>
      </c>
      <c r="P46">
        <f t="shared" si="16"/>
        <v>3.1683564252725795</v>
      </c>
      <c r="Q46" s="5">
        <f t="shared" si="12"/>
        <v>0.73598356009070298</v>
      </c>
      <c r="R46" s="34">
        <f t="shared" si="17"/>
        <v>0.71653840702947846</v>
      </c>
    </row>
    <row r="47" spans="1:18" x14ac:dyDescent="0.25">
      <c r="A47" s="22">
        <v>41891.878472222219</v>
      </c>
      <c r="B47" s="23">
        <v>475.6</v>
      </c>
      <c r="C47">
        <v>94.2</v>
      </c>
      <c r="D47">
        <v>10.4</v>
      </c>
      <c r="E47">
        <v>6</v>
      </c>
      <c r="G47" s="23">
        <f t="shared" si="0"/>
        <v>9</v>
      </c>
      <c r="H47" s="23">
        <f t="shared" si="1"/>
        <v>21</v>
      </c>
      <c r="K47">
        <f t="shared" si="19"/>
        <v>10</v>
      </c>
      <c r="L47">
        <v>18</v>
      </c>
      <c r="M47">
        <f t="shared" si="18"/>
        <v>476.59166666666675</v>
      </c>
      <c r="N47">
        <v>98</v>
      </c>
      <c r="O47">
        <f t="shared" si="11"/>
        <v>4.8631802721088446</v>
      </c>
      <c r="P47">
        <f t="shared" si="16"/>
        <v>3.1683564252725795</v>
      </c>
      <c r="Q47" s="5">
        <f t="shared" si="12"/>
        <v>0.8105300453514741</v>
      </c>
      <c r="R47" s="34">
        <f t="shared" si="17"/>
        <v>0.71653840702947846</v>
      </c>
    </row>
    <row r="48" spans="1:18" x14ac:dyDescent="0.25">
      <c r="A48" s="22">
        <v>41891.881944444445</v>
      </c>
      <c r="B48" s="23">
        <v>474.7</v>
      </c>
      <c r="C48">
        <v>94.3</v>
      </c>
      <c r="D48">
        <v>10.4</v>
      </c>
      <c r="E48">
        <v>6</v>
      </c>
      <c r="G48" s="23">
        <f t="shared" si="0"/>
        <v>9</v>
      </c>
      <c r="H48" s="23">
        <f t="shared" si="1"/>
        <v>21</v>
      </c>
      <c r="K48">
        <f t="shared" si="19"/>
        <v>10</v>
      </c>
      <c r="L48">
        <v>19</v>
      </c>
      <c r="M48">
        <f t="shared" si="18"/>
        <v>483.75</v>
      </c>
      <c r="N48">
        <v>176</v>
      </c>
      <c r="O48">
        <f t="shared" si="11"/>
        <v>2.7485795454545454</v>
      </c>
      <c r="P48">
        <f t="shared" si="16"/>
        <v>3.1683564252725795</v>
      </c>
      <c r="Q48" s="5">
        <f t="shared" si="12"/>
        <v>0.82270408163265307</v>
      </c>
      <c r="R48" s="34">
        <f t="shared" si="17"/>
        <v>0.71653840702947846</v>
      </c>
    </row>
    <row r="49" spans="1:42" x14ac:dyDescent="0.25">
      <c r="A49" s="22">
        <v>41891.885416666664</v>
      </c>
      <c r="B49" s="23">
        <v>473.1</v>
      </c>
      <c r="C49">
        <v>94.3</v>
      </c>
      <c r="D49">
        <v>10.4</v>
      </c>
      <c r="E49">
        <v>6</v>
      </c>
      <c r="G49" s="23">
        <f t="shared" si="0"/>
        <v>9</v>
      </c>
      <c r="H49" s="23">
        <f t="shared" si="1"/>
        <v>21</v>
      </c>
      <c r="K49">
        <f t="shared" si="19"/>
        <v>10</v>
      </c>
      <c r="L49">
        <v>20</v>
      </c>
      <c r="M49">
        <f t="shared" si="18"/>
        <v>486.04166666666669</v>
      </c>
      <c r="N49">
        <v>100</v>
      </c>
      <c r="O49">
        <f t="shared" si="11"/>
        <v>4.8604166666666666</v>
      </c>
      <c r="P49">
        <f t="shared" si="16"/>
        <v>3.1683564252725795</v>
      </c>
      <c r="Q49" s="5">
        <f t="shared" si="12"/>
        <v>0.82660147392290251</v>
      </c>
      <c r="R49" s="34">
        <f t="shared" si="17"/>
        <v>0.71653840702947846</v>
      </c>
    </row>
    <row r="50" spans="1:42" x14ac:dyDescent="0.25">
      <c r="A50" s="22">
        <v>41891.888888888891</v>
      </c>
      <c r="B50" s="23">
        <v>470.8</v>
      </c>
      <c r="C50">
        <v>94.2</v>
      </c>
      <c r="D50">
        <v>10.3</v>
      </c>
      <c r="E50">
        <v>6.1</v>
      </c>
      <c r="G50" s="23">
        <f t="shared" si="0"/>
        <v>9</v>
      </c>
      <c r="H50" s="23">
        <f t="shared" si="1"/>
        <v>21</v>
      </c>
      <c r="K50">
        <f t="shared" si="19"/>
        <v>10</v>
      </c>
      <c r="L50">
        <v>21</v>
      </c>
      <c r="M50">
        <f t="shared" si="18"/>
        <v>487.4083333333333</v>
      </c>
      <c r="N50">
        <v>5</v>
      </c>
      <c r="O50">
        <f t="shared" si="11"/>
        <v>97.481666666666655</v>
      </c>
      <c r="Q50" s="5">
        <f t="shared" si="12"/>
        <v>0.82892573696145122</v>
      </c>
      <c r="R50" s="34">
        <f t="shared" si="17"/>
        <v>0.71653840702947846</v>
      </c>
    </row>
    <row r="51" spans="1:42" x14ac:dyDescent="0.25">
      <c r="A51" s="22">
        <v>41891.892361111109</v>
      </c>
      <c r="B51" s="23">
        <v>471.7</v>
      </c>
      <c r="C51">
        <v>94.3</v>
      </c>
      <c r="D51">
        <v>10.3</v>
      </c>
      <c r="E51">
        <v>6</v>
      </c>
      <c r="G51" s="23">
        <f t="shared" si="0"/>
        <v>9</v>
      </c>
      <c r="H51" s="23">
        <f t="shared" si="1"/>
        <v>21</v>
      </c>
      <c r="K51">
        <f t="shared" si="19"/>
        <v>10</v>
      </c>
      <c r="L51">
        <v>22</v>
      </c>
      <c r="M51">
        <f t="shared" si="18"/>
        <v>489.72499999999997</v>
      </c>
      <c r="N51">
        <v>148</v>
      </c>
      <c r="O51">
        <f t="shared" si="11"/>
        <v>3.3089527027027024</v>
      </c>
      <c r="Q51" s="5">
        <f t="shared" si="12"/>
        <v>0.83286564625850334</v>
      </c>
      <c r="R51" s="34">
        <f t="shared" si="17"/>
        <v>0.71653840702947846</v>
      </c>
    </row>
    <row r="52" spans="1:42" x14ac:dyDescent="0.25">
      <c r="A52" s="22">
        <v>41891.895833333336</v>
      </c>
      <c r="B52" s="23">
        <v>474.2</v>
      </c>
      <c r="C52">
        <v>94.3</v>
      </c>
      <c r="D52">
        <v>10.3</v>
      </c>
      <c r="E52">
        <v>6</v>
      </c>
      <c r="G52" s="23">
        <f t="shared" si="0"/>
        <v>9</v>
      </c>
      <c r="H52" s="23">
        <f t="shared" si="1"/>
        <v>21</v>
      </c>
      <c r="K52">
        <f t="shared" si="19"/>
        <v>10</v>
      </c>
      <c r="L52">
        <v>23</v>
      </c>
      <c r="Q52" s="5">
        <f t="shared" si="12"/>
        <v>0</v>
      </c>
      <c r="R52" s="34">
        <f t="shared" si="17"/>
        <v>0.71653840702947846</v>
      </c>
    </row>
    <row r="53" spans="1:42" x14ac:dyDescent="0.25">
      <c r="A53" s="22">
        <v>41891.899305555555</v>
      </c>
      <c r="B53" s="23">
        <v>474.4</v>
      </c>
      <c r="C53">
        <v>94.3</v>
      </c>
      <c r="D53">
        <v>10.3</v>
      </c>
      <c r="E53">
        <v>6</v>
      </c>
      <c r="G53" s="23">
        <f t="shared" si="0"/>
        <v>9</v>
      </c>
      <c r="H53" s="23">
        <f t="shared" si="1"/>
        <v>21</v>
      </c>
      <c r="K53">
        <v>11</v>
      </c>
      <c r="L53">
        <v>0</v>
      </c>
      <c r="M53">
        <f>+AVERAGEIF($H$370:$H$657,L53,$B$370:$B$657)</f>
        <v>409.125</v>
      </c>
      <c r="N53">
        <v>157</v>
      </c>
      <c r="O53">
        <f t="shared" si="11"/>
        <v>2.6058917197452227</v>
      </c>
      <c r="Q53" s="5">
        <f t="shared" si="12"/>
        <v>0.69579081632653061</v>
      </c>
      <c r="R53" s="34">
        <f t="shared" si="17"/>
        <v>0.71653840702947846</v>
      </c>
    </row>
    <row r="54" spans="1:42" x14ac:dyDescent="0.25">
      <c r="A54" s="22">
        <v>41891.902777777781</v>
      </c>
      <c r="B54" s="23">
        <v>472.8</v>
      </c>
      <c r="C54">
        <v>94.2</v>
      </c>
      <c r="D54">
        <v>10.3</v>
      </c>
      <c r="E54">
        <v>6</v>
      </c>
      <c r="G54" s="23">
        <f t="shared" si="0"/>
        <v>9</v>
      </c>
      <c r="H54" s="23">
        <f t="shared" si="1"/>
        <v>21</v>
      </c>
      <c r="K54">
        <f>+K53</f>
        <v>11</v>
      </c>
      <c r="L54">
        <v>1</v>
      </c>
      <c r="M54">
        <f t="shared" ref="M54:M117" si="20">+AVERAGEIF($H$370:$H$657,L54,$B$370:$B$657)</f>
        <v>385.97500000000008</v>
      </c>
      <c r="N54">
        <v>125</v>
      </c>
      <c r="O54">
        <f t="shared" si="11"/>
        <v>3.0878000000000005</v>
      </c>
      <c r="Q54" s="5">
        <f t="shared" si="12"/>
        <v>0.65642006802721098</v>
      </c>
      <c r="R54" s="34">
        <f t="shared" si="17"/>
        <v>0.71653840702947846</v>
      </c>
    </row>
    <row r="55" spans="1:42" x14ac:dyDescent="0.25">
      <c r="A55" s="22">
        <v>41891.90625</v>
      </c>
      <c r="B55" s="23">
        <v>474.8</v>
      </c>
      <c r="C55">
        <v>94.3</v>
      </c>
      <c r="D55">
        <v>10.3</v>
      </c>
      <c r="E55">
        <v>6</v>
      </c>
      <c r="G55" s="23">
        <f t="shared" si="0"/>
        <v>9</v>
      </c>
      <c r="H55" s="23">
        <f t="shared" si="1"/>
        <v>21</v>
      </c>
      <c r="K55">
        <f t="shared" ref="K55:K76" si="21">+K54</f>
        <v>11</v>
      </c>
      <c r="L55">
        <v>2</v>
      </c>
      <c r="M55">
        <f t="shared" si="20"/>
        <v>372.54166666666669</v>
      </c>
      <c r="N55">
        <v>223</v>
      </c>
      <c r="O55">
        <f t="shared" si="11"/>
        <v>1.6705904334828103</v>
      </c>
      <c r="Q55" s="5">
        <f t="shared" si="12"/>
        <v>0.6335742630385488</v>
      </c>
      <c r="R55" s="34">
        <f t="shared" si="17"/>
        <v>0.71653840702947846</v>
      </c>
    </row>
    <row r="56" spans="1:42" x14ac:dyDescent="0.25">
      <c r="A56" s="22">
        <v>41891.909722222219</v>
      </c>
      <c r="B56" s="23">
        <v>474.7</v>
      </c>
      <c r="C56">
        <v>94.4</v>
      </c>
      <c r="D56">
        <v>10.3</v>
      </c>
      <c r="E56">
        <v>6</v>
      </c>
      <c r="G56" s="23">
        <f t="shared" si="0"/>
        <v>9</v>
      </c>
      <c r="H56" s="23">
        <f t="shared" si="1"/>
        <v>21</v>
      </c>
      <c r="K56">
        <f t="shared" si="21"/>
        <v>11</v>
      </c>
      <c r="L56">
        <v>3</v>
      </c>
      <c r="M56">
        <f t="shared" si="20"/>
        <v>388.97500000000008</v>
      </c>
      <c r="N56">
        <v>175</v>
      </c>
      <c r="O56">
        <f t="shared" si="11"/>
        <v>2.2227142857142863</v>
      </c>
      <c r="Q56" s="5">
        <f t="shared" si="12"/>
        <v>0.66152210884353757</v>
      </c>
      <c r="R56" s="34">
        <f t="shared" si="17"/>
        <v>0.71653840702947846</v>
      </c>
    </row>
    <row r="57" spans="1:42" x14ac:dyDescent="0.25">
      <c r="A57" s="22">
        <v>41891.913194444445</v>
      </c>
      <c r="B57" s="23">
        <v>473.7</v>
      </c>
      <c r="C57">
        <v>94.2</v>
      </c>
      <c r="D57">
        <v>10.3</v>
      </c>
      <c r="E57">
        <v>6</v>
      </c>
      <c r="G57" s="23">
        <f t="shared" si="0"/>
        <v>9</v>
      </c>
      <c r="H57" s="23">
        <f t="shared" si="1"/>
        <v>21</v>
      </c>
      <c r="K57">
        <f t="shared" si="21"/>
        <v>11</v>
      </c>
      <c r="L57">
        <v>4</v>
      </c>
      <c r="M57">
        <f t="shared" si="20"/>
        <v>385.10833333333335</v>
      </c>
      <c r="N57">
        <v>126</v>
      </c>
      <c r="O57">
        <f t="shared" si="11"/>
        <v>3.0564153439153441</v>
      </c>
      <c r="Q57" s="5">
        <f t="shared" si="12"/>
        <v>0.65494614512471661</v>
      </c>
      <c r="R57" s="34">
        <f t="shared" si="17"/>
        <v>0.71653840702947846</v>
      </c>
    </row>
    <row r="58" spans="1:42" x14ac:dyDescent="0.25">
      <c r="A58" s="22">
        <v>41891.916666666664</v>
      </c>
      <c r="B58" s="23">
        <v>472</v>
      </c>
      <c r="C58">
        <v>94.1</v>
      </c>
      <c r="D58">
        <v>10.3</v>
      </c>
      <c r="E58">
        <v>6</v>
      </c>
      <c r="G58" s="23">
        <f t="shared" si="0"/>
        <v>9</v>
      </c>
      <c r="H58" s="23">
        <f t="shared" si="1"/>
        <v>22</v>
      </c>
      <c r="K58">
        <f t="shared" si="21"/>
        <v>11</v>
      </c>
      <c r="L58">
        <v>5</v>
      </c>
      <c r="M58">
        <f t="shared" si="20"/>
        <v>377.54166666666674</v>
      </c>
      <c r="N58">
        <v>176</v>
      </c>
      <c r="O58">
        <f t="shared" si="11"/>
        <v>2.1451231060606064</v>
      </c>
      <c r="Q58" s="5">
        <f t="shared" si="12"/>
        <v>0.64207766439909308</v>
      </c>
      <c r="R58" s="34">
        <f t="shared" si="17"/>
        <v>0.71653840702947846</v>
      </c>
    </row>
    <row r="59" spans="1:42" x14ac:dyDescent="0.25">
      <c r="A59" s="22">
        <v>41891.920138888891</v>
      </c>
      <c r="B59" s="23">
        <v>472.5</v>
      </c>
      <c r="C59">
        <v>94.2</v>
      </c>
      <c r="D59">
        <v>10.3</v>
      </c>
      <c r="E59">
        <v>6</v>
      </c>
      <c r="G59" s="23">
        <f t="shared" si="0"/>
        <v>9</v>
      </c>
      <c r="H59" s="23">
        <f t="shared" si="1"/>
        <v>22</v>
      </c>
      <c r="K59">
        <f t="shared" si="21"/>
        <v>11</v>
      </c>
      <c r="L59">
        <v>6</v>
      </c>
      <c r="M59">
        <f t="shared" si="20"/>
        <v>383.46666666666664</v>
      </c>
      <c r="N59">
        <v>157</v>
      </c>
      <c r="O59">
        <f t="shared" si="11"/>
        <v>2.4424628450106156</v>
      </c>
      <c r="Q59" s="5">
        <f t="shared" si="12"/>
        <v>0.65215419501133787</v>
      </c>
      <c r="R59" s="34">
        <f t="shared" si="17"/>
        <v>0.71653840702947846</v>
      </c>
    </row>
    <row r="60" spans="1:42" x14ac:dyDescent="0.25">
      <c r="A60" s="22">
        <v>41891.923611111109</v>
      </c>
      <c r="B60" s="23">
        <v>473.3</v>
      </c>
      <c r="C60">
        <v>94.2</v>
      </c>
      <c r="D60">
        <v>10.199999999999999</v>
      </c>
      <c r="E60">
        <v>5.9</v>
      </c>
      <c r="G60" s="23">
        <f t="shared" si="0"/>
        <v>9</v>
      </c>
      <c r="H60" s="23">
        <f t="shared" si="1"/>
        <v>22</v>
      </c>
      <c r="K60">
        <f t="shared" si="21"/>
        <v>11</v>
      </c>
      <c r="L60">
        <v>7</v>
      </c>
      <c r="M60">
        <f t="shared" si="20"/>
        <v>404.1583333333333</v>
      </c>
      <c r="N60">
        <v>193</v>
      </c>
      <c r="O60">
        <f t="shared" si="11"/>
        <v>2.0940846286701209</v>
      </c>
      <c r="Q60" s="5">
        <f t="shared" si="12"/>
        <v>0.68734410430838999</v>
      </c>
      <c r="R60" s="34">
        <f t="shared" si="17"/>
        <v>0.71653840702947846</v>
      </c>
    </row>
    <row r="61" spans="1:42" x14ac:dyDescent="0.25">
      <c r="A61" s="22">
        <v>41891.927083333336</v>
      </c>
      <c r="B61" s="23">
        <v>476.2</v>
      </c>
      <c r="C61">
        <v>94.2</v>
      </c>
      <c r="D61">
        <v>10.199999999999999</v>
      </c>
      <c r="E61">
        <v>5.9</v>
      </c>
      <c r="G61" s="23">
        <f t="shared" si="0"/>
        <v>9</v>
      </c>
      <c r="H61" s="23">
        <f t="shared" si="1"/>
        <v>22</v>
      </c>
      <c r="K61">
        <f t="shared" si="21"/>
        <v>11</v>
      </c>
      <c r="L61">
        <v>8</v>
      </c>
      <c r="M61">
        <f t="shared" si="20"/>
        <v>419.2833333333333</v>
      </c>
      <c r="N61">
        <v>144</v>
      </c>
      <c r="O61">
        <f t="shared" si="11"/>
        <v>2.9116898148148147</v>
      </c>
      <c r="Q61" s="5">
        <f t="shared" si="12"/>
        <v>0.71306689342403617</v>
      </c>
      <c r="R61" s="34">
        <f t="shared" si="17"/>
        <v>0.71653840702947846</v>
      </c>
    </row>
    <row r="62" spans="1:42" x14ac:dyDescent="0.25">
      <c r="A62" s="22">
        <v>41891.930555555555</v>
      </c>
      <c r="B62" s="23">
        <v>470.7</v>
      </c>
      <c r="C62">
        <v>94.2</v>
      </c>
      <c r="D62">
        <v>10.1</v>
      </c>
      <c r="E62">
        <v>5.8</v>
      </c>
      <c r="G62" s="23">
        <f t="shared" si="0"/>
        <v>9</v>
      </c>
      <c r="H62" s="23">
        <f t="shared" si="1"/>
        <v>22</v>
      </c>
      <c r="K62">
        <f t="shared" si="21"/>
        <v>11</v>
      </c>
      <c r="L62">
        <v>9</v>
      </c>
      <c r="M62">
        <f t="shared" si="20"/>
        <v>436.09166666666664</v>
      </c>
      <c r="N62">
        <v>201</v>
      </c>
      <c r="O62">
        <f t="shared" si="11"/>
        <v>2.1696102819237146</v>
      </c>
      <c r="Q62" s="5">
        <f t="shared" si="12"/>
        <v>0.74165249433106573</v>
      </c>
      <c r="R62" s="34">
        <f t="shared" si="17"/>
        <v>0.71653840702947846</v>
      </c>
    </row>
    <row r="63" spans="1:42" x14ac:dyDescent="0.25">
      <c r="A63" s="22">
        <v>41891.934027777781</v>
      </c>
      <c r="B63" s="23">
        <v>469.2</v>
      </c>
      <c r="C63">
        <v>94.2</v>
      </c>
      <c r="D63">
        <v>10.1</v>
      </c>
      <c r="E63">
        <v>5.8</v>
      </c>
      <c r="G63" s="23">
        <f t="shared" si="0"/>
        <v>9</v>
      </c>
      <c r="H63" s="23">
        <f t="shared" si="1"/>
        <v>22</v>
      </c>
      <c r="K63">
        <f t="shared" si="21"/>
        <v>11</v>
      </c>
      <c r="L63">
        <v>10</v>
      </c>
      <c r="M63">
        <f>+AVERAGEIF($H$370:$H$657,L63,$B$370:$B$657)</f>
        <v>415.97499999999997</v>
      </c>
      <c r="N63">
        <v>181</v>
      </c>
      <c r="O63">
        <f t="shared" si="11"/>
        <v>2.2982044198895024</v>
      </c>
      <c r="Q63" s="5">
        <f t="shared" si="12"/>
        <v>0.70744047619047612</v>
      </c>
      <c r="R63" s="34">
        <f t="shared" si="17"/>
        <v>0.71653840702947846</v>
      </c>
      <c r="U63">
        <v>157</v>
      </c>
      <c r="V63">
        <v>125</v>
      </c>
      <c r="W63">
        <v>223</v>
      </c>
      <c r="X63">
        <v>175</v>
      </c>
      <c r="Y63">
        <v>126</v>
      </c>
      <c r="Z63">
        <v>176</v>
      </c>
      <c r="AA63">
        <v>157</v>
      </c>
      <c r="AB63">
        <v>193</v>
      </c>
      <c r="AC63">
        <v>144</v>
      </c>
      <c r="AD63">
        <v>201</v>
      </c>
      <c r="AE63">
        <v>181</v>
      </c>
      <c r="AF63">
        <v>163</v>
      </c>
      <c r="AG63">
        <v>201</v>
      </c>
      <c r="AH63">
        <v>180</v>
      </c>
      <c r="AI63">
        <v>200</v>
      </c>
      <c r="AJ63">
        <v>181</v>
      </c>
      <c r="AK63">
        <v>168</v>
      </c>
      <c r="AL63">
        <v>229</v>
      </c>
      <c r="AM63">
        <v>147</v>
      </c>
      <c r="AN63">
        <v>100</v>
      </c>
      <c r="AO63">
        <v>207</v>
      </c>
      <c r="AP63">
        <v>323</v>
      </c>
    </row>
    <row r="64" spans="1:42" x14ac:dyDescent="0.25">
      <c r="A64" s="22">
        <v>41891.9375</v>
      </c>
      <c r="B64" s="23">
        <v>454</v>
      </c>
      <c r="C64">
        <v>94.3</v>
      </c>
      <c r="D64">
        <v>9.9</v>
      </c>
      <c r="E64">
        <v>5.8</v>
      </c>
      <c r="G64" s="23">
        <f t="shared" si="0"/>
        <v>9</v>
      </c>
      <c r="H64" s="23">
        <f t="shared" si="1"/>
        <v>22</v>
      </c>
      <c r="K64">
        <f t="shared" si="21"/>
        <v>11</v>
      </c>
      <c r="L64">
        <v>11</v>
      </c>
      <c r="M64">
        <f t="shared" si="20"/>
        <v>381.81666666666666</v>
      </c>
      <c r="N64">
        <v>163</v>
      </c>
      <c r="O64">
        <f t="shared" si="11"/>
        <v>2.3424335378323109</v>
      </c>
      <c r="Q64" s="5">
        <f t="shared" si="12"/>
        <v>0.64934807256235827</v>
      </c>
      <c r="R64" s="34">
        <f t="shared" si="17"/>
        <v>0.71653840702947846</v>
      </c>
    </row>
    <row r="65" spans="1:18" x14ac:dyDescent="0.25">
      <c r="A65" s="22">
        <v>41891.940972222219</v>
      </c>
      <c r="B65" s="23">
        <v>434.2</v>
      </c>
      <c r="C65">
        <v>94.2</v>
      </c>
      <c r="D65">
        <v>9.6999999999999993</v>
      </c>
      <c r="E65">
        <v>5.7</v>
      </c>
      <c r="G65" s="23">
        <f t="shared" si="0"/>
        <v>9</v>
      </c>
      <c r="H65" s="23">
        <f t="shared" si="1"/>
        <v>22</v>
      </c>
      <c r="K65">
        <f t="shared" si="21"/>
        <v>11</v>
      </c>
      <c r="L65">
        <v>12</v>
      </c>
      <c r="M65">
        <f>+AVERAGEIF($H$370:$H$657,L65,$B$370:$B$657)</f>
        <v>428.76666666666665</v>
      </c>
      <c r="N65">
        <v>201</v>
      </c>
      <c r="O65">
        <f t="shared" si="11"/>
        <v>2.133167495854063</v>
      </c>
      <c r="Q65" s="5">
        <f t="shared" si="12"/>
        <v>0.72919501133786846</v>
      </c>
      <c r="R65" s="34">
        <f t="shared" si="17"/>
        <v>0.71653840702947846</v>
      </c>
    </row>
    <row r="66" spans="1:18" x14ac:dyDescent="0.25">
      <c r="A66" s="22">
        <v>41891.944444444445</v>
      </c>
      <c r="B66" s="23">
        <v>418.6</v>
      </c>
      <c r="C66">
        <v>94.2</v>
      </c>
      <c r="D66">
        <v>9.6</v>
      </c>
      <c r="E66">
        <v>5.8</v>
      </c>
      <c r="G66" s="23">
        <f t="shared" si="0"/>
        <v>9</v>
      </c>
      <c r="H66" s="23">
        <f t="shared" si="1"/>
        <v>22</v>
      </c>
      <c r="K66">
        <f t="shared" si="21"/>
        <v>11</v>
      </c>
      <c r="L66">
        <v>13</v>
      </c>
      <c r="M66">
        <f t="shared" si="20"/>
        <v>467.95000000000005</v>
      </c>
      <c r="N66">
        <v>180</v>
      </c>
      <c r="O66">
        <f t="shared" si="11"/>
        <v>2.5997222222222223</v>
      </c>
      <c r="Q66" s="5">
        <f t="shared" si="12"/>
        <v>0.79583333333333339</v>
      </c>
      <c r="R66" s="34">
        <f t="shared" si="17"/>
        <v>0.71653840702947846</v>
      </c>
    </row>
    <row r="67" spans="1:18" x14ac:dyDescent="0.25">
      <c r="A67" s="22">
        <v>41891.947916666664</v>
      </c>
      <c r="B67" s="23">
        <v>406.6</v>
      </c>
      <c r="C67">
        <v>94.2</v>
      </c>
      <c r="D67">
        <v>9.5</v>
      </c>
      <c r="E67">
        <v>5.8</v>
      </c>
      <c r="G67" s="23">
        <f t="shared" si="0"/>
        <v>9</v>
      </c>
      <c r="H67" s="23">
        <f t="shared" si="1"/>
        <v>22</v>
      </c>
      <c r="K67">
        <f t="shared" si="21"/>
        <v>11</v>
      </c>
      <c r="L67">
        <v>14</v>
      </c>
      <c r="M67">
        <f t="shared" si="20"/>
        <v>470.37500000000006</v>
      </c>
      <c r="N67">
        <v>200</v>
      </c>
      <c r="O67">
        <f t="shared" si="11"/>
        <v>2.3518750000000002</v>
      </c>
      <c r="Q67" s="5">
        <f t="shared" si="12"/>
        <v>0.79995748299319736</v>
      </c>
      <c r="R67" s="34">
        <f t="shared" si="17"/>
        <v>0.71653840702947846</v>
      </c>
    </row>
    <row r="68" spans="1:18" x14ac:dyDescent="0.25">
      <c r="A68" s="22">
        <v>41891.951388888891</v>
      </c>
      <c r="B68" s="23">
        <v>399.5</v>
      </c>
      <c r="C68">
        <v>94.2</v>
      </c>
      <c r="D68">
        <v>9.4</v>
      </c>
      <c r="E68">
        <v>5.8</v>
      </c>
      <c r="G68" s="23">
        <f t="shared" si="0"/>
        <v>9</v>
      </c>
      <c r="H68" s="23">
        <f t="shared" si="1"/>
        <v>22</v>
      </c>
      <c r="K68">
        <f t="shared" si="21"/>
        <v>11</v>
      </c>
      <c r="L68">
        <v>15</v>
      </c>
      <c r="M68">
        <f t="shared" si="20"/>
        <v>470.55833333333339</v>
      </c>
      <c r="N68">
        <v>181</v>
      </c>
      <c r="O68">
        <f t="shared" si="11"/>
        <v>2.5997697974217315</v>
      </c>
      <c r="Q68" s="5">
        <f t="shared" si="12"/>
        <v>0.80026927437641737</v>
      </c>
      <c r="R68" s="34">
        <f t="shared" si="17"/>
        <v>0.71653840702947846</v>
      </c>
    </row>
    <row r="69" spans="1:18" x14ac:dyDescent="0.25">
      <c r="A69" s="22">
        <v>41891.954861111109</v>
      </c>
      <c r="B69" s="23">
        <v>394.1</v>
      </c>
      <c r="C69">
        <v>94.2</v>
      </c>
      <c r="D69">
        <v>9.3000000000000007</v>
      </c>
      <c r="E69">
        <v>5.8</v>
      </c>
      <c r="G69" s="23">
        <f t="shared" si="0"/>
        <v>9</v>
      </c>
      <c r="H69" s="23">
        <f t="shared" si="1"/>
        <v>22</v>
      </c>
      <c r="K69">
        <f t="shared" si="21"/>
        <v>11</v>
      </c>
      <c r="L69">
        <v>16</v>
      </c>
      <c r="M69">
        <f t="shared" si="20"/>
        <v>452.77500000000003</v>
      </c>
      <c r="N69">
        <v>168</v>
      </c>
      <c r="O69">
        <f t="shared" si="11"/>
        <v>2.6950892857142859</v>
      </c>
      <c r="Q69" s="5">
        <f t="shared" si="12"/>
        <v>0.77002551020408172</v>
      </c>
      <c r="R69" s="34">
        <f t="shared" si="17"/>
        <v>0.71653840702947846</v>
      </c>
    </row>
    <row r="70" spans="1:18" x14ac:dyDescent="0.25">
      <c r="A70" s="22">
        <v>41891.958333333336</v>
      </c>
      <c r="B70" s="23">
        <v>389.5</v>
      </c>
      <c r="C70">
        <v>94.2</v>
      </c>
      <c r="D70">
        <v>9.3000000000000007</v>
      </c>
      <c r="E70">
        <v>5.8</v>
      </c>
      <c r="G70" s="23">
        <f t="shared" ref="G70:G133" si="22">+DAY(A70)</f>
        <v>9</v>
      </c>
      <c r="H70" s="23">
        <f t="shared" ref="H70:H133" si="23">+HOUR(A70)</f>
        <v>23</v>
      </c>
      <c r="K70">
        <f t="shared" si="21"/>
        <v>11</v>
      </c>
      <c r="L70">
        <v>17</v>
      </c>
      <c r="M70">
        <f t="shared" si="20"/>
        <v>426.35833333333335</v>
      </c>
      <c r="N70">
        <v>229</v>
      </c>
      <c r="O70">
        <f t="shared" si="11"/>
        <v>1.8618267831149928</v>
      </c>
      <c r="Q70" s="5">
        <f t="shared" si="12"/>
        <v>0.72509920634920633</v>
      </c>
      <c r="R70" s="34">
        <f t="shared" si="17"/>
        <v>0.71653840702947846</v>
      </c>
    </row>
    <row r="71" spans="1:18" x14ac:dyDescent="0.25">
      <c r="A71" s="22">
        <v>41891.961805555555</v>
      </c>
      <c r="B71" s="23">
        <v>386.7</v>
      </c>
      <c r="C71">
        <v>94.2</v>
      </c>
      <c r="D71">
        <v>9.3000000000000007</v>
      </c>
      <c r="E71">
        <v>5.8</v>
      </c>
      <c r="G71" s="23">
        <f t="shared" si="22"/>
        <v>9</v>
      </c>
      <c r="H71" s="23">
        <f t="shared" si="23"/>
        <v>23</v>
      </c>
      <c r="K71">
        <f t="shared" si="21"/>
        <v>11</v>
      </c>
      <c r="L71">
        <v>18</v>
      </c>
      <c r="M71">
        <f t="shared" si="20"/>
        <v>482.5</v>
      </c>
      <c r="N71">
        <v>147</v>
      </c>
      <c r="O71">
        <f t="shared" si="11"/>
        <v>3.2823129251700682</v>
      </c>
      <c r="Q71" s="5">
        <f t="shared" si="12"/>
        <v>0.82057823129251706</v>
      </c>
      <c r="R71" s="34">
        <f t="shared" si="17"/>
        <v>0.71653840702947846</v>
      </c>
    </row>
    <row r="72" spans="1:18" x14ac:dyDescent="0.25">
      <c r="A72" s="22">
        <v>41891.965277777781</v>
      </c>
      <c r="B72" s="23">
        <v>390.5</v>
      </c>
      <c r="C72">
        <v>94.3</v>
      </c>
      <c r="D72">
        <v>9.3000000000000007</v>
      </c>
      <c r="E72">
        <v>5.8</v>
      </c>
      <c r="G72" s="23">
        <f t="shared" si="22"/>
        <v>9</v>
      </c>
      <c r="H72" s="23">
        <f t="shared" si="23"/>
        <v>23</v>
      </c>
      <c r="K72">
        <f t="shared" si="21"/>
        <v>11</v>
      </c>
      <c r="L72">
        <v>19</v>
      </c>
      <c r="M72">
        <f t="shared" si="20"/>
        <v>484.55833333333334</v>
      </c>
      <c r="N72">
        <v>100</v>
      </c>
      <c r="O72">
        <f t="shared" si="11"/>
        <v>4.8455833333333338</v>
      </c>
      <c r="Q72" s="5">
        <f t="shared" si="12"/>
        <v>0.8240787981859411</v>
      </c>
      <c r="R72" s="34">
        <f t="shared" si="17"/>
        <v>0.71653840702947846</v>
      </c>
    </row>
    <row r="73" spans="1:18" x14ac:dyDescent="0.25">
      <c r="A73" s="22">
        <v>41891.96875</v>
      </c>
      <c r="B73" s="23">
        <v>386</v>
      </c>
      <c r="C73">
        <v>94.2</v>
      </c>
      <c r="D73">
        <v>9.3000000000000007</v>
      </c>
      <c r="E73">
        <v>5.8</v>
      </c>
      <c r="G73" s="23">
        <f t="shared" si="22"/>
        <v>9</v>
      </c>
      <c r="H73" s="23">
        <f t="shared" si="23"/>
        <v>23</v>
      </c>
      <c r="K73">
        <f t="shared" si="21"/>
        <v>11</v>
      </c>
      <c r="L73">
        <v>20</v>
      </c>
      <c r="M73">
        <f t="shared" si="20"/>
        <v>482.69166666666666</v>
      </c>
      <c r="N73">
        <v>207</v>
      </c>
      <c r="O73">
        <f t="shared" si="11"/>
        <v>2.3318438003220612</v>
      </c>
      <c r="Q73" s="5">
        <f t="shared" si="12"/>
        <v>0.82090419501133782</v>
      </c>
      <c r="R73" s="34">
        <f t="shared" si="17"/>
        <v>0.71653840702947846</v>
      </c>
    </row>
    <row r="74" spans="1:18" x14ac:dyDescent="0.25">
      <c r="A74" s="22">
        <v>41891.972222222219</v>
      </c>
      <c r="B74" s="23">
        <v>388.3</v>
      </c>
      <c r="C74">
        <v>94.4</v>
      </c>
      <c r="D74">
        <v>9.3000000000000007</v>
      </c>
      <c r="E74">
        <v>5.8</v>
      </c>
      <c r="G74" s="23">
        <f t="shared" si="22"/>
        <v>9</v>
      </c>
      <c r="H74" s="23">
        <f t="shared" si="23"/>
        <v>23</v>
      </c>
      <c r="K74">
        <f t="shared" si="21"/>
        <v>11</v>
      </c>
      <c r="L74">
        <v>21</v>
      </c>
      <c r="M74">
        <f t="shared" si="20"/>
        <v>480.84999999999991</v>
      </c>
      <c r="N74">
        <v>323</v>
      </c>
      <c r="O74">
        <f t="shared" si="11"/>
        <v>1.4886996904024765</v>
      </c>
      <c r="Q74" s="5">
        <f t="shared" si="12"/>
        <v>0.81777210884353724</v>
      </c>
      <c r="R74" s="34">
        <f t="shared" si="17"/>
        <v>0.71653840702947846</v>
      </c>
    </row>
    <row r="75" spans="1:18" x14ac:dyDescent="0.25">
      <c r="A75" s="22">
        <v>41891.975694444445</v>
      </c>
      <c r="B75" s="23">
        <v>389.1</v>
      </c>
      <c r="C75">
        <v>94.2</v>
      </c>
      <c r="D75">
        <v>9.3000000000000007</v>
      </c>
      <c r="E75">
        <v>5.8</v>
      </c>
      <c r="G75" s="23">
        <f t="shared" si="22"/>
        <v>9</v>
      </c>
      <c r="H75" s="23">
        <f t="shared" si="23"/>
        <v>23</v>
      </c>
      <c r="K75">
        <f t="shared" si="21"/>
        <v>11</v>
      </c>
      <c r="L75">
        <v>22</v>
      </c>
      <c r="M75">
        <f t="shared" si="20"/>
        <v>476.89166666666665</v>
      </c>
      <c r="O75" t="e">
        <f t="shared" si="11"/>
        <v>#DIV/0!</v>
      </c>
      <c r="R75" s="34">
        <f t="shared" si="17"/>
        <v>0.71653840702947846</v>
      </c>
    </row>
    <row r="76" spans="1:18" x14ac:dyDescent="0.25">
      <c r="A76" s="22">
        <v>41891.979166666664</v>
      </c>
      <c r="B76" s="23">
        <v>387.3</v>
      </c>
      <c r="C76">
        <v>94.2</v>
      </c>
      <c r="D76">
        <v>9.3000000000000007</v>
      </c>
      <c r="E76">
        <v>5.8</v>
      </c>
      <c r="G76" s="23">
        <f t="shared" si="22"/>
        <v>9</v>
      </c>
      <c r="H76" s="23">
        <f t="shared" si="23"/>
        <v>23</v>
      </c>
      <c r="K76">
        <f t="shared" si="21"/>
        <v>11</v>
      </c>
      <c r="L76">
        <v>23</v>
      </c>
      <c r="M76">
        <f t="shared" si="20"/>
        <v>430.61666666666662</v>
      </c>
      <c r="O76" t="e">
        <f t="shared" si="11"/>
        <v>#DIV/0!</v>
      </c>
      <c r="R76" s="34">
        <f t="shared" si="17"/>
        <v>0.71653840702947846</v>
      </c>
    </row>
    <row r="77" spans="1:18" x14ac:dyDescent="0.25">
      <c r="A77" s="22">
        <v>41891.982638888891</v>
      </c>
      <c r="B77" s="23">
        <v>389.3</v>
      </c>
      <c r="C77">
        <v>94.3</v>
      </c>
      <c r="D77">
        <v>9.3000000000000007</v>
      </c>
      <c r="E77">
        <v>5.8</v>
      </c>
      <c r="G77" s="23">
        <f t="shared" si="22"/>
        <v>9</v>
      </c>
      <c r="H77" s="23">
        <f t="shared" si="23"/>
        <v>23</v>
      </c>
      <c r="K77">
        <v>12</v>
      </c>
      <c r="L77">
        <v>0</v>
      </c>
      <c r="M77">
        <f t="shared" si="20"/>
        <v>409.125</v>
      </c>
      <c r="O77" t="e">
        <f t="shared" si="11"/>
        <v>#DIV/0!</v>
      </c>
    </row>
    <row r="78" spans="1:18" x14ac:dyDescent="0.25">
      <c r="A78" s="22">
        <v>41891.986111111109</v>
      </c>
      <c r="B78" s="23">
        <v>384.2</v>
      </c>
      <c r="C78">
        <v>94.3</v>
      </c>
      <c r="D78">
        <v>9.3000000000000007</v>
      </c>
      <c r="E78">
        <v>5.8</v>
      </c>
      <c r="G78" s="23">
        <f t="shared" si="22"/>
        <v>9</v>
      </c>
      <c r="H78" s="23">
        <f t="shared" si="23"/>
        <v>23</v>
      </c>
      <c r="K78">
        <v>12</v>
      </c>
      <c r="L78">
        <v>1</v>
      </c>
      <c r="M78">
        <f t="shared" si="20"/>
        <v>385.97500000000008</v>
      </c>
      <c r="O78" t="e">
        <f t="shared" si="11"/>
        <v>#DIV/0!</v>
      </c>
    </row>
    <row r="79" spans="1:18" x14ac:dyDescent="0.25">
      <c r="A79" s="22">
        <v>41891.989583333336</v>
      </c>
      <c r="B79" s="23">
        <v>382.1</v>
      </c>
      <c r="C79">
        <v>94.2</v>
      </c>
      <c r="D79">
        <v>9.1999999999999993</v>
      </c>
      <c r="E79">
        <v>5.8</v>
      </c>
      <c r="G79" s="23">
        <f t="shared" si="22"/>
        <v>9</v>
      </c>
      <c r="H79" s="23">
        <f t="shared" si="23"/>
        <v>23</v>
      </c>
      <c r="K79">
        <v>12</v>
      </c>
      <c r="L79">
        <v>2</v>
      </c>
      <c r="M79">
        <f t="shared" si="20"/>
        <v>372.54166666666669</v>
      </c>
    </row>
    <row r="80" spans="1:18" x14ac:dyDescent="0.25">
      <c r="A80" s="22">
        <v>41891.993055555555</v>
      </c>
      <c r="B80" s="23">
        <v>380.5</v>
      </c>
      <c r="C80">
        <v>94.2</v>
      </c>
      <c r="D80">
        <v>9.1999999999999993</v>
      </c>
      <c r="E80">
        <v>5.8</v>
      </c>
      <c r="G80" s="23">
        <f t="shared" si="22"/>
        <v>9</v>
      </c>
      <c r="H80" s="23">
        <f t="shared" si="23"/>
        <v>23</v>
      </c>
      <c r="K80">
        <v>12</v>
      </c>
      <c r="L80">
        <v>3</v>
      </c>
      <c r="M80">
        <f t="shared" si="20"/>
        <v>388.97500000000008</v>
      </c>
    </row>
    <row r="81" spans="1:13" x14ac:dyDescent="0.25">
      <c r="A81" s="22">
        <v>41891.996527777781</v>
      </c>
      <c r="B81" s="23">
        <v>379.2</v>
      </c>
      <c r="C81">
        <v>94.3</v>
      </c>
      <c r="D81">
        <v>9.1999999999999993</v>
      </c>
      <c r="E81">
        <v>5.8</v>
      </c>
      <c r="G81" s="23">
        <f t="shared" si="22"/>
        <v>9</v>
      </c>
      <c r="H81" s="23">
        <f t="shared" si="23"/>
        <v>23</v>
      </c>
      <c r="K81">
        <v>12</v>
      </c>
      <c r="L81">
        <v>4</v>
      </c>
      <c r="M81">
        <f t="shared" si="20"/>
        <v>385.10833333333335</v>
      </c>
    </row>
    <row r="82" spans="1:13" x14ac:dyDescent="0.25">
      <c r="A82" s="22">
        <v>41892</v>
      </c>
      <c r="B82" s="23">
        <v>379.9</v>
      </c>
      <c r="C82">
        <v>94.3</v>
      </c>
      <c r="D82">
        <v>9.1999999999999993</v>
      </c>
      <c r="E82">
        <v>5.8</v>
      </c>
      <c r="G82" s="23">
        <f t="shared" si="22"/>
        <v>10</v>
      </c>
      <c r="H82" s="23">
        <f t="shared" si="23"/>
        <v>0</v>
      </c>
      <c r="K82">
        <v>12</v>
      </c>
      <c r="L82">
        <v>5</v>
      </c>
      <c r="M82">
        <f t="shared" si="20"/>
        <v>377.54166666666674</v>
      </c>
    </row>
    <row r="83" spans="1:13" x14ac:dyDescent="0.25">
      <c r="A83" s="22">
        <v>41892.003472222219</v>
      </c>
      <c r="B83" s="23">
        <v>378.8</v>
      </c>
      <c r="C83">
        <v>94.3</v>
      </c>
      <c r="D83">
        <v>9.1999999999999993</v>
      </c>
      <c r="E83">
        <v>5.8</v>
      </c>
      <c r="G83" s="23">
        <f t="shared" si="22"/>
        <v>10</v>
      </c>
      <c r="H83" s="23">
        <f t="shared" si="23"/>
        <v>0</v>
      </c>
      <c r="K83">
        <v>12</v>
      </c>
      <c r="L83">
        <v>6</v>
      </c>
      <c r="M83">
        <f t="shared" si="20"/>
        <v>383.46666666666664</v>
      </c>
    </row>
    <row r="84" spans="1:13" x14ac:dyDescent="0.25">
      <c r="A84" s="22">
        <v>41892.006944444445</v>
      </c>
      <c r="B84" s="23">
        <v>380</v>
      </c>
      <c r="C84">
        <v>94.2</v>
      </c>
      <c r="D84">
        <v>9.1999999999999993</v>
      </c>
      <c r="E84">
        <v>5.8</v>
      </c>
      <c r="G84" s="23">
        <f t="shared" si="22"/>
        <v>10</v>
      </c>
      <c r="H84" s="23">
        <f t="shared" si="23"/>
        <v>0</v>
      </c>
      <c r="K84">
        <v>12</v>
      </c>
      <c r="L84">
        <v>7</v>
      </c>
      <c r="M84">
        <f t="shared" si="20"/>
        <v>404.1583333333333</v>
      </c>
    </row>
    <row r="85" spans="1:13" x14ac:dyDescent="0.25">
      <c r="A85" s="22">
        <v>41892.010416666664</v>
      </c>
      <c r="B85" s="23">
        <v>380.4</v>
      </c>
      <c r="C85">
        <v>94.2</v>
      </c>
      <c r="D85">
        <v>9.1999999999999993</v>
      </c>
      <c r="E85">
        <v>5.8</v>
      </c>
      <c r="G85" s="23">
        <f t="shared" si="22"/>
        <v>10</v>
      </c>
      <c r="H85" s="23">
        <f t="shared" si="23"/>
        <v>0</v>
      </c>
      <c r="K85">
        <v>12</v>
      </c>
      <c r="L85">
        <v>8</v>
      </c>
      <c r="M85">
        <f t="shared" si="20"/>
        <v>419.2833333333333</v>
      </c>
    </row>
    <row r="86" spans="1:13" x14ac:dyDescent="0.25">
      <c r="A86" s="22">
        <v>41892.013888888891</v>
      </c>
      <c r="B86" s="23">
        <v>385.4</v>
      </c>
      <c r="C86">
        <v>94.3</v>
      </c>
      <c r="D86">
        <v>9.3000000000000007</v>
      </c>
      <c r="E86">
        <v>5.8</v>
      </c>
      <c r="G86" s="23">
        <f t="shared" si="22"/>
        <v>10</v>
      </c>
      <c r="H86" s="23">
        <f t="shared" si="23"/>
        <v>0</v>
      </c>
      <c r="K86">
        <v>12</v>
      </c>
      <c r="L86">
        <v>9</v>
      </c>
      <c r="M86">
        <f t="shared" si="20"/>
        <v>436.09166666666664</v>
      </c>
    </row>
    <row r="87" spans="1:13" x14ac:dyDescent="0.25">
      <c r="A87" s="22">
        <v>41892.017361111109</v>
      </c>
      <c r="B87" s="23">
        <v>385.6</v>
      </c>
      <c r="C87">
        <v>94.3</v>
      </c>
      <c r="D87">
        <v>9.3000000000000007</v>
      </c>
      <c r="E87">
        <v>5.8</v>
      </c>
      <c r="G87" s="23">
        <f t="shared" si="22"/>
        <v>10</v>
      </c>
      <c r="H87" s="23">
        <f t="shared" si="23"/>
        <v>0</v>
      </c>
      <c r="K87">
        <v>12</v>
      </c>
      <c r="L87">
        <v>10</v>
      </c>
      <c r="M87">
        <f t="shared" si="20"/>
        <v>415.97499999999997</v>
      </c>
    </row>
    <row r="88" spans="1:13" x14ac:dyDescent="0.25">
      <c r="A88" s="22">
        <v>41892.020833333336</v>
      </c>
      <c r="B88" s="23">
        <v>385</v>
      </c>
      <c r="C88">
        <v>94.3</v>
      </c>
      <c r="D88">
        <v>9.3000000000000007</v>
      </c>
      <c r="E88">
        <v>5.8</v>
      </c>
      <c r="G88" s="23">
        <f t="shared" si="22"/>
        <v>10</v>
      </c>
      <c r="H88" s="23">
        <f t="shared" si="23"/>
        <v>0</v>
      </c>
      <c r="K88">
        <v>12</v>
      </c>
      <c r="L88">
        <v>11</v>
      </c>
      <c r="M88">
        <f t="shared" si="20"/>
        <v>381.81666666666666</v>
      </c>
    </row>
    <row r="89" spans="1:13" x14ac:dyDescent="0.25">
      <c r="A89" s="22">
        <v>41892.024305555555</v>
      </c>
      <c r="B89" s="23">
        <v>383.7</v>
      </c>
      <c r="C89">
        <v>94.3</v>
      </c>
      <c r="D89">
        <v>9.3000000000000007</v>
      </c>
      <c r="E89">
        <v>5.8</v>
      </c>
      <c r="G89" s="23">
        <f t="shared" si="22"/>
        <v>10</v>
      </c>
      <c r="H89" s="23">
        <f t="shared" si="23"/>
        <v>0</v>
      </c>
      <c r="K89">
        <v>12</v>
      </c>
      <c r="L89">
        <v>12</v>
      </c>
      <c r="M89">
        <f t="shared" si="20"/>
        <v>428.76666666666665</v>
      </c>
    </row>
    <row r="90" spans="1:13" x14ac:dyDescent="0.25">
      <c r="A90" s="22">
        <v>41892.027777777781</v>
      </c>
      <c r="B90" s="23">
        <v>383.9</v>
      </c>
      <c r="C90">
        <v>94.3</v>
      </c>
      <c r="D90">
        <v>9.3000000000000007</v>
      </c>
      <c r="E90">
        <v>5.8</v>
      </c>
      <c r="G90" s="23">
        <f t="shared" si="22"/>
        <v>10</v>
      </c>
      <c r="H90" s="23">
        <f t="shared" si="23"/>
        <v>0</v>
      </c>
      <c r="K90">
        <v>12</v>
      </c>
      <c r="L90">
        <v>13</v>
      </c>
      <c r="M90">
        <f t="shared" si="20"/>
        <v>467.95000000000005</v>
      </c>
    </row>
    <row r="91" spans="1:13" x14ac:dyDescent="0.25">
      <c r="A91" s="22">
        <v>41892.03125</v>
      </c>
      <c r="B91" s="23">
        <v>383.7</v>
      </c>
      <c r="C91">
        <v>94.4</v>
      </c>
      <c r="D91">
        <v>9.3000000000000007</v>
      </c>
      <c r="E91">
        <v>5.8</v>
      </c>
      <c r="G91" s="23">
        <f t="shared" si="22"/>
        <v>10</v>
      </c>
      <c r="H91" s="23">
        <f t="shared" si="23"/>
        <v>0</v>
      </c>
      <c r="K91">
        <v>12</v>
      </c>
      <c r="L91">
        <v>14</v>
      </c>
      <c r="M91">
        <f t="shared" si="20"/>
        <v>470.37500000000006</v>
      </c>
    </row>
    <row r="92" spans="1:13" x14ac:dyDescent="0.25">
      <c r="A92" s="22">
        <v>41892.034722222219</v>
      </c>
      <c r="B92" s="23">
        <v>380.5</v>
      </c>
      <c r="C92">
        <v>94.3</v>
      </c>
      <c r="D92">
        <v>9.1999999999999993</v>
      </c>
      <c r="E92">
        <v>5.8</v>
      </c>
      <c r="G92" s="23">
        <f t="shared" si="22"/>
        <v>10</v>
      </c>
      <c r="H92" s="23">
        <f t="shared" si="23"/>
        <v>0</v>
      </c>
      <c r="K92">
        <v>12</v>
      </c>
      <c r="L92">
        <v>15</v>
      </c>
      <c r="M92">
        <f t="shared" si="20"/>
        <v>470.55833333333339</v>
      </c>
    </row>
    <row r="93" spans="1:13" x14ac:dyDescent="0.25">
      <c r="A93" s="22">
        <v>41892.038194444445</v>
      </c>
      <c r="B93" s="23">
        <v>380.3</v>
      </c>
      <c r="C93">
        <v>94.2</v>
      </c>
      <c r="D93">
        <v>9.1999999999999993</v>
      </c>
      <c r="E93">
        <v>5.8</v>
      </c>
      <c r="G93" s="23">
        <f t="shared" si="22"/>
        <v>10</v>
      </c>
      <c r="H93" s="23">
        <f t="shared" si="23"/>
        <v>0</v>
      </c>
      <c r="K93">
        <v>12</v>
      </c>
      <c r="L93">
        <v>16</v>
      </c>
      <c r="M93">
        <f t="shared" si="20"/>
        <v>452.77500000000003</v>
      </c>
    </row>
    <row r="94" spans="1:13" x14ac:dyDescent="0.25">
      <c r="A94" s="22">
        <v>41892.041666666664</v>
      </c>
      <c r="B94" s="23">
        <v>380.6</v>
      </c>
      <c r="C94">
        <v>94.2</v>
      </c>
      <c r="D94">
        <v>9.1999999999999993</v>
      </c>
      <c r="E94">
        <v>5.8</v>
      </c>
      <c r="G94" s="23">
        <f t="shared" si="22"/>
        <v>10</v>
      </c>
      <c r="H94" s="23">
        <f t="shared" si="23"/>
        <v>1</v>
      </c>
      <c r="K94">
        <v>12</v>
      </c>
      <c r="L94">
        <v>17</v>
      </c>
      <c r="M94">
        <f t="shared" si="20"/>
        <v>426.35833333333335</v>
      </c>
    </row>
    <row r="95" spans="1:13" x14ac:dyDescent="0.25">
      <c r="A95" s="22">
        <v>41892.045138888891</v>
      </c>
      <c r="B95" s="23">
        <v>381.2</v>
      </c>
      <c r="C95">
        <v>94.3</v>
      </c>
      <c r="D95">
        <v>9.1999999999999993</v>
      </c>
      <c r="E95">
        <v>5.8</v>
      </c>
      <c r="G95" s="23">
        <f t="shared" si="22"/>
        <v>10</v>
      </c>
      <c r="H95" s="23">
        <f t="shared" si="23"/>
        <v>1</v>
      </c>
      <c r="K95">
        <v>12</v>
      </c>
      <c r="L95">
        <v>18</v>
      </c>
      <c r="M95">
        <f t="shared" si="20"/>
        <v>482.5</v>
      </c>
    </row>
    <row r="96" spans="1:13" x14ac:dyDescent="0.25">
      <c r="A96" s="22">
        <v>41892.048611111109</v>
      </c>
      <c r="B96" s="23">
        <v>382.1</v>
      </c>
      <c r="C96">
        <v>94.3</v>
      </c>
      <c r="D96">
        <v>9.1999999999999993</v>
      </c>
      <c r="E96">
        <v>5.8</v>
      </c>
      <c r="G96" s="23">
        <f t="shared" si="22"/>
        <v>10</v>
      </c>
      <c r="H96" s="23">
        <f t="shared" si="23"/>
        <v>1</v>
      </c>
      <c r="K96">
        <v>12</v>
      </c>
      <c r="L96">
        <v>19</v>
      </c>
      <c r="M96">
        <f t="shared" si="20"/>
        <v>484.55833333333334</v>
      </c>
    </row>
    <row r="97" spans="1:13" x14ac:dyDescent="0.25">
      <c r="A97" s="22">
        <v>41892.052083333336</v>
      </c>
      <c r="B97" s="23">
        <v>381.2</v>
      </c>
      <c r="C97">
        <v>94.2</v>
      </c>
      <c r="D97">
        <v>9.1999999999999993</v>
      </c>
      <c r="E97">
        <v>5.8</v>
      </c>
      <c r="G97" s="23">
        <f t="shared" si="22"/>
        <v>10</v>
      </c>
      <c r="H97" s="23">
        <f t="shared" si="23"/>
        <v>1</v>
      </c>
      <c r="K97">
        <v>12</v>
      </c>
      <c r="L97">
        <v>20</v>
      </c>
      <c r="M97">
        <f t="shared" si="20"/>
        <v>482.69166666666666</v>
      </c>
    </row>
    <row r="98" spans="1:13" x14ac:dyDescent="0.25">
      <c r="A98" s="22">
        <v>41892.055555555555</v>
      </c>
      <c r="B98" s="23">
        <v>381.1</v>
      </c>
      <c r="C98">
        <v>94.3</v>
      </c>
      <c r="D98">
        <v>9.1999999999999993</v>
      </c>
      <c r="E98">
        <v>5.8</v>
      </c>
      <c r="G98" s="23">
        <f t="shared" si="22"/>
        <v>10</v>
      </c>
      <c r="H98" s="23">
        <f t="shared" si="23"/>
        <v>1</v>
      </c>
      <c r="K98">
        <v>12</v>
      </c>
      <c r="L98">
        <v>21</v>
      </c>
      <c r="M98">
        <f t="shared" si="20"/>
        <v>480.84999999999991</v>
      </c>
    </row>
    <row r="99" spans="1:13" x14ac:dyDescent="0.25">
      <c r="A99" s="22">
        <v>41892.059027777781</v>
      </c>
      <c r="B99" s="23">
        <v>379.9</v>
      </c>
      <c r="C99">
        <v>94.3</v>
      </c>
      <c r="D99">
        <v>9.1999999999999993</v>
      </c>
      <c r="E99">
        <v>5.8</v>
      </c>
      <c r="G99" s="23">
        <f t="shared" si="22"/>
        <v>10</v>
      </c>
      <c r="H99" s="23">
        <f t="shared" si="23"/>
        <v>1</v>
      </c>
      <c r="K99">
        <v>12</v>
      </c>
      <c r="L99">
        <v>22</v>
      </c>
      <c r="M99">
        <f t="shared" si="20"/>
        <v>476.89166666666665</v>
      </c>
    </row>
    <row r="100" spans="1:13" x14ac:dyDescent="0.25">
      <c r="A100" s="22">
        <v>41892.0625</v>
      </c>
      <c r="B100" s="23">
        <v>377.7</v>
      </c>
      <c r="C100">
        <v>94.4</v>
      </c>
      <c r="D100">
        <v>9.1999999999999993</v>
      </c>
      <c r="E100">
        <v>5.8</v>
      </c>
      <c r="G100" s="23">
        <f t="shared" si="22"/>
        <v>10</v>
      </c>
      <c r="H100" s="23">
        <f t="shared" si="23"/>
        <v>1</v>
      </c>
      <c r="K100">
        <v>12</v>
      </c>
      <c r="L100">
        <v>23</v>
      </c>
      <c r="M100">
        <f t="shared" si="20"/>
        <v>430.61666666666662</v>
      </c>
    </row>
    <row r="101" spans="1:13" x14ac:dyDescent="0.25">
      <c r="A101" s="22">
        <v>41892.065972222219</v>
      </c>
      <c r="B101" s="23">
        <v>374.8</v>
      </c>
      <c r="C101">
        <v>94.3</v>
      </c>
      <c r="D101">
        <v>9.1999999999999993</v>
      </c>
      <c r="E101">
        <v>5.8</v>
      </c>
      <c r="G101" s="23">
        <f t="shared" si="22"/>
        <v>10</v>
      </c>
      <c r="H101" s="23">
        <f t="shared" si="23"/>
        <v>1</v>
      </c>
      <c r="K101">
        <v>13</v>
      </c>
      <c r="L101">
        <v>0</v>
      </c>
      <c r="M101">
        <f t="shared" si="20"/>
        <v>409.125</v>
      </c>
    </row>
    <row r="102" spans="1:13" x14ac:dyDescent="0.25">
      <c r="A102" s="22">
        <v>41892.069444444445</v>
      </c>
      <c r="B102" s="23">
        <v>374</v>
      </c>
      <c r="C102">
        <v>94.2</v>
      </c>
      <c r="D102">
        <v>9.1999999999999993</v>
      </c>
      <c r="E102">
        <v>5.8</v>
      </c>
      <c r="G102" s="23">
        <f t="shared" si="22"/>
        <v>10</v>
      </c>
      <c r="H102" s="23">
        <f t="shared" si="23"/>
        <v>1</v>
      </c>
      <c r="K102">
        <v>13</v>
      </c>
      <c r="L102">
        <v>1</v>
      </c>
      <c r="M102">
        <f t="shared" si="20"/>
        <v>385.97500000000008</v>
      </c>
    </row>
    <row r="103" spans="1:13" x14ac:dyDescent="0.25">
      <c r="A103" s="22">
        <v>41892.072916666664</v>
      </c>
      <c r="B103" s="23">
        <v>372.4</v>
      </c>
      <c r="C103">
        <v>94.3</v>
      </c>
      <c r="D103">
        <v>9.1</v>
      </c>
      <c r="E103">
        <v>5.8</v>
      </c>
      <c r="G103" s="23">
        <f t="shared" si="22"/>
        <v>10</v>
      </c>
      <c r="H103" s="23">
        <f t="shared" si="23"/>
        <v>1</v>
      </c>
      <c r="K103">
        <v>13</v>
      </c>
      <c r="L103">
        <v>2</v>
      </c>
      <c r="M103">
        <f t="shared" si="20"/>
        <v>372.54166666666669</v>
      </c>
    </row>
    <row r="104" spans="1:13" x14ac:dyDescent="0.25">
      <c r="A104" s="22">
        <v>41892.076388888891</v>
      </c>
      <c r="B104" s="23">
        <v>373.7</v>
      </c>
      <c r="C104">
        <v>94.3</v>
      </c>
      <c r="D104">
        <v>9.1999999999999993</v>
      </c>
      <c r="E104">
        <v>5.8</v>
      </c>
      <c r="G104" s="23">
        <f t="shared" si="22"/>
        <v>10</v>
      </c>
      <c r="H104" s="23">
        <f t="shared" si="23"/>
        <v>1</v>
      </c>
      <c r="K104">
        <v>13</v>
      </c>
      <c r="L104">
        <v>3</v>
      </c>
      <c r="M104">
        <f t="shared" si="20"/>
        <v>388.97500000000008</v>
      </c>
    </row>
    <row r="105" spans="1:13" x14ac:dyDescent="0.25">
      <c r="A105" s="22">
        <v>41892.079861111109</v>
      </c>
      <c r="B105" s="23">
        <v>373</v>
      </c>
      <c r="C105">
        <v>94.2</v>
      </c>
      <c r="D105">
        <v>9.1999999999999993</v>
      </c>
      <c r="E105">
        <v>5.8</v>
      </c>
      <c r="G105" s="23">
        <f t="shared" si="22"/>
        <v>10</v>
      </c>
      <c r="H105" s="23">
        <f t="shared" si="23"/>
        <v>1</v>
      </c>
      <c r="K105">
        <v>13</v>
      </c>
      <c r="L105">
        <v>4</v>
      </c>
      <c r="M105">
        <f t="shared" si="20"/>
        <v>385.10833333333335</v>
      </c>
    </row>
    <row r="106" spans="1:13" x14ac:dyDescent="0.25">
      <c r="A106" s="22">
        <v>41892.083333333336</v>
      </c>
      <c r="B106" s="23">
        <v>372.2</v>
      </c>
      <c r="C106">
        <v>94.2</v>
      </c>
      <c r="D106">
        <v>9.1999999999999993</v>
      </c>
      <c r="E106">
        <v>5.8</v>
      </c>
      <c r="G106" s="23">
        <f t="shared" si="22"/>
        <v>10</v>
      </c>
      <c r="H106" s="23">
        <f t="shared" si="23"/>
        <v>2</v>
      </c>
      <c r="K106">
        <v>13</v>
      </c>
      <c r="L106">
        <v>5</v>
      </c>
      <c r="M106">
        <f t="shared" si="20"/>
        <v>377.54166666666674</v>
      </c>
    </row>
    <row r="107" spans="1:13" x14ac:dyDescent="0.25">
      <c r="A107" s="22">
        <v>41892.086805555555</v>
      </c>
      <c r="B107" s="23">
        <v>372.6</v>
      </c>
      <c r="C107">
        <v>94.2</v>
      </c>
      <c r="D107">
        <v>9.1999999999999993</v>
      </c>
      <c r="E107">
        <v>5.8</v>
      </c>
      <c r="G107" s="23">
        <f t="shared" si="22"/>
        <v>10</v>
      </c>
      <c r="H107" s="23">
        <f t="shared" si="23"/>
        <v>2</v>
      </c>
      <c r="K107">
        <v>13</v>
      </c>
      <c r="L107">
        <v>6</v>
      </c>
      <c r="M107">
        <f t="shared" si="20"/>
        <v>383.46666666666664</v>
      </c>
    </row>
    <row r="108" spans="1:13" x14ac:dyDescent="0.25">
      <c r="A108" s="22">
        <v>41892.090277777781</v>
      </c>
      <c r="B108" s="23">
        <v>374.5</v>
      </c>
      <c r="C108">
        <v>94.4</v>
      </c>
      <c r="D108">
        <v>9.1999999999999993</v>
      </c>
      <c r="E108">
        <v>5.8</v>
      </c>
      <c r="G108" s="23">
        <f t="shared" si="22"/>
        <v>10</v>
      </c>
      <c r="H108" s="23">
        <f t="shared" si="23"/>
        <v>2</v>
      </c>
      <c r="K108">
        <v>13</v>
      </c>
      <c r="L108">
        <v>7</v>
      </c>
      <c r="M108">
        <f t="shared" si="20"/>
        <v>404.1583333333333</v>
      </c>
    </row>
    <row r="109" spans="1:13" x14ac:dyDescent="0.25">
      <c r="A109" s="22">
        <v>41892.09375</v>
      </c>
      <c r="B109" s="23">
        <v>369.2</v>
      </c>
      <c r="C109">
        <v>94.2</v>
      </c>
      <c r="D109">
        <v>9.1</v>
      </c>
      <c r="E109">
        <v>5.8</v>
      </c>
      <c r="G109" s="23">
        <f t="shared" si="22"/>
        <v>10</v>
      </c>
      <c r="H109" s="23">
        <f t="shared" si="23"/>
        <v>2</v>
      </c>
      <c r="K109">
        <v>13</v>
      </c>
      <c r="L109">
        <v>8</v>
      </c>
      <c r="M109">
        <f t="shared" si="20"/>
        <v>419.2833333333333</v>
      </c>
    </row>
    <row r="110" spans="1:13" x14ac:dyDescent="0.25">
      <c r="A110" s="22">
        <v>41892.097222222219</v>
      </c>
      <c r="B110" s="23">
        <v>365.1</v>
      </c>
      <c r="C110">
        <v>94.3</v>
      </c>
      <c r="D110">
        <v>9.1</v>
      </c>
      <c r="E110">
        <v>5.8</v>
      </c>
      <c r="G110" s="23">
        <f t="shared" si="22"/>
        <v>10</v>
      </c>
      <c r="H110" s="23">
        <f t="shared" si="23"/>
        <v>2</v>
      </c>
      <c r="K110">
        <v>13</v>
      </c>
      <c r="L110">
        <v>9</v>
      </c>
      <c r="M110">
        <f t="shared" si="20"/>
        <v>436.09166666666664</v>
      </c>
    </row>
    <row r="111" spans="1:13" x14ac:dyDescent="0.25">
      <c r="A111" s="22">
        <v>41892.100694444445</v>
      </c>
      <c r="B111" s="23">
        <v>361.6</v>
      </c>
      <c r="C111">
        <v>94.3</v>
      </c>
      <c r="D111">
        <v>9</v>
      </c>
      <c r="E111">
        <v>5.8</v>
      </c>
      <c r="G111" s="23">
        <f t="shared" si="22"/>
        <v>10</v>
      </c>
      <c r="H111" s="23">
        <f t="shared" si="23"/>
        <v>2</v>
      </c>
      <c r="K111">
        <v>13</v>
      </c>
      <c r="L111">
        <v>10</v>
      </c>
      <c r="M111">
        <f t="shared" si="20"/>
        <v>415.97499999999997</v>
      </c>
    </row>
    <row r="112" spans="1:13" x14ac:dyDescent="0.25">
      <c r="A112" s="22">
        <v>41892.104166666664</v>
      </c>
      <c r="B112" s="23">
        <v>358.6</v>
      </c>
      <c r="C112">
        <v>94.2</v>
      </c>
      <c r="D112">
        <v>9</v>
      </c>
      <c r="E112">
        <v>5.8</v>
      </c>
      <c r="G112" s="23">
        <f t="shared" si="22"/>
        <v>10</v>
      </c>
      <c r="H112" s="23">
        <f t="shared" si="23"/>
        <v>2</v>
      </c>
      <c r="K112">
        <v>13</v>
      </c>
      <c r="L112">
        <v>11</v>
      </c>
      <c r="M112">
        <f t="shared" si="20"/>
        <v>381.81666666666666</v>
      </c>
    </row>
    <row r="113" spans="1:13" x14ac:dyDescent="0.25">
      <c r="A113" s="22">
        <v>41892.107638888891</v>
      </c>
      <c r="B113" s="23">
        <v>355.6</v>
      </c>
      <c r="C113">
        <v>94.3</v>
      </c>
      <c r="D113">
        <v>9</v>
      </c>
      <c r="E113">
        <v>5.8</v>
      </c>
      <c r="G113" s="23">
        <f t="shared" si="22"/>
        <v>10</v>
      </c>
      <c r="H113" s="23">
        <f t="shared" si="23"/>
        <v>2</v>
      </c>
      <c r="K113">
        <v>13</v>
      </c>
      <c r="L113">
        <v>12</v>
      </c>
      <c r="M113">
        <f t="shared" si="20"/>
        <v>428.76666666666665</v>
      </c>
    </row>
    <row r="114" spans="1:13" x14ac:dyDescent="0.25">
      <c r="A114" s="22">
        <v>41892.111111111109</v>
      </c>
      <c r="B114" s="23">
        <v>351.9</v>
      </c>
      <c r="C114">
        <v>94.3</v>
      </c>
      <c r="D114">
        <v>9</v>
      </c>
      <c r="E114">
        <v>5.7</v>
      </c>
      <c r="G114" s="23">
        <f t="shared" si="22"/>
        <v>10</v>
      </c>
      <c r="H114" s="23">
        <f t="shared" si="23"/>
        <v>2</v>
      </c>
      <c r="K114">
        <v>13</v>
      </c>
      <c r="L114">
        <v>13</v>
      </c>
      <c r="M114">
        <f t="shared" si="20"/>
        <v>467.95000000000005</v>
      </c>
    </row>
    <row r="115" spans="1:13" x14ac:dyDescent="0.25">
      <c r="A115" s="22">
        <v>41892.114583333336</v>
      </c>
      <c r="B115" s="23">
        <v>348.8</v>
      </c>
      <c r="C115">
        <v>94.2</v>
      </c>
      <c r="D115">
        <v>8.9</v>
      </c>
      <c r="E115">
        <v>5.8</v>
      </c>
      <c r="G115" s="23">
        <f t="shared" si="22"/>
        <v>10</v>
      </c>
      <c r="H115" s="23">
        <f t="shared" si="23"/>
        <v>2</v>
      </c>
      <c r="K115">
        <v>13</v>
      </c>
      <c r="L115">
        <v>14</v>
      </c>
      <c r="M115">
        <f t="shared" si="20"/>
        <v>470.37500000000006</v>
      </c>
    </row>
    <row r="116" spans="1:13" x14ac:dyDescent="0.25">
      <c r="A116" s="22">
        <v>41892.118055555555</v>
      </c>
      <c r="B116" s="23">
        <v>351.3</v>
      </c>
      <c r="C116">
        <v>94.3</v>
      </c>
      <c r="D116">
        <v>9</v>
      </c>
      <c r="E116">
        <v>5.8</v>
      </c>
      <c r="G116" s="23">
        <f t="shared" si="22"/>
        <v>10</v>
      </c>
      <c r="H116" s="23">
        <f t="shared" si="23"/>
        <v>2</v>
      </c>
      <c r="K116">
        <v>13</v>
      </c>
      <c r="L116">
        <v>15</v>
      </c>
      <c r="M116">
        <f t="shared" si="20"/>
        <v>470.55833333333339</v>
      </c>
    </row>
    <row r="117" spans="1:13" x14ac:dyDescent="0.25">
      <c r="A117" s="22">
        <v>41892.121527777781</v>
      </c>
      <c r="B117" s="23">
        <v>350.4</v>
      </c>
      <c r="C117">
        <v>94.3</v>
      </c>
      <c r="D117">
        <v>8.9</v>
      </c>
      <c r="E117">
        <v>5.8</v>
      </c>
      <c r="G117" s="23">
        <f t="shared" si="22"/>
        <v>10</v>
      </c>
      <c r="H117" s="23">
        <f t="shared" si="23"/>
        <v>2</v>
      </c>
      <c r="K117">
        <v>13</v>
      </c>
      <c r="L117">
        <v>16</v>
      </c>
      <c r="M117">
        <f t="shared" si="20"/>
        <v>452.77500000000003</v>
      </c>
    </row>
    <row r="118" spans="1:13" x14ac:dyDescent="0.25">
      <c r="A118" s="22">
        <v>41892.125</v>
      </c>
      <c r="B118" s="23">
        <v>350.2</v>
      </c>
      <c r="C118">
        <v>94.2</v>
      </c>
      <c r="D118">
        <v>8.9</v>
      </c>
      <c r="E118">
        <v>5.8</v>
      </c>
      <c r="G118" s="23">
        <f t="shared" si="22"/>
        <v>10</v>
      </c>
      <c r="H118" s="23">
        <f t="shared" si="23"/>
        <v>3</v>
      </c>
      <c r="K118">
        <v>13</v>
      </c>
      <c r="L118">
        <v>17</v>
      </c>
      <c r="M118">
        <f t="shared" ref="M118:M157" si="24">+AVERAGEIF($H$370:$H$657,L118,$B$370:$B$657)</f>
        <v>426.35833333333335</v>
      </c>
    </row>
    <row r="119" spans="1:13" x14ac:dyDescent="0.25">
      <c r="A119" s="22">
        <v>41892.128472222219</v>
      </c>
      <c r="B119" s="23">
        <v>348.1</v>
      </c>
      <c r="C119">
        <v>94.3</v>
      </c>
      <c r="D119">
        <v>8.9</v>
      </c>
      <c r="E119">
        <v>5.8</v>
      </c>
      <c r="G119" s="23">
        <f t="shared" si="22"/>
        <v>10</v>
      </c>
      <c r="H119" s="23">
        <f t="shared" si="23"/>
        <v>3</v>
      </c>
      <c r="K119">
        <v>13</v>
      </c>
      <c r="L119">
        <v>18</v>
      </c>
      <c r="M119">
        <f t="shared" si="24"/>
        <v>482.5</v>
      </c>
    </row>
    <row r="120" spans="1:13" x14ac:dyDescent="0.25">
      <c r="A120" s="22">
        <v>41892.131944444445</v>
      </c>
      <c r="B120" s="23">
        <v>350.5</v>
      </c>
      <c r="C120">
        <v>94.3</v>
      </c>
      <c r="D120">
        <v>9</v>
      </c>
      <c r="E120">
        <v>5.8</v>
      </c>
      <c r="G120" s="23">
        <f t="shared" si="22"/>
        <v>10</v>
      </c>
      <c r="H120" s="23">
        <f t="shared" si="23"/>
        <v>3</v>
      </c>
      <c r="K120">
        <v>13</v>
      </c>
      <c r="L120">
        <v>19</v>
      </c>
      <c r="M120">
        <f t="shared" si="24"/>
        <v>484.55833333333334</v>
      </c>
    </row>
    <row r="121" spans="1:13" x14ac:dyDescent="0.25">
      <c r="A121" s="22">
        <v>41892.135416666664</v>
      </c>
      <c r="B121" s="23">
        <v>354.3</v>
      </c>
      <c r="C121">
        <v>94.3</v>
      </c>
      <c r="D121">
        <v>9</v>
      </c>
      <c r="E121">
        <v>5.8</v>
      </c>
      <c r="G121" s="23">
        <f t="shared" si="22"/>
        <v>10</v>
      </c>
      <c r="H121" s="23">
        <f t="shared" si="23"/>
        <v>3</v>
      </c>
      <c r="K121">
        <v>13</v>
      </c>
      <c r="L121">
        <v>20</v>
      </c>
      <c r="M121">
        <f t="shared" si="24"/>
        <v>482.69166666666666</v>
      </c>
    </row>
    <row r="122" spans="1:13" x14ac:dyDescent="0.25">
      <c r="A122" s="22">
        <v>41892.138888888891</v>
      </c>
      <c r="B122" s="23">
        <v>353.4</v>
      </c>
      <c r="C122">
        <v>94.3</v>
      </c>
      <c r="D122">
        <v>9</v>
      </c>
      <c r="E122">
        <v>5.8</v>
      </c>
      <c r="G122" s="23">
        <f t="shared" si="22"/>
        <v>10</v>
      </c>
      <c r="H122" s="23">
        <f t="shared" si="23"/>
        <v>3</v>
      </c>
      <c r="K122">
        <v>13</v>
      </c>
      <c r="L122">
        <v>21</v>
      </c>
      <c r="M122">
        <f t="shared" si="24"/>
        <v>480.84999999999991</v>
      </c>
    </row>
    <row r="123" spans="1:13" x14ac:dyDescent="0.25">
      <c r="A123" s="22">
        <v>41892.142361111109</v>
      </c>
      <c r="B123" s="23">
        <v>354.3</v>
      </c>
      <c r="C123">
        <v>94.2</v>
      </c>
      <c r="D123">
        <v>9</v>
      </c>
      <c r="E123">
        <v>5.8</v>
      </c>
      <c r="G123" s="23">
        <f t="shared" si="22"/>
        <v>10</v>
      </c>
      <c r="H123" s="23">
        <f t="shared" si="23"/>
        <v>3</v>
      </c>
      <c r="K123">
        <v>13</v>
      </c>
      <c r="L123">
        <v>22</v>
      </c>
      <c r="M123">
        <f t="shared" si="24"/>
        <v>476.89166666666665</v>
      </c>
    </row>
    <row r="124" spans="1:13" x14ac:dyDescent="0.25">
      <c r="A124" s="22">
        <v>41892.145833333336</v>
      </c>
      <c r="B124" s="23">
        <v>352.7</v>
      </c>
      <c r="C124">
        <v>94.3</v>
      </c>
      <c r="D124">
        <v>9</v>
      </c>
      <c r="E124">
        <v>5.8</v>
      </c>
      <c r="G124" s="23">
        <f t="shared" si="22"/>
        <v>10</v>
      </c>
      <c r="H124" s="23">
        <f t="shared" si="23"/>
        <v>3</v>
      </c>
      <c r="K124">
        <v>13</v>
      </c>
      <c r="L124">
        <v>23</v>
      </c>
      <c r="M124">
        <f t="shared" si="24"/>
        <v>430.61666666666662</v>
      </c>
    </row>
    <row r="125" spans="1:13" x14ac:dyDescent="0.25">
      <c r="A125" s="22">
        <v>41892.149305555555</v>
      </c>
      <c r="B125" s="23">
        <v>350.9</v>
      </c>
      <c r="C125">
        <v>94.3</v>
      </c>
      <c r="D125">
        <v>8.9</v>
      </c>
      <c r="E125">
        <v>5.8</v>
      </c>
      <c r="G125" s="23">
        <f t="shared" si="22"/>
        <v>10</v>
      </c>
      <c r="H125" s="23">
        <f t="shared" si="23"/>
        <v>3</v>
      </c>
      <c r="K125">
        <v>14</v>
      </c>
      <c r="L125">
        <v>0</v>
      </c>
      <c r="M125">
        <f t="shared" si="24"/>
        <v>409.125</v>
      </c>
    </row>
    <row r="126" spans="1:13" x14ac:dyDescent="0.25">
      <c r="A126" s="22">
        <v>41892.152777777781</v>
      </c>
      <c r="B126" s="23">
        <v>348</v>
      </c>
      <c r="C126">
        <v>94.4</v>
      </c>
      <c r="D126">
        <v>8.9</v>
      </c>
      <c r="E126">
        <v>5.8</v>
      </c>
      <c r="G126" s="23">
        <f t="shared" si="22"/>
        <v>10</v>
      </c>
      <c r="H126" s="23">
        <f t="shared" si="23"/>
        <v>3</v>
      </c>
      <c r="K126">
        <v>14</v>
      </c>
      <c r="L126">
        <v>1</v>
      </c>
      <c r="M126">
        <f t="shared" si="24"/>
        <v>385.97500000000008</v>
      </c>
    </row>
    <row r="127" spans="1:13" x14ac:dyDescent="0.25">
      <c r="A127" s="22">
        <v>41892.15625</v>
      </c>
      <c r="B127" s="23">
        <v>346.8</v>
      </c>
      <c r="C127">
        <v>94.3</v>
      </c>
      <c r="D127">
        <v>8.9</v>
      </c>
      <c r="E127">
        <v>5.8</v>
      </c>
      <c r="G127" s="23">
        <f t="shared" si="22"/>
        <v>10</v>
      </c>
      <c r="H127" s="23">
        <f t="shared" si="23"/>
        <v>3</v>
      </c>
      <c r="K127">
        <v>14</v>
      </c>
      <c r="L127">
        <v>2</v>
      </c>
      <c r="M127">
        <f t="shared" si="24"/>
        <v>372.54166666666669</v>
      </c>
    </row>
    <row r="128" spans="1:13" x14ac:dyDescent="0.25">
      <c r="A128" s="22">
        <v>41892.159722222219</v>
      </c>
      <c r="B128" s="23">
        <v>346.9</v>
      </c>
      <c r="C128">
        <v>94.3</v>
      </c>
      <c r="D128">
        <v>8.9</v>
      </c>
      <c r="E128">
        <v>5.8</v>
      </c>
      <c r="G128" s="23">
        <f t="shared" si="22"/>
        <v>10</v>
      </c>
      <c r="H128" s="23">
        <f t="shared" si="23"/>
        <v>3</v>
      </c>
      <c r="K128">
        <v>14</v>
      </c>
      <c r="L128">
        <v>3</v>
      </c>
      <c r="M128">
        <f t="shared" si="24"/>
        <v>388.97500000000008</v>
      </c>
    </row>
    <row r="129" spans="1:13" x14ac:dyDescent="0.25">
      <c r="A129" s="22">
        <v>41892.163194444445</v>
      </c>
      <c r="B129" s="23">
        <v>346.1</v>
      </c>
      <c r="C129">
        <v>94.3</v>
      </c>
      <c r="D129">
        <v>8.9</v>
      </c>
      <c r="E129">
        <v>5.8</v>
      </c>
      <c r="G129" s="23">
        <f t="shared" si="22"/>
        <v>10</v>
      </c>
      <c r="H129" s="23">
        <f t="shared" si="23"/>
        <v>3</v>
      </c>
      <c r="K129">
        <v>14</v>
      </c>
      <c r="L129">
        <v>4</v>
      </c>
      <c r="M129">
        <f t="shared" si="24"/>
        <v>385.10833333333335</v>
      </c>
    </row>
    <row r="130" spans="1:13" x14ac:dyDescent="0.25">
      <c r="A130" s="22">
        <v>41892.166666666664</v>
      </c>
      <c r="B130" s="23">
        <v>345.3</v>
      </c>
      <c r="C130">
        <v>94.3</v>
      </c>
      <c r="D130">
        <v>8.9</v>
      </c>
      <c r="E130">
        <v>5.8</v>
      </c>
      <c r="G130" s="23">
        <f t="shared" si="22"/>
        <v>10</v>
      </c>
      <c r="H130" s="23">
        <f t="shared" si="23"/>
        <v>4</v>
      </c>
      <c r="K130">
        <v>14</v>
      </c>
      <c r="L130">
        <v>5</v>
      </c>
      <c r="M130">
        <f t="shared" si="24"/>
        <v>377.54166666666674</v>
      </c>
    </row>
    <row r="131" spans="1:13" x14ac:dyDescent="0.25">
      <c r="A131" s="22">
        <v>41892.170138888891</v>
      </c>
      <c r="B131" s="23">
        <v>345.5</v>
      </c>
      <c r="C131">
        <v>94.3</v>
      </c>
      <c r="D131">
        <v>8.9</v>
      </c>
      <c r="E131">
        <v>5.8</v>
      </c>
      <c r="G131" s="23">
        <f t="shared" si="22"/>
        <v>10</v>
      </c>
      <c r="H131" s="23">
        <f t="shared" si="23"/>
        <v>4</v>
      </c>
      <c r="K131">
        <v>14</v>
      </c>
      <c r="L131">
        <v>6</v>
      </c>
      <c r="M131">
        <f t="shared" si="24"/>
        <v>383.46666666666664</v>
      </c>
    </row>
    <row r="132" spans="1:13" x14ac:dyDescent="0.25">
      <c r="A132" s="22">
        <v>41892.173611111109</v>
      </c>
      <c r="B132" s="23">
        <v>344.3</v>
      </c>
      <c r="C132">
        <v>94.2</v>
      </c>
      <c r="D132">
        <v>8.9</v>
      </c>
      <c r="E132">
        <v>5.8</v>
      </c>
      <c r="G132" s="23">
        <f t="shared" si="22"/>
        <v>10</v>
      </c>
      <c r="H132" s="23">
        <f t="shared" si="23"/>
        <v>4</v>
      </c>
      <c r="K132">
        <v>14</v>
      </c>
      <c r="L132">
        <v>7</v>
      </c>
      <c r="M132">
        <f t="shared" si="24"/>
        <v>404.1583333333333</v>
      </c>
    </row>
    <row r="133" spans="1:13" x14ac:dyDescent="0.25">
      <c r="A133" s="22">
        <v>41892.177083333336</v>
      </c>
      <c r="B133" s="23">
        <v>344.1</v>
      </c>
      <c r="C133">
        <v>94.3</v>
      </c>
      <c r="D133">
        <v>8.9</v>
      </c>
      <c r="E133">
        <v>5.8</v>
      </c>
      <c r="G133" s="23">
        <f t="shared" si="22"/>
        <v>10</v>
      </c>
      <c r="H133" s="23">
        <f t="shared" si="23"/>
        <v>4</v>
      </c>
      <c r="K133">
        <v>14</v>
      </c>
      <c r="L133">
        <v>8</v>
      </c>
      <c r="M133">
        <f t="shared" si="24"/>
        <v>419.2833333333333</v>
      </c>
    </row>
    <row r="134" spans="1:13" x14ac:dyDescent="0.25">
      <c r="A134" s="22">
        <v>41892.180555555555</v>
      </c>
      <c r="B134" s="23">
        <v>344.3</v>
      </c>
      <c r="C134">
        <v>94.3</v>
      </c>
      <c r="D134">
        <v>8.9</v>
      </c>
      <c r="E134">
        <v>5.8</v>
      </c>
      <c r="G134" s="23">
        <f t="shared" ref="G134:G197" si="25">+DAY(A134)</f>
        <v>10</v>
      </c>
      <c r="H134" s="23">
        <f t="shared" ref="H134:H197" si="26">+HOUR(A134)</f>
        <v>4</v>
      </c>
      <c r="K134">
        <v>14</v>
      </c>
      <c r="L134">
        <v>9</v>
      </c>
      <c r="M134">
        <f t="shared" si="24"/>
        <v>436.09166666666664</v>
      </c>
    </row>
    <row r="135" spans="1:13" x14ac:dyDescent="0.25">
      <c r="A135" s="22">
        <v>41892.184027777781</v>
      </c>
      <c r="B135" s="23">
        <v>343.4</v>
      </c>
      <c r="C135">
        <v>94.4</v>
      </c>
      <c r="D135">
        <v>8.9</v>
      </c>
      <c r="E135">
        <v>5.8</v>
      </c>
      <c r="G135" s="23">
        <f t="shared" si="25"/>
        <v>10</v>
      </c>
      <c r="H135" s="23">
        <f t="shared" si="26"/>
        <v>4</v>
      </c>
      <c r="K135">
        <v>14</v>
      </c>
      <c r="L135">
        <v>10</v>
      </c>
      <c r="M135">
        <f t="shared" si="24"/>
        <v>415.97499999999997</v>
      </c>
    </row>
    <row r="136" spans="1:13" x14ac:dyDescent="0.25">
      <c r="A136" s="22">
        <v>41892.1875</v>
      </c>
      <c r="B136" s="23">
        <v>344.7</v>
      </c>
      <c r="C136">
        <v>94.2</v>
      </c>
      <c r="D136">
        <v>8.9</v>
      </c>
      <c r="E136">
        <v>5.8</v>
      </c>
      <c r="G136" s="23">
        <f t="shared" si="25"/>
        <v>10</v>
      </c>
      <c r="H136" s="23">
        <f t="shared" si="26"/>
        <v>4</v>
      </c>
      <c r="K136">
        <v>14</v>
      </c>
      <c r="L136">
        <v>11</v>
      </c>
      <c r="M136">
        <f t="shared" si="24"/>
        <v>381.81666666666666</v>
      </c>
    </row>
    <row r="137" spans="1:13" x14ac:dyDescent="0.25">
      <c r="A137" s="22">
        <v>41892.190972222219</v>
      </c>
      <c r="B137" s="23">
        <v>346.5</v>
      </c>
      <c r="C137">
        <v>94.3</v>
      </c>
      <c r="D137">
        <v>8.9</v>
      </c>
      <c r="E137">
        <v>5.8</v>
      </c>
      <c r="G137" s="23">
        <f t="shared" si="25"/>
        <v>10</v>
      </c>
      <c r="H137" s="23">
        <f t="shared" si="26"/>
        <v>4</v>
      </c>
      <c r="K137">
        <v>14</v>
      </c>
      <c r="L137">
        <v>12</v>
      </c>
      <c r="M137">
        <f t="shared" si="24"/>
        <v>428.76666666666665</v>
      </c>
    </row>
    <row r="138" spans="1:13" x14ac:dyDescent="0.25">
      <c r="A138" s="22">
        <v>41892.194444444445</v>
      </c>
      <c r="B138" s="23">
        <v>345.2</v>
      </c>
      <c r="C138">
        <v>94.3</v>
      </c>
      <c r="D138">
        <v>8.9</v>
      </c>
      <c r="E138">
        <v>5.8</v>
      </c>
      <c r="G138" s="23">
        <f t="shared" si="25"/>
        <v>10</v>
      </c>
      <c r="H138" s="23">
        <f t="shared" si="26"/>
        <v>4</v>
      </c>
      <c r="K138">
        <v>14</v>
      </c>
      <c r="L138">
        <v>13</v>
      </c>
      <c r="M138">
        <f t="shared" si="24"/>
        <v>467.95000000000005</v>
      </c>
    </row>
    <row r="139" spans="1:13" x14ac:dyDescent="0.25">
      <c r="A139" s="22">
        <v>41892.197916666664</v>
      </c>
      <c r="B139" s="23">
        <v>344</v>
      </c>
      <c r="C139">
        <v>94.3</v>
      </c>
      <c r="D139">
        <v>8.9</v>
      </c>
      <c r="E139">
        <v>5.8</v>
      </c>
      <c r="G139" s="23">
        <f t="shared" si="25"/>
        <v>10</v>
      </c>
      <c r="H139" s="23">
        <f t="shared" si="26"/>
        <v>4</v>
      </c>
      <c r="K139">
        <v>14</v>
      </c>
      <c r="L139">
        <v>14</v>
      </c>
      <c r="M139">
        <f t="shared" si="24"/>
        <v>470.37500000000006</v>
      </c>
    </row>
    <row r="140" spans="1:13" x14ac:dyDescent="0.25">
      <c r="A140" s="22">
        <v>41892.201388888891</v>
      </c>
      <c r="B140" s="23">
        <v>343.4</v>
      </c>
      <c r="C140">
        <v>94.2</v>
      </c>
      <c r="D140">
        <v>8.9</v>
      </c>
      <c r="E140">
        <v>5.8</v>
      </c>
      <c r="G140" s="23">
        <f t="shared" si="25"/>
        <v>10</v>
      </c>
      <c r="H140" s="23">
        <f t="shared" si="26"/>
        <v>4</v>
      </c>
      <c r="K140">
        <v>14</v>
      </c>
      <c r="L140">
        <v>15</v>
      </c>
      <c r="M140">
        <f t="shared" si="24"/>
        <v>470.55833333333339</v>
      </c>
    </row>
    <row r="141" spans="1:13" x14ac:dyDescent="0.25">
      <c r="A141" s="22">
        <v>41892.204861111109</v>
      </c>
      <c r="B141" s="23">
        <v>343.1</v>
      </c>
      <c r="C141">
        <v>94.2</v>
      </c>
      <c r="D141">
        <v>8.9</v>
      </c>
      <c r="E141">
        <v>5.8</v>
      </c>
      <c r="G141" s="23">
        <f t="shared" si="25"/>
        <v>10</v>
      </c>
      <c r="H141" s="23">
        <f t="shared" si="26"/>
        <v>4</v>
      </c>
      <c r="K141">
        <v>14</v>
      </c>
      <c r="L141">
        <v>16</v>
      </c>
      <c r="M141">
        <f t="shared" si="24"/>
        <v>452.77500000000003</v>
      </c>
    </row>
    <row r="142" spans="1:13" x14ac:dyDescent="0.25">
      <c r="A142" s="22">
        <v>41892.208333333336</v>
      </c>
      <c r="B142" s="23">
        <v>343.6</v>
      </c>
      <c r="C142">
        <v>94.3</v>
      </c>
      <c r="D142">
        <v>8.9</v>
      </c>
      <c r="E142">
        <v>5.8</v>
      </c>
      <c r="G142" s="23">
        <f t="shared" si="25"/>
        <v>10</v>
      </c>
      <c r="H142" s="23">
        <f t="shared" si="26"/>
        <v>5</v>
      </c>
      <c r="K142">
        <v>14</v>
      </c>
      <c r="L142">
        <v>17</v>
      </c>
      <c r="M142">
        <f t="shared" si="24"/>
        <v>426.35833333333335</v>
      </c>
    </row>
    <row r="143" spans="1:13" x14ac:dyDescent="0.25">
      <c r="A143" s="22">
        <v>41892.211805555555</v>
      </c>
      <c r="B143" s="23">
        <v>343.4</v>
      </c>
      <c r="C143">
        <v>94.4</v>
      </c>
      <c r="D143">
        <v>8.9</v>
      </c>
      <c r="E143">
        <v>5.8</v>
      </c>
      <c r="G143" s="23">
        <f t="shared" si="25"/>
        <v>10</v>
      </c>
      <c r="H143" s="23">
        <f t="shared" si="26"/>
        <v>5</v>
      </c>
      <c r="K143">
        <v>14</v>
      </c>
      <c r="L143">
        <v>18</v>
      </c>
      <c r="M143">
        <f t="shared" si="24"/>
        <v>482.5</v>
      </c>
    </row>
    <row r="144" spans="1:13" x14ac:dyDescent="0.25">
      <c r="A144" s="22">
        <v>41892.215277777781</v>
      </c>
      <c r="B144" s="23">
        <v>342.8</v>
      </c>
      <c r="C144">
        <v>94.3</v>
      </c>
      <c r="D144">
        <v>8.9</v>
      </c>
      <c r="E144">
        <v>5.8</v>
      </c>
      <c r="G144" s="23">
        <f t="shared" si="25"/>
        <v>10</v>
      </c>
      <c r="H144" s="23">
        <f t="shared" si="26"/>
        <v>5</v>
      </c>
      <c r="K144">
        <v>14</v>
      </c>
      <c r="L144">
        <v>19</v>
      </c>
      <c r="M144">
        <f t="shared" si="24"/>
        <v>484.55833333333334</v>
      </c>
    </row>
    <row r="145" spans="1:13" x14ac:dyDescent="0.25">
      <c r="A145" s="22">
        <v>41892.21875</v>
      </c>
      <c r="B145" s="23">
        <v>342.3</v>
      </c>
      <c r="C145">
        <v>94.2</v>
      </c>
      <c r="D145">
        <v>8.9</v>
      </c>
      <c r="E145">
        <v>5.8</v>
      </c>
      <c r="G145" s="23">
        <f t="shared" si="25"/>
        <v>10</v>
      </c>
      <c r="H145" s="23">
        <f t="shared" si="26"/>
        <v>5</v>
      </c>
      <c r="K145">
        <v>14</v>
      </c>
      <c r="L145">
        <v>20</v>
      </c>
      <c r="M145">
        <f t="shared" si="24"/>
        <v>482.69166666666666</v>
      </c>
    </row>
    <row r="146" spans="1:13" x14ac:dyDescent="0.25">
      <c r="A146" s="22">
        <v>41892.222222222219</v>
      </c>
      <c r="B146" s="23">
        <v>341</v>
      </c>
      <c r="C146">
        <v>94.3</v>
      </c>
      <c r="D146">
        <v>8.9</v>
      </c>
      <c r="E146">
        <v>5.8</v>
      </c>
      <c r="G146" s="23">
        <f t="shared" si="25"/>
        <v>10</v>
      </c>
      <c r="H146" s="23">
        <f t="shared" si="26"/>
        <v>5</v>
      </c>
      <c r="K146">
        <v>14</v>
      </c>
      <c r="L146">
        <v>21</v>
      </c>
      <c r="M146">
        <f t="shared" si="24"/>
        <v>480.84999999999991</v>
      </c>
    </row>
    <row r="147" spans="1:13" x14ac:dyDescent="0.25">
      <c r="A147" s="22">
        <v>41892.225694444445</v>
      </c>
      <c r="B147" s="23">
        <v>340.1</v>
      </c>
      <c r="C147">
        <v>94.4</v>
      </c>
      <c r="D147">
        <v>8.8000000000000007</v>
      </c>
      <c r="E147">
        <v>5.8</v>
      </c>
      <c r="G147" s="23">
        <f t="shared" si="25"/>
        <v>10</v>
      </c>
      <c r="H147" s="23">
        <f t="shared" si="26"/>
        <v>5</v>
      </c>
      <c r="K147">
        <v>14</v>
      </c>
      <c r="L147">
        <v>22</v>
      </c>
      <c r="M147">
        <f t="shared" si="24"/>
        <v>476.89166666666665</v>
      </c>
    </row>
    <row r="148" spans="1:13" x14ac:dyDescent="0.25">
      <c r="A148" s="22">
        <v>41892.229166666664</v>
      </c>
      <c r="B148" s="23">
        <v>337.8</v>
      </c>
      <c r="C148">
        <v>94.3</v>
      </c>
      <c r="D148">
        <v>8.8000000000000007</v>
      </c>
      <c r="E148">
        <v>5.8</v>
      </c>
      <c r="G148" s="23">
        <f t="shared" si="25"/>
        <v>10</v>
      </c>
      <c r="H148" s="23">
        <f t="shared" si="26"/>
        <v>5</v>
      </c>
      <c r="K148">
        <v>14</v>
      </c>
      <c r="L148">
        <v>23</v>
      </c>
      <c r="M148">
        <f t="shared" si="24"/>
        <v>430.61666666666662</v>
      </c>
    </row>
    <row r="149" spans="1:13" x14ac:dyDescent="0.25">
      <c r="A149" s="22">
        <v>41892.232638888891</v>
      </c>
      <c r="B149" s="23">
        <v>334.8</v>
      </c>
      <c r="C149">
        <v>94.3</v>
      </c>
      <c r="D149">
        <v>8.8000000000000007</v>
      </c>
      <c r="E149">
        <v>5.7</v>
      </c>
      <c r="G149" s="23">
        <f t="shared" si="25"/>
        <v>10</v>
      </c>
      <c r="H149" s="23">
        <f t="shared" si="26"/>
        <v>5</v>
      </c>
      <c r="K149">
        <v>15</v>
      </c>
      <c r="L149">
        <v>0</v>
      </c>
      <c r="M149">
        <f t="shared" si="24"/>
        <v>409.125</v>
      </c>
    </row>
    <row r="150" spans="1:13" x14ac:dyDescent="0.25">
      <c r="A150" s="22">
        <v>41892.236111111109</v>
      </c>
      <c r="B150" s="23">
        <v>331.8</v>
      </c>
      <c r="C150">
        <v>94.2</v>
      </c>
      <c r="D150">
        <v>8.8000000000000007</v>
      </c>
      <c r="E150">
        <v>5.8</v>
      </c>
      <c r="G150" s="23">
        <f t="shared" si="25"/>
        <v>10</v>
      </c>
      <c r="H150" s="23">
        <f t="shared" si="26"/>
        <v>5</v>
      </c>
      <c r="K150">
        <v>15</v>
      </c>
      <c r="L150">
        <v>1</v>
      </c>
      <c r="M150">
        <f t="shared" si="24"/>
        <v>385.97500000000008</v>
      </c>
    </row>
    <row r="151" spans="1:13" x14ac:dyDescent="0.25">
      <c r="A151" s="22">
        <v>41892.239583333336</v>
      </c>
      <c r="B151" s="23">
        <v>332.3</v>
      </c>
      <c r="C151">
        <v>94.2</v>
      </c>
      <c r="D151">
        <v>8.8000000000000007</v>
      </c>
      <c r="E151">
        <v>5.8</v>
      </c>
      <c r="G151" s="23">
        <f t="shared" si="25"/>
        <v>10</v>
      </c>
      <c r="H151" s="23">
        <f t="shared" si="26"/>
        <v>5</v>
      </c>
      <c r="K151">
        <v>15</v>
      </c>
      <c r="L151">
        <v>2</v>
      </c>
      <c r="M151">
        <f t="shared" si="24"/>
        <v>372.54166666666669</v>
      </c>
    </row>
    <row r="152" spans="1:13" x14ac:dyDescent="0.25">
      <c r="A152" s="22">
        <v>41892.243055555555</v>
      </c>
      <c r="B152" s="23">
        <v>341</v>
      </c>
      <c r="C152">
        <v>94.3</v>
      </c>
      <c r="D152">
        <v>8.9</v>
      </c>
      <c r="E152">
        <v>5.8</v>
      </c>
      <c r="G152" s="23">
        <f t="shared" si="25"/>
        <v>10</v>
      </c>
      <c r="H152" s="23">
        <f t="shared" si="26"/>
        <v>5</v>
      </c>
      <c r="K152">
        <v>15</v>
      </c>
      <c r="L152">
        <v>3</v>
      </c>
      <c r="M152">
        <f t="shared" si="24"/>
        <v>388.97500000000008</v>
      </c>
    </row>
    <row r="153" spans="1:13" x14ac:dyDescent="0.25">
      <c r="A153" s="22">
        <v>41892.246527777781</v>
      </c>
      <c r="B153" s="23">
        <v>333.5</v>
      </c>
      <c r="C153">
        <v>94.3</v>
      </c>
      <c r="D153">
        <v>8.8000000000000007</v>
      </c>
      <c r="E153">
        <v>5.7</v>
      </c>
      <c r="G153" s="23">
        <f t="shared" si="25"/>
        <v>10</v>
      </c>
      <c r="H153" s="23">
        <f t="shared" si="26"/>
        <v>5</v>
      </c>
      <c r="K153">
        <v>15</v>
      </c>
      <c r="L153">
        <v>4</v>
      </c>
      <c r="M153">
        <f t="shared" si="24"/>
        <v>385.10833333333335</v>
      </c>
    </row>
    <row r="154" spans="1:13" x14ac:dyDescent="0.25">
      <c r="A154" s="22">
        <v>41892.25</v>
      </c>
      <c r="B154" s="23">
        <v>331.9</v>
      </c>
      <c r="C154">
        <v>94.2</v>
      </c>
      <c r="D154">
        <v>8.8000000000000007</v>
      </c>
      <c r="E154">
        <v>5.8</v>
      </c>
      <c r="G154" s="23">
        <f t="shared" si="25"/>
        <v>10</v>
      </c>
      <c r="H154" s="23">
        <f t="shared" si="26"/>
        <v>6</v>
      </c>
      <c r="K154">
        <v>15</v>
      </c>
      <c r="L154">
        <v>5</v>
      </c>
      <c r="M154">
        <f t="shared" si="24"/>
        <v>377.54166666666674</v>
      </c>
    </row>
    <row r="155" spans="1:13" x14ac:dyDescent="0.25">
      <c r="A155" s="22">
        <v>41892.253472222219</v>
      </c>
      <c r="B155" s="23">
        <v>362.1</v>
      </c>
      <c r="C155">
        <v>94.3</v>
      </c>
      <c r="D155">
        <v>9.1</v>
      </c>
      <c r="E155">
        <v>5.8</v>
      </c>
      <c r="G155" s="23">
        <f t="shared" si="25"/>
        <v>10</v>
      </c>
      <c r="H155" s="23">
        <f t="shared" si="26"/>
        <v>6</v>
      </c>
      <c r="K155">
        <v>15</v>
      </c>
      <c r="L155">
        <v>6</v>
      </c>
      <c r="M155">
        <f t="shared" si="24"/>
        <v>383.46666666666664</v>
      </c>
    </row>
    <row r="156" spans="1:13" x14ac:dyDescent="0.25">
      <c r="A156" s="22">
        <v>41892.256944444445</v>
      </c>
      <c r="B156" s="23">
        <v>372.2</v>
      </c>
      <c r="C156">
        <v>94.3</v>
      </c>
      <c r="D156">
        <v>9.1999999999999993</v>
      </c>
      <c r="E156">
        <v>5.8</v>
      </c>
      <c r="G156" s="23">
        <f t="shared" si="25"/>
        <v>10</v>
      </c>
      <c r="H156" s="23">
        <f t="shared" si="26"/>
        <v>6</v>
      </c>
      <c r="K156">
        <v>15</v>
      </c>
      <c r="L156">
        <v>7</v>
      </c>
      <c r="M156">
        <f t="shared" si="24"/>
        <v>404.1583333333333</v>
      </c>
    </row>
    <row r="157" spans="1:13" x14ac:dyDescent="0.25">
      <c r="A157" s="22">
        <v>41892.260416666664</v>
      </c>
      <c r="B157" s="23">
        <v>374.5</v>
      </c>
      <c r="C157">
        <v>94.3</v>
      </c>
      <c r="D157">
        <v>9.1999999999999993</v>
      </c>
      <c r="E157">
        <v>5.8</v>
      </c>
      <c r="G157" s="23">
        <f t="shared" si="25"/>
        <v>10</v>
      </c>
      <c r="H157" s="23">
        <f t="shared" si="26"/>
        <v>6</v>
      </c>
      <c r="K157">
        <v>15</v>
      </c>
      <c r="L157">
        <v>8</v>
      </c>
      <c r="M157">
        <f t="shared" si="24"/>
        <v>419.2833333333333</v>
      </c>
    </row>
    <row r="158" spans="1:13" x14ac:dyDescent="0.25">
      <c r="A158" s="22">
        <v>41892.263888888891</v>
      </c>
      <c r="B158" s="23">
        <v>373.6</v>
      </c>
      <c r="C158">
        <v>94.3</v>
      </c>
      <c r="D158">
        <v>9.1999999999999993</v>
      </c>
      <c r="E158">
        <v>5.8</v>
      </c>
      <c r="G158" s="23">
        <f t="shared" si="25"/>
        <v>10</v>
      </c>
      <c r="H158" s="23">
        <f t="shared" si="26"/>
        <v>6</v>
      </c>
      <c r="K158">
        <v>15</v>
      </c>
      <c r="L158">
        <v>9</v>
      </c>
    </row>
    <row r="159" spans="1:13" x14ac:dyDescent="0.25">
      <c r="A159" s="22">
        <v>41892.267361111109</v>
      </c>
      <c r="B159" s="23">
        <v>370.9</v>
      </c>
      <c r="C159">
        <v>94.2</v>
      </c>
      <c r="D159">
        <v>9.1</v>
      </c>
      <c r="E159">
        <v>5.8</v>
      </c>
      <c r="G159" s="23">
        <f t="shared" si="25"/>
        <v>10</v>
      </c>
      <c r="H159" s="23">
        <f t="shared" si="26"/>
        <v>6</v>
      </c>
      <c r="K159">
        <v>15</v>
      </c>
      <c r="L159">
        <v>10</v>
      </c>
    </row>
    <row r="160" spans="1:13" x14ac:dyDescent="0.25">
      <c r="A160" s="22">
        <v>41892.270833333336</v>
      </c>
      <c r="B160" s="23">
        <v>371.7</v>
      </c>
      <c r="C160">
        <v>94.3</v>
      </c>
      <c r="D160">
        <v>9.1</v>
      </c>
      <c r="E160">
        <v>5.8</v>
      </c>
      <c r="G160" s="23">
        <f t="shared" si="25"/>
        <v>10</v>
      </c>
      <c r="H160" s="23">
        <f t="shared" si="26"/>
        <v>6</v>
      </c>
      <c r="K160">
        <v>15</v>
      </c>
      <c r="L160">
        <v>11</v>
      </c>
    </row>
    <row r="161" spans="1:12" x14ac:dyDescent="0.25">
      <c r="A161" s="22">
        <v>41892.274305555555</v>
      </c>
      <c r="B161" s="23">
        <v>371</v>
      </c>
      <c r="C161">
        <v>94.4</v>
      </c>
      <c r="D161">
        <v>9.1</v>
      </c>
      <c r="E161">
        <v>5.8</v>
      </c>
      <c r="G161" s="23">
        <f t="shared" si="25"/>
        <v>10</v>
      </c>
      <c r="H161" s="23">
        <f t="shared" si="26"/>
        <v>6</v>
      </c>
      <c r="K161">
        <v>15</v>
      </c>
      <c r="L161">
        <v>12</v>
      </c>
    </row>
    <row r="162" spans="1:12" x14ac:dyDescent="0.25">
      <c r="A162" s="22">
        <v>41892.277777777781</v>
      </c>
      <c r="B162" s="23">
        <v>368.4</v>
      </c>
      <c r="C162">
        <v>94.3</v>
      </c>
      <c r="D162">
        <v>9.1</v>
      </c>
      <c r="E162">
        <v>5.8</v>
      </c>
      <c r="G162" s="23">
        <f t="shared" si="25"/>
        <v>10</v>
      </c>
      <c r="H162" s="23">
        <f t="shared" si="26"/>
        <v>6</v>
      </c>
      <c r="K162">
        <v>15</v>
      </c>
      <c r="L162">
        <v>13</v>
      </c>
    </row>
    <row r="163" spans="1:12" x14ac:dyDescent="0.25">
      <c r="A163" s="22">
        <v>41892.28125</v>
      </c>
      <c r="B163" s="23">
        <v>366.3</v>
      </c>
      <c r="C163">
        <v>94.2</v>
      </c>
      <c r="D163">
        <v>9.1</v>
      </c>
      <c r="E163">
        <v>5.8</v>
      </c>
      <c r="G163" s="23">
        <f t="shared" si="25"/>
        <v>10</v>
      </c>
      <c r="H163" s="23">
        <f t="shared" si="26"/>
        <v>6</v>
      </c>
      <c r="K163">
        <v>15</v>
      </c>
      <c r="L163">
        <v>14</v>
      </c>
    </row>
    <row r="164" spans="1:12" x14ac:dyDescent="0.25">
      <c r="A164" s="22">
        <v>41892.284722222219</v>
      </c>
      <c r="B164" s="23">
        <v>363.1</v>
      </c>
      <c r="C164">
        <v>94.3</v>
      </c>
      <c r="D164">
        <v>9.1</v>
      </c>
      <c r="E164">
        <v>5.8</v>
      </c>
      <c r="G164" s="23">
        <f t="shared" si="25"/>
        <v>10</v>
      </c>
      <c r="H164" s="23">
        <f t="shared" si="26"/>
        <v>6</v>
      </c>
      <c r="K164">
        <v>15</v>
      </c>
      <c r="L164">
        <v>15</v>
      </c>
    </row>
    <row r="165" spans="1:12" x14ac:dyDescent="0.25">
      <c r="A165" s="22">
        <v>41892.288194444445</v>
      </c>
      <c r="B165" s="23">
        <v>358.7</v>
      </c>
      <c r="C165">
        <v>94.2</v>
      </c>
      <c r="D165">
        <v>9</v>
      </c>
      <c r="E165">
        <v>5.8</v>
      </c>
      <c r="G165" s="23">
        <f t="shared" si="25"/>
        <v>10</v>
      </c>
      <c r="H165" s="23">
        <f t="shared" si="26"/>
        <v>6</v>
      </c>
      <c r="K165">
        <v>15</v>
      </c>
      <c r="L165">
        <v>16</v>
      </c>
    </row>
    <row r="166" spans="1:12" x14ac:dyDescent="0.25">
      <c r="A166" s="22">
        <v>41892.291666666664</v>
      </c>
      <c r="B166" s="23">
        <v>357.5</v>
      </c>
      <c r="C166">
        <v>94.3</v>
      </c>
      <c r="D166">
        <v>9</v>
      </c>
      <c r="E166">
        <v>5.8</v>
      </c>
      <c r="G166" s="23">
        <f t="shared" si="25"/>
        <v>10</v>
      </c>
      <c r="H166" s="23">
        <f t="shared" si="26"/>
        <v>7</v>
      </c>
      <c r="K166">
        <v>15</v>
      </c>
      <c r="L166">
        <v>17</v>
      </c>
    </row>
    <row r="167" spans="1:12" x14ac:dyDescent="0.25">
      <c r="A167" s="22">
        <v>41892.295138888891</v>
      </c>
      <c r="B167" s="23">
        <v>362.1</v>
      </c>
      <c r="C167">
        <v>94.2</v>
      </c>
      <c r="D167">
        <v>9.1</v>
      </c>
      <c r="E167">
        <v>5.8</v>
      </c>
      <c r="G167" s="23">
        <f t="shared" si="25"/>
        <v>10</v>
      </c>
      <c r="H167" s="23">
        <f t="shared" si="26"/>
        <v>7</v>
      </c>
      <c r="K167">
        <v>15</v>
      </c>
      <c r="L167">
        <v>18</v>
      </c>
    </row>
    <row r="168" spans="1:12" x14ac:dyDescent="0.25">
      <c r="A168" s="22">
        <v>41892.298611111109</v>
      </c>
      <c r="B168" s="23">
        <v>370.9</v>
      </c>
      <c r="C168">
        <v>94.3</v>
      </c>
      <c r="D168">
        <v>9.1999999999999993</v>
      </c>
      <c r="E168">
        <v>5.8</v>
      </c>
      <c r="G168" s="23">
        <f t="shared" si="25"/>
        <v>10</v>
      </c>
      <c r="H168" s="23">
        <f t="shared" si="26"/>
        <v>7</v>
      </c>
      <c r="K168">
        <v>15</v>
      </c>
      <c r="L168">
        <v>19</v>
      </c>
    </row>
    <row r="169" spans="1:12" x14ac:dyDescent="0.25">
      <c r="A169" s="22">
        <v>41892.302083333336</v>
      </c>
      <c r="B169" s="23">
        <v>372.2</v>
      </c>
      <c r="C169">
        <v>94.2</v>
      </c>
      <c r="D169">
        <v>9.1999999999999993</v>
      </c>
      <c r="E169">
        <v>5.8</v>
      </c>
      <c r="G169" s="23">
        <f t="shared" si="25"/>
        <v>10</v>
      </c>
      <c r="H169" s="23">
        <f t="shared" si="26"/>
        <v>7</v>
      </c>
      <c r="K169">
        <v>15</v>
      </c>
      <c r="L169">
        <v>20</v>
      </c>
    </row>
    <row r="170" spans="1:12" x14ac:dyDescent="0.25">
      <c r="A170" s="22">
        <v>41892.305555555555</v>
      </c>
      <c r="B170" s="23">
        <v>374.2</v>
      </c>
      <c r="C170">
        <v>94.2</v>
      </c>
      <c r="D170">
        <v>9.1999999999999993</v>
      </c>
      <c r="E170">
        <v>5.8</v>
      </c>
      <c r="G170" s="23">
        <f t="shared" si="25"/>
        <v>10</v>
      </c>
      <c r="H170" s="23">
        <f t="shared" si="26"/>
        <v>7</v>
      </c>
      <c r="K170">
        <v>15</v>
      </c>
      <c r="L170">
        <v>21</v>
      </c>
    </row>
    <row r="171" spans="1:12" x14ac:dyDescent="0.25">
      <c r="A171" s="22">
        <v>41892.309027777781</v>
      </c>
      <c r="B171" s="23">
        <v>375.9</v>
      </c>
      <c r="C171">
        <v>94.2</v>
      </c>
      <c r="D171">
        <v>9.1999999999999993</v>
      </c>
      <c r="E171">
        <v>5.8</v>
      </c>
      <c r="G171" s="23">
        <f t="shared" si="25"/>
        <v>10</v>
      </c>
      <c r="H171" s="23">
        <f t="shared" si="26"/>
        <v>7</v>
      </c>
      <c r="K171">
        <v>15</v>
      </c>
      <c r="L171">
        <v>22</v>
      </c>
    </row>
    <row r="172" spans="1:12" x14ac:dyDescent="0.25">
      <c r="A172" s="22">
        <v>41892.3125</v>
      </c>
      <c r="B172" s="23">
        <v>377.2</v>
      </c>
      <c r="C172">
        <v>94.2</v>
      </c>
      <c r="D172">
        <v>9.1999999999999993</v>
      </c>
      <c r="E172">
        <v>5.8</v>
      </c>
      <c r="G172" s="23">
        <f t="shared" si="25"/>
        <v>10</v>
      </c>
      <c r="H172" s="23">
        <f t="shared" si="26"/>
        <v>7</v>
      </c>
      <c r="K172">
        <v>15</v>
      </c>
      <c r="L172">
        <v>23</v>
      </c>
    </row>
    <row r="173" spans="1:12" x14ac:dyDescent="0.25">
      <c r="A173" s="22">
        <v>41892.315972222219</v>
      </c>
      <c r="B173" s="23">
        <v>375.9</v>
      </c>
      <c r="C173">
        <v>94.2</v>
      </c>
      <c r="D173">
        <v>9.1999999999999993</v>
      </c>
      <c r="E173">
        <v>5.8</v>
      </c>
      <c r="G173" s="23">
        <f t="shared" si="25"/>
        <v>10</v>
      </c>
      <c r="H173" s="23">
        <f t="shared" si="26"/>
        <v>7</v>
      </c>
      <c r="K173">
        <v>16</v>
      </c>
      <c r="L173">
        <v>0</v>
      </c>
    </row>
    <row r="174" spans="1:12" x14ac:dyDescent="0.25">
      <c r="A174" s="22">
        <v>41892.319444444445</v>
      </c>
      <c r="B174" s="23">
        <v>376.4</v>
      </c>
      <c r="C174">
        <v>94.3</v>
      </c>
      <c r="D174">
        <v>9.1999999999999993</v>
      </c>
      <c r="E174">
        <v>5.8</v>
      </c>
      <c r="G174" s="23">
        <f t="shared" si="25"/>
        <v>10</v>
      </c>
      <c r="H174" s="23">
        <f t="shared" si="26"/>
        <v>7</v>
      </c>
      <c r="K174">
        <v>16</v>
      </c>
      <c r="L174">
        <v>1</v>
      </c>
    </row>
    <row r="175" spans="1:12" x14ac:dyDescent="0.25">
      <c r="A175" s="22">
        <v>41892.322916666664</v>
      </c>
      <c r="B175" s="23">
        <v>374.3</v>
      </c>
      <c r="C175">
        <v>94.3</v>
      </c>
      <c r="D175">
        <v>9.1999999999999993</v>
      </c>
      <c r="E175">
        <v>5.8</v>
      </c>
      <c r="G175" s="23">
        <f t="shared" si="25"/>
        <v>10</v>
      </c>
      <c r="H175" s="23">
        <f t="shared" si="26"/>
        <v>7</v>
      </c>
      <c r="K175">
        <v>16</v>
      </c>
      <c r="L175">
        <v>2</v>
      </c>
    </row>
    <row r="176" spans="1:12" x14ac:dyDescent="0.25">
      <c r="A176" s="22">
        <v>41892.326388888891</v>
      </c>
      <c r="B176" s="23">
        <v>373.3</v>
      </c>
      <c r="C176">
        <v>94.2</v>
      </c>
      <c r="D176">
        <v>9.1999999999999993</v>
      </c>
      <c r="E176">
        <v>5.8</v>
      </c>
      <c r="G176" s="23">
        <f t="shared" si="25"/>
        <v>10</v>
      </c>
      <c r="H176" s="23">
        <f t="shared" si="26"/>
        <v>7</v>
      </c>
      <c r="K176">
        <v>16</v>
      </c>
      <c r="L176">
        <v>3</v>
      </c>
    </row>
    <row r="177" spans="1:12" x14ac:dyDescent="0.25">
      <c r="A177" s="22">
        <v>41892.329861111109</v>
      </c>
      <c r="B177" s="23">
        <v>373</v>
      </c>
      <c r="C177">
        <v>94.2</v>
      </c>
      <c r="D177">
        <v>9.1999999999999993</v>
      </c>
      <c r="E177">
        <v>5.8</v>
      </c>
      <c r="G177" s="23">
        <f t="shared" si="25"/>
        <v>10</v>
      </c>
      <c r="H177" s="23">
        <f t="shared" si="26"/>
        <v>7</v>
      </c>
      <c r="K177">
        <v>16</v>
      </c>
      <c r="L177">
        <v>4</v>
      </c>
    </row>
    <row r="178" spans="1:12" x14ac:dyDescent="0.25">
      <c r="A178" s="22">
        <v>41892.333333333336</v>
      </c>
      <c r="B178" s="23">
        <v>378.6</v>
      </c>
      <c r="C178">
        <v>94.2</v>
      </c>
      <c r="D178">
        <v>9.1999999999999993</v>
      </c>
      <c r="E178">
        <v>5.8</v>
      </c>
      <c r="G178" s="23">
        <f t="shared" si="25"/>
        <v>10</v>
      </c>
      <c r="H178" s="23">
        <f t="shared" si="26"/>
        <v>8</v>
      </c>
      <c r="K178">
        <v>16</v>
      </c>
      <c r="L178">
        <v>5</v>
      </c>
    </row>
    <row r="179" spans="1:12" x14ac:dyDescent="0.25">
      <c r="A179" s="22">
        <v>41892.336805555555</v>
      </c>
      <c r="B179" s="23">
        <v>405.6</v>
      </c>
      <c r="C179">
        <v>94.2</v>
      </c>
      <c r="D179">
        <v>9.5</v>
      </c>
      <c r="E179">
        <v>5.8</v>
      </c>
      <c r="G179" s="23">
        <f t="shared" si="25"/>
        <v>10</v>
      </c>
      <c r="H179" s="23">
        <f t="shared" si="26"/>
        <v>8</v>
      </c>
      <c r="K179">
        <v>16</v>
      </c>
      <c r="L179">
        <v>6</v>
      </c>
    </row>
    <row r="180" spans="1:12" x14ac:dyDescent="0.25">
      <c r="A180" s="22">
        <v>41892.340277777781</v>
      </c>
      <c r="B180" s="23">
        <v>402.2</v>
      </c>
      <c r="C180">
        <v>94.2</v>
      </c>
      <c r="D180">
        <v>9.4</v>
      </c>
      <c r="E180">
        <v>5.8</v>
      </c>
      <c r="G180" s="23">
        <f t="shared" si="25"/>
        <v>10</v>
      </c>
      <c r="H180" s="23">
        <f t="shared" si="26"/>
        <v>8</v>
      </c>
      <c r="K180">
        <v>16</v>
      </c>
      <c r="L180">
        <v>7</v>
      </c>
    </row>
    <row r="181" spans="1:12" x14ac:dyDescent="0.25">
      <c r="A181" s="22">
        <v>41892.34375</v>
      </c>
      <c r="B181" s="23">
        <v>405.1</v>
      </c>
      <c r="C181">
        <v>94.2</v>
      </c>
      <c r="D181">
        <v>9.5</v>
      </c>
      <c r="E181">
        <v>5.8</v>
      </c>
      <c r="G181" s="23">
        <f t="shared" si="25"/>
        <v>10</v>
      </c>
      <c r="H181" s="23">
        <f t="shared" si="26"/>
        <v>8</v>
      </c>
      <c r="K181">
        <v>16</v>
      </c>
      <c r="L181">
        <v>8</v>
      </c>
    </row>
    <row r="182" spans="1:12" x14ac:dyDescent="0.25">
      <c r="A182" s="22">
        <v>41892.347222222219</v>
      </c>
      <c r="B182" s="23">
        <v>408.4</v>
      </c>
      <c r="C182">
        <v>94.3</v>
      </c>
      <c r="D182">
        <v>9.5</v>
      </c>
      <c r="E182">
        <v>5.8</v>
      </c>
      <c r="G182" s="23">
        <f t="shared" si="25"/>
        <v>10</v>
      </c>
      <c r="H182" s="23">
        <f t="shared" si="26"/>
        <v>8</v>
      </c>
      <c r="K182">
        <v>16</v>
      </c>
      <c r="L182">
        <v>9</v>
      </c>
    </row>
    <row r="183" spans="1:12" x14ac:dyDescent="0.25">
      <c r="A183" s="22">
        <v>41892.350694444445</v>
      </c>
      <c r="B183" s="23">
        <v>410.7</v>
      </c>
      <c r="C183">
        <v>94.3</v>
      </c>
      <c r="D183">
        <v>9.5</v>
      </c>
      <c r="E183">
        <v>5.8</v>
      </c>
      <c r="G183" s="23">
        <f t="shared" si="25"/>
        <v>10</v>
      </c>
      <c r="H183" s="23">
        <f t="shared" si="26"/>
        <v>8</v>
      </c>
      <c r="K183">
        <v>16</v>
      </c>
      <c r="L183">
        <v>10</v>
      </c>
    </row>
    <row r="184" spans="1:12" x14ac:dyDescent="0.25">
      <c r="A184" s="22">
        <v>41892.354166666664</v>
      </c>
      <c r="B184" s="23">
        <v>412.3</v>
      </c>
      <c r="C184">
        <v>94.3</v>
      </c>
      <c r="D184">
        <v>9.5</v>
      </c>
      <c r="E184">
        <v>5.8</v>
      </c>
      <c r="G184" s="23">
        <f t="shared" si="25"/>
        <v>10</v>
      </c>
      <c r="H184" s="23">
        <f t="shared" si="26"/>
        <v>8</v>
      </c>
      <c r="K184">
        <v>16</v>
      </c>
      <c r="L184">
        <v>11</v>
      </c>
    </row>
    <row r="185" spans="1:12" x14ac:dyDescent="0.25">
      <c r="A185" s="22">
        <v>41892.357638888891</v>
      </c>
      <c r="B185" s="23">
        <v>414.2</v>
      </c>
      <c r="C185">
        <v>94.3</v>
      </c>
      <c r="D185">
        <v>9.5</v>
      </c>
      <c r="E185">
        <v>5.8</v>
      </c>
      <c r="G185" s="23">
        <f t="shared" si="25"/>
        <v>10</v>
      </c>
      <c r="H185" s="23">
        <f t="shared" si="26"/>
        <v>8</v>
      </c>
      <c r="K185">
        <v>16</v>
      </c>
      <c r="L185">
        <v>12</v>
      </c>
    </row>
    <row r="186" spans="1:12" x14ac:dyDescent="0.25">
      <c r="A186" s="22">
        <v>41892.361111111109</v>
      </c>
      <c r="B186" s="23">
        <v>414.6</v>
      </c>
      <c r="C186">
        <v>94.3</v>
      </c>
      <c r="D186">
        <v>9.6</v>
      </c>
      <c r="E186">
        <v>5.8</v>
      </c>
      <c r="G186" s="23">
        <f t="shared" si="25"/>
        <v>10</v>
      </c>
      <c r="H186" s="23">
        <f t="shared" si="26"/>
        <v>8</v>
      </c>
      <c r="K186">
        <v>16</v>
      </c>
      <c r="L186">
        <v>13</v>
      </c>
    </row>
    <row r="187" spans="1:12" x14ac:dyDescent="0.25">
      <c r="A187" s="22">
        <v>41892.364583333336</v>
      </c>
      <c r="B187" s="23">
        <v>414.4</v>
      </c>
      <c r="C187">
        <v>94.4</v>
      </c>
      <c r="D187">
        <v>9.5</v>
      </c>
      <c r="E187">
        <v>5.8</v>
      </c>
      <c r="G187" s="23">
        <f t="shared" si="25"/>
        <v>10</v>
      </c>
      <c r="H187" s="23">
        <f t="shared" si="26"/>
        <v>8</v>
      </c>
      <c r="K187">
        <v>16</v>
      </c>
      <c r="L187">
        <v>14</v>
      </c>
    </row>
    <row r="188" spans="1:12" x14ac:dyDescent="0.25">
      <c r="A188" s="22">
        <v>41892.368055555555</v>
      </c>
      <c r="B188" s="23">
        <v>417.2</v>
      </c>
      <c r="C188">
        <v>94.4</v>
      </c>
      <c r="D188">
        <v>9.6</v>
      </c>
      <c r="E188">
        <v>5.8</v>
      </c>
      <c r="G188" s="23">
        <f t="shared" si="25"/>
        <v>10</v>
      </c>
      <c r="H188" s="23">
        <f t="shared" si="26"/>
        <v>8</v>
      </c>
      <c r="K188">
        <v>16</v>
      </c>
      <c r="L188">
        <v>15</v>
      </c>
    </row>
    <row r="189" spans="1:12" x14ac:dyDescent="0.25">
      <c r="A189" s="22">
        <v>41892.371527777781</v>
      </c>
      <c r="B189" s="23">
        <v>418.7</v>
      </c>
      <c r="C189">
        <v>94.2</v>
      </c>
      <c r="D189">
        <v>9.6</v>
      </c>
      <c r="E189">
        <v>5.8</v>
      </c>
      <c r="G189" s="23">
        <f t="shared" si="25"/>
        <v>10</v>
      </c>
      <c r="H189" s="23">
        <f t="shared" si="26"/>
        <v>8</v>
      </c>
      <c r="K189">
        <v>16</v>
      </c>
      <c r="L189">
        <v>16</v>
      </c>
    </row>
    <row r="190" spans="1:12" x14ac:dyDescent="0.25">
      <c r="A190" s="22">
        <v>41892.375</v>
      </c>
      <c r="B190" s="23">
        <v>420.9</v>
      </c>
      <c r="C190">
        <v>94.3</v>
      </c>
      <c r="D190">
        <v>9.6</v>
      </c>
      <c r="E190">
        <v>5.8</v>
      </c>
      <c r="G190" s="23">
        <f t="shared" si="25"/>
        <v>10</v>
      </c>
      <c r="H190" s="23">
        <f t="shared" si="26"/>
        <v>9</v>
      </c>
      <c r="K190">
        <v>16</v>
      </c>
      <c r="L190">
        <v>17</v>
      </c>
    </row>
    <row r="191" spans="1:12" x14ac:dyDescent="0.25">
      <c r="A191" s="22">
        <v>41892.378472222219</v>
      </c>
      <c r="B191" s="23">
        <v>421.7</v>
      </c>
      <c r="C191">
        <v>94.3</v>
      </c>
      <c r="D191">
        <v>9.6</v>
      </c>
      <c r="E191">
        <v>5.8</v>
      </c>
      <c r="G191" s="23">
        <f t="shared" si="25"/>
        <v>10</v>
      </c>
      <c r="H191" s="23">
        <f t="shared" si="26"/>
        <v>9</v>
      </c>
      <c r="K191">
        <v>16</v>
      </c>
      <c r="L191">
        <v>18</v>
      </c>
    </row>
    <row r="192" spans="1:12" x14ac:dyDescent="0.25">
      <c r="A192" s="22">
        <v>41892.381944444445</v>
      </c>
      <c r="B192" s="23">
        <v>420.7</v>
      </c>
      <c r="C192">
        <v>94.3</v>
      </c>
      <c r="D192">
        <v>9.6</v>
      </c>
      <c r="E192">
        <v>5.8</v>
      </c>
      <c r="G192" s="23">
        <f t="shared" si="25"/>
        <v>10</v>
      </c>
      <c r="H192" s="23">
        <f t="shared" si="26"/>
        <v>9</v>
      </c>
      <c r="K192">
        <v>16</v>
      </c>
      <c r="L192">
        <v>19</v>
      </c>
    </row>
    <row r="193" spans="1:12" x14ac:dyDescent="0.25">
      <c r="A193" s="22">
        <v>41892.385416666664</v>
      </c>
      <c r="B193" s="23">
        <v>423.9</v>
      </c>
      <c r="C193">
        <v>94.3</v>
      </c>
      <c r="D193">
        <v>9.6</v>
      </c>
      <c r="E193">
        <v>5.8</v>
      </c>
      <c r="G193" s="23">
        <f t="shared" si="25"/>
        <v>10</v>
      </c>
      <c r="H193" s="23">
        <f t="shared" si="26"/>
        <v>9</v>
      </c>
      <c r="K193">
        <v>16</v>
      </c>
      <c r="L193">
        <v>20</v>
      </c>
    </row>
    <row r="194" spans="1:12" x14ac:dyDescent="0.25">
      <c r="A194" s="22">
        <v>41892.388888888891</v>
      </c>
      <c r="B194" s="23">
        <v>424.8</v>
      </c>
      <c r="C194">
        <v>94.3</v>
      </c>
      <c r="D194">
        <v>9.6</v>
      </c>
      <c r="E194">
        <v>5.8</v>
      </c>
      <c r="G194" s="23">
        <f t="shared" si="25"/>
        <v>10</v>
      </c>
      <c r="H194" s="23">
        <f t="shared" si="26"/>
        <v>9</v>
      </c>
      <c r="K194">
        <v>16</v>
      </c>
      <c r="L194">
        <v>21</v>
      </c>
    </row>
    <row r="195" spans="1:12" x14ac:dyDescent="0.25">
      <c r="A195" s="22">
        <v>41892.392361111109</v>
      </c>
      <c r="B195" s="23">
        <v>427.9</v>
      </c>
      <c r="C195">
        <v>94.3</v>
      </c>
      <c r="D195">
        <v>9.6999999999999993</v>
      </c>
      <c r="E195">
        <v>5.8</v>
      </c>
      <c r="G195" s="23">
        <f t="shared" si="25"/>
        <v>10</v>
      </c>
      <c r="H195" s="23">
        <f t="shared" si="26"/>
        <v>9</v>
      </c>
      <c r="K195">
        <v>16</v>
      </c>
      <c r="L195">
        <v>22</v>
      </c>
    </row>
    <row r="196" spans="1:12" x14ac:dyDescent="0.25">
      <c r="A196" s="22">
        <v>41892.395833333336</v>
      </c>
      <c r="B196" s="23">
        <v>435.1</v>
      </c>
      <c r="C196">
        <v>94.3</v>
      </c>
      <c r="D196">
        <v>9.6999999999999993</v>
      </c>
      <c r="E196">
        <v>5.8</v>
      </c>
      <c r="G196" s="23">
        <f t="shared" si="25"/>
        <v>10</v>
      </c>
      <c r="H196" s="23">
        <f t="shared" si="26"/>
        <v>9</v>
      </c>
      <c r="K196">
        <v>16</v>
      </c>
      <c r="L196">
        <v>23</v>
      </c>
    </row>
    <row r="197" spans="1:12" x14ac:dyDescent="0.25">
      <c r="A197" s="22">
        <v>41892.399305555555</v>
      </c>
      <c r="B197" s="23">
        <v>439.8</v>
      </c>
      <c r="C197">
        <v>94.3</v>
      </c>
      <c r="D197">
        <v>9.8000000000000007</v>
      </c>
      <c r="E197">
        <v>5.8</v>
      </c>
      <c r="G197" s="23">
        <f t="shared" si="25"/>
        <v>10</v>
      </c>
      <c r="H197" s="23">
        <f t="shared" si="26"/>
        <v>9</v>
      </c>
    </row>
    <row r="198" spans="1:12" x14ac:dyDescent="0.25">
      <c r="A198" s="22">
        <v>41892.402777777781</v>
      </c>
      <c r="B198" s="23">
        <v>443.1</v>
      </c>
      <c r="C198">
        <v>94.2</v>
      </c>
      <c r="D198">
        <v>9.8000000000000007</v>
      </c>
      <c r="E198">
        <v>5.8</v>
      </c>
      <c r="G198" s="23">
        <f t="shared" ref="G198:G261" si="27">+DAY(A198)</f>
        <v>10</v>
      </c>
      <c r="H198" s="23">
        <f t="shared" ref="H198:H261" si="28">+HOUR(A198)</f>
        <v>9</v>
      </c>
    </row>
    <row r="199" spans="1:12" x14ac:dyDescent="0.25">
      <c r="A199" s="22">
        <v>41892.40625</v>
      </c>
      <c r="B199" s="23">
        <v>444.6</v>
      </c>
      <c r="C199">
        <v>94.2</v>
      </c>
      <c r="D199">
        <v>9.8000000000000007</v>
      </c>
      <c r="E199">
        <v>5.8</v>
      </c>
      <c r="G199" s="23">
        <f t="shared" si="27"/>
        <v>10</v>
      </c>
      <c r="H199" s="23">
        <f t="shared" si="28"/>
        <v>9</v>
      </c>
    </row>
    <row r="200" spans="1:12" x14ac:dyDescent="0.25">
      <c r="A200" s="22">
        <v>41892.409722222219</v>
      </c>
      <c r="B200" s="23">
        <v>446.1</v>
      </c>
      <c r="C200">
        <v>94.3</v>
      </c>
      <c r="D200">
        <v>9.8000000000000007</v>
      </c>
      <c r="E200">
        <v>5.8</v>
      </c>
      <c r="G200" s="23">
        <f t="shared" si="27"/>
        <v>10</v>
      </c>
      <c r="H200" s="23">
        <f t="shared" si="28"/>
        <v>9</v>
      </c>
    </row>
    <row r="201" spans="1:12" x14ac:dyDescent="0.25">
      <c r="A201" s="22">
        <v>41892.413194444445</v>
      </c>
      <c r="B201" s="23">
        <v>448.5</v>
      </c>
      <c r="C201">
        <v>94.3</v>
      </c>
      <c r="D201">
        <v>9.9</v>
      </c>
      <c r="E201">
        <v>5.8</v>
      </c>
      <c r="G201" s="23">
        <f t="shared" si="27"/>
        <v>10</v>
      </c>
      <c r="H201" s="23">
        <f t="shared" si="28"/>
        <v>9</v>
      </c>
    </row>
    <row r="202" spans="1:12" x14ac:dyDescent="0.25">
      <c r="A202" s="22">
        <v>41892.416666666664</v>
      </c>
      <c r="B202" s="23">
        <v>447.3</v>
      </c>
      <c r="C202">
        <v>94.2</v>
      </c>
      <c r="D202">
        <v>9.9</v>
      </c>
      <c r="E202">
        <v>5.8</v>
      </c>
      <c r="G202" s="23">
        <f t="shared" si="27"/>
        <v>10</v>
      </c>
      <c r="H202" s="23">
        <f t="shared" si="28"/>
        <v>10</v>
      </c>
    </row>
    <row r="203" spans="1:12" x14ac:dyDescent="0.25">
      <c r="A203" s="22">
        <v>41892.420138888891</v>
      </c>
      <c r="B203" s="23">
        <v>444.5</v>
      </c>
      <c r="C203">
        <v>94.2</v>
      </c>
      <c r="D203">
        <v>9.8000000000000007</v>
      </c>
      <c r="E203">
        <v>5.8</v>
      </c>
      <c r="G203" s="23">
        <f t="shared" si="27"/>
        <v>10</v>
      </c>
      <c r="H203" s="23">
        <f t="shared" si="28"/>
        <v>10</v>
      </c>
    </row>
    <row r="204" spans="1:12" x14ac:dyDescent="0.25">
      <c r="A204" s="22">
        <v>41892.423611111109</v>
      </c>
      <c r="B204" s="23">
        <v>444.6</v>
      </c>
      <c r="C204">
        <v>94.3</v>
      </c>
      <c r="D204">
        <v>9.8000000000000007</v>
      </c>
      <c r="E204">
        <v>5.8</v>
      </c>
      <c r="G204" s="23">
        <f t="shared" si="27"/>
        <v>10</v>
      </c>
      <c r="H204" s="23">
        <f t="shared" si="28"/>
        <v>10</v>
      </c>
    </row>
    <row r="205" spans="1:12" x14ac:dyDescent="0.25">
      <c r="A205" s="22">
        <v>41892.427083333336</v>
      </c>
      <c r="B205" s="23">
        <v>443.5</v>
      </c>
      <c r="C205">
        <v>94.3</v>
      </c>
      <c r="D205">
        <v>9.8000000000000007</v>
      </c>
      <c r="E205">
        <v>5.8</v>
      </c>
      <c r="G205" s="23">
        <f t="shared" si="27"/>
        <v>10</v>
      </c>
      <c r="H205" s="23">
        <f t="shared" si="28"/>
        <v>10</v>
      </c>
    </row>
    <row r="206" spans="1:12" x14ac:dyDescent="0.25">
      <c r="A206" s="22">
        <v>41892.430555555555</v>
      </c>
      <c r="B206" s="23">
        <v>441.6</v>
      </c>
      <c r="C206">
        <v>94.2</v>
      </c>
      <c r="D206">
        <v>9.8000000000000007</v>
      </c>
      <c r="E206">
        <v>5.8</v>
      </c>
      <c r="G206" s="23">
        <f t="shared" si="27"/>
        <v>10</v>
      </c>
      <c r="H206" s="23">
        <f t="shared" si="28"/>
        <v>10</v>
      </c>
    </row>
    <row r="207" spans="1:12" x14ac:dyDescent="0.25">
      <c r="A207" s="22">
        <v>41892.434027777781</v>
      </c>
      <c r="B207" s="23">
        <v>427.8</v>
      </c>
      <c r="C207">
        <v>94.2</v>
      </c>
      <c r="D207">
        <v>9.6</v>
      </c>
      <c r="E207">
        <v>5.8</v>
      </c>
      <c r="G207" s="23">
        <f t="shared" si="27"/>
        <v>10</v>
      </c>
      <c r="H207" s="23">
        <f t="shared" si="28"/>
        <v>10</v>
      </c>
    </row>
    <row r="208" spans="1:12" x14ac:dyDescent="0.25">
      <c r="A208" s="22">
        <v>41892.4375</v>
      </c>
      <c r="B208" s="23">
        <v>407.6</v>
      </c>
      <c r="C208">
        <v>94.3</v>
      </c>
      <c r="D208">
        <v>9.5</v>
      </c>
      <c r="E208">
        <v>5.7</v>
      </c>
      <c r="G208" s="23">
        <f t="shared" si="27"/>
        <v>10</v>
      </c>
      <c r="H208" s="23">
        <f t="shared" si="28"/>
        <v>10</v>
      </c>
    </row>
    <row r="209" spans="1:8" x14ac:dyDescent="0.25">
      <c r="A209" s="22">
        <v>41892.440972222219</v>
      </c>
      <c r="B209" s="23">
        <v>404</v>
      </c>
      <c r="C209">
        <v>94.3</v>
      </c>
      <c r="D209">
        <v>9.4</v>
      </c>
      <c r="E209">
        <v>5.8</v>
      </c>
      <c r="G209" s="23">
        <f t="shared" si="27"/>
        <v>10</v>
      </c>
      <c r="H209" s="23">
        <f t="shared" si="28"/>
        <v>10</v>
      </c>
    </row>
    <row r="210" spans="1:8" x14ac:dyDescent="0.25">
      <c r="A210" s="22">
        <v>41892.444444444445</v>
      </c>
      <c r="B210" s="23">
        <v>397.3</v>
      </c>
      <c r="C210">
        <v>94.2</v>
      </c>
      <c r="D210">
        <v>9.4</v>
      </c>
      <c r="E210">
        <v>5.7</v>
      </c>
      <c r="G210" s="23">
        <f t="shared" si="27"/>
        <v>10</v>
      </c>
      <c r="H210" s="23">
        <f t="shared" si="28"/>
        <v>10</v>
      </c>
    </row>
    <row r="211" spans="1:8" x14ac:dyDescent="0.25">
      <c r="A211" s="22">
        <v>41892.447916666664</v>
      </c>
      <c r="B211" s="23">
        <v>381.7</v>
      </c>
      <c r="C211">
        <v>94.2</v>
      </c>
      <c r="D211">
        <v>9.1999999999999993</v>
      </c>
      <c r="E211">
        <v>5.7</v>
      </c>
      <c r="G211" s="23">
        <f t="shared" si="27"/>
        <v>10</v>
      </c>
      <c r="H211" s="23">
        <f t="shared" si="28"/>
        <v>10</v>
      </c>
    </row>
    <row r="212" spans="1:8" x14ac:dyDescent="0.25">
      <c r="A212" s="22">
        <v>41892.451388888891</v>
      </c>
      <c r="B212" s="23">
        <v>374</v>
      </c>
      <c r="C212">
        <v>94.3</v>
      </c>
      <c r="D212">
        <v>9.1999999999999993</v>
      </c>
      <c r="E212">
        <v>5.8</v>
      </c>
      <c r="G212" s="23">
        <f t="shared" si="27"/>
        <v>10</v>
      </c>
      <c r="H212" s="23">
        <f t="shared" si="28"/>
        <v>10</v>
      </c>
    </row>
    <row r="213" spans="1:8" x14ac:dyDescent="0.25">
      <c r="A213" s="22">
        <v>41892.454861111109</v>
      </c>
      <c r="B213" s="23">
        <v>368.1</v>
      </c>
      <c r="C213">
        <v>94.2</v>
      </c>
      <c r="D213">
        <v>9.1</v>
      </c>
      <c r="E213">
        <v>5.8</v>
      </c>
      <c r="G213" s="23">
        <f t="shared" si="27"/>
        <v>10</v>
      </c>
      <c r="H213" s="23">
        <f t="shared" si="28"/>
        <v>10</v>
      </c>
    </row>
    <row r="214" spans="1:8" x14ac:dyDescent="0.25">
      <c r="A214" s="22">
        <v>41892.458333333336</v>
      </c>
      <c r="B214" s="23">
        <v>362.8</v>
      </c>
      <c r="C214">
        <v>94.3</v>
      </c>
      <c r="D214">
        <v>9.1</v>
      </c>
      <c r="E214">
        <v>5.8</v>
      </c>
      <c r="G214" s="23">
        <f t="shared" si="27"/>
        <v>10</v>
      </c>
      <c r="H214" s="23">
        <f t="shared" si="28"/>
        <v>11</v>
      </c>
    </row>
    <row r="215" spans="1:8" x14ac:dyDescent="0.25">
      <c r="A215" s="22">
        <v>41892.461805555555</v>
      </c>
      <c r="B215" s="23">
        <v>363.8</v>
      </c>
      <c r="C215">
        <v>94.2</v>
      </c>
      <c r="D215">
        <v>9.1</v>
      </c>
      <c r="E215">
        <v>5.8</v>
      </c>
      <c r="G215" s="23">
        <f t="shared" si="27"/>
        <v>10</v>
      </c>
      <c r="H215" s="23">
        <f t="shared" si="28"/>
        <v>11</v>
      </c>
    </row>
    <row r="216" spans="1:8" x14ac:dyDescent="0.25">
      <c r="A216" s="22">
        <v>41892.465277777781</v>
      </c>
      <c r="B216" s="23">
        <v>367.6</v>
      </c>
      <c r="C216">
        <v>94.2</v>
      </c>
      <c r="D216">
        <v>9.1</v>
      </c>
      <c r="E216">
        <v>5.8</v>
      </c>
      <c r="G216" s="23">
        <f t="shared" si="27"/>
        <v>10</v>
      </c>
      <c r="H216" s="23">
        <f t="shared" si="28"/>
        <v>11</v>
      </c>
    </row>
    <row r="217" spans="1:8" x14ac:dyDescent="0.25">
      <c r="A217" s="22">
        <v>41892.46875</v>
      </c>
      <c r="B217" s="23">
        <v>370.6</v>
      </c>
      <c r="C217">
        <v>94.3</v>
      </c>
      <c r="D217">
        <v>9.1</v>
      </c>
      <c r="E217">
        <v>5.8</v>
      </c>
      <c r="G217" s="23">
        <f t="shared" si="27"/>
        <v>10</v>
      </c>
      <c r="H217" s="23">
        <f t="shared" si="28"/>
        <v>11</v>
      </c>
    </row>
    <row r="218" spans="1:8" x14ac:dyDescent="0.25">
      <c r="A218" s="22">
        <v>41892.472222222219</v>
      </c>
      <c r="B218" s="23">
        <v>371.9</v>
      </c>
      <c r="C218">
        <v>94.2</v>
      </c>
      <c r="D218">
        <v>9.1</v>
      </c>
      <c r="E218">
        <v>5.8</v>
      </c>
      <c r="G218" s="23">
        <f t="shared" si="27"/>
        <v>10</v>
      </c>
      <c r="H218" s="23">
        <f t="shared" si="28"/>
        <v>11</v>
      </c>
    </row>
    <row r="219" spans="1:8" x14ac:dyDescent="0.25">
      <c r="A219" s="22">
        <v>41892.475694444445</v>
      </c>
      <c r="B219" s="23">
        <v>373.9</v>
      </c>
      <c r="C219">
        <v>94.2</v>
      </c>
      <c r="D219">
        <v>9.1999999999999993</v>
      </c>
      <c r="E219">
        <v>5.8</v>
      </c>
      <c r="G219" s="23">
        <f t="shared" si="27"/>
        <v>10</v>
      </c>
      <c r="H219" s="23">
        <f t="shared" si="28"/>
        <v>11</v>
      </c>
    </row>
    <row r="220" spans="1:8" x14ac:dyDescent="0.25">
      <c r="A220" s="22">
        <v>41892.479166666664</v>
      </c>
      <c r="B220" s="23">
        <v>374.3</v>
      </c>
      <c r="C220">
        <v>94.2</v>
      </c>
      <c r="D220">
        <v>9.1999999999999993</v>
      </c>
      <c r="E220">
        <v>5.8</v>
      </c>
      <c r="G220" s="23">
        <f t="shared" si="27"/>
        <v>10</v>
      </c>
      <c r="H220" s="23">
        <f t="shared" si="28"/>
        <v>11</v>
      </c>
    </row>
    <row r="221" spans="1:8" x14ac:dyDescent="0.25">
      <c r="A221" s="22">
        <v>41892.482638888891</v>
      </c>
      <c r="B221" s="23">
        <v>374.5</v>
      </c>
      <c r="C221">
        <v>94.1</v>
      </c>
      <c r="D221">
        <v>9.1999999999999993</v>
      </c>
      <c r="E221">
        <v>5.8</v>
      </c>
      <c r="G221" s="23">
        <f t="shared" si="27"/>
        <v>10</v>
      </c>
      <c r="H221" s="23">
        <f t="shared" si="28"/>
        <v>11</v>
      </c>
    </row>
    <row r="222" spans="1:8" x14ac:dyDescent="0.25">
      <c r="A222" s="22">
        <v>41892.486111111109</v>
      </c>
      <c r="B222" s="23">
        <v>373.3</v>
      </c>
      <c r="C222">
        <v>94.2</v>
      </c>
      <c r="D222">
        <v>9.1999999999999993</v>
      </c>
      <c r="E222">
        <v>5.8</v>
      </c>
      <c r="G222" s="23">
        <f t="shared" si="27"/>
        <v>10</v>
      </c>
      <c r="H222" s="23">
        <f t="shared" si="28"/>
        <v>11</v>
      </c>
    </row>
    <row r="223" spans="1:8" x14ac:dyDescent="0.25">
      <c r="A223" s="22">
        <v>41892.489583333336</v>
      </c>
      <c r="B223" s="23">
        <v>372.8</v>
      </c>
      <c r="C223">
        <v>94.2</v>
      </c>
      <c r="D223">
        <v>9.1999999999999993</v>
      </c>
      <c r="E223">
        <v>5.8</v>
      </c>
      <c r="G223" s="23">
        <f t="shared" si="27"/>
        <v>10</v>
      </c>
      <c r="H223" s="23">
        <f t="shared" si="28"/>
        <v>11</v>
      </c>
    </row>
    <row r="224" spans="1:8" x14ac:dyDescent="0.25">
      <c r="A224" s="22">
        <v>41892.493055555555</v>
      </c>
      <c r="B224" s="23">
        <v>375</v>
      </c>
      <c r="C224">
        <v>94.1</v>
      </c>
      <c r="D224">
        <v>9.1999999999999993</v>
      </c>
      <c r="E224">
        <v>5.8</v>
      </c>
      <c r="G224" s="23">
        <f t="shared" si="27"/>
        <v>10</v>
      </c>
      <c r="H224" s="23">
        <f t="shared" si="28"/>
        <v>11</v>
      </c>
    </row>
    <row r="225" spans="1:8" x14ac:dyDescent="0.25">
      <c r="A225" s="22">
        <v>41892.496527777781</v>
      </c>
      <c r="B225" s="23">
        <v>376.3</v>
      </c>
      <c r="C225">
        <v>94.2</v>
      </c>
      <c r="D225">
        <v>9.1999999999999993</v>
      </c>
      <c r="E225">
        <v>5.8</v>
      </c>
      <c r="G225" s="23">
        <f t="shared" si="27"/>
        <v>10</v>
      </c>
      <c r="H225" s="23">
        <f t="shared" si="28"/>
        <v>11</v>
      </c>
    </row>
    <row r="226" spans="1:8" x14ac:dyDescent="0.25">
      <c r="A226" s="22">
        <v>41892.5</v>
      </c>
      <c r="B226" s="23">
        <v>375.6</v>
      </c>
      <c r="C226">
        <v>94.2</v>
      </c>
      <c r="D226">
        <v>9.1999999999999993</v>
      </c>
      <c r="E226">
        <v>5.8</v>
      </c>
      <c r="G226" s="23">
        <f t="shared" si="27"/>
        <v>10</v>
      </c>
      <c r="H226" s="23">
        <f t="shared" si="28"/>
        <v>12</v>
      </c>
    </row>
    <row r="227" spans="1:8" x14ac:dyDescent="0.25">
      <c r="A227" s="22">
        <v>41892.503472222219</v>
      </c>
      <c r="B227" s="23">
        <v>376.3</v>
      </c>
      <c r="C227">
        <v>94.2</v>
      </c>
      <c r="D227">
        <v>9.1999999999999993</v>
      </c>
      <c r="E227">
        <v>5.8</v>
      </c>
      <c r="G227" s="23">
        <f t="shared" si="27"/>
        <v>10</v>
      </c>
      <c r="H227" s="23">
        <f t="shared" si="28"/>
        <v>12</v>
      </c>
    </row>
    <row r="228" spans="1:8" x14ac:dyDescent="0.25">
      <c r="A228" s="22">
        <v>41892.506944444445</v>
      </c>
      <c r="B228" s="23">
        <v>376.4</v>
      </c>
      <c r="C228">
        <v>94.1</v>
      </c>
      <c r="D228">
        <v>9.1999999999999993</v>
      </c>
      <c r="E228">
        <v>5.8</v>
      </c>
      <c r="G228" s="23">
        <f t="shared" si="27"/>
        <v>10</v>
      </c>
      <c r="H228" s="23">
        <f t="shared" si="28"/>
        <v>12</v>
      </c>
    </row>
    <row r="229" spans="1:8" x14ac:dyDescent="0.25">
      <c r="A229" s="22">
        <v>41892.510416666664</v>
      </c>
      <c r="B229" s="23">
        <v>377.6</v>
      </c>
      <c r="C229">
        <v>94.2</v>
      </c>
      <c r="D229">
        <v>9.1999999999999993</v>
      </c>
      <c r="E229">
        <v>5.8</v>
      </c>
      <c r="G229" s="23">
        <f t="shared" si="27"/>
        <v>10</v>
      </c>
      <c r="H229" s="23">
        <f t="shared" si="28"/>
        <v>12</v>
      </c>
    </row>
    <row r="230" spans="1:8" x14ac:dyDescent="0.25">
      <c r="A230" s="22">
        <v>41892.513888888891</v>
      </c>
      <c r="B230" s="23">
        <v>380.3</v>
      </c>
      <c r="C230">
        <v>94.2</v>
      </c>
      <c r="D230">
        <v>9.1999999999999993</v>
      </c>
      <c r="E230">
        <v>5.8</v>
      </c>
      <c r="G230" s="23">
        <f t="shared" si="27"/>
        <v>10</v>
      </c>
      <c r="H230" s="23">
        <f t="shared" si="28"/>
        <v>12</v>
      </c>
    </row>
    <row r="231" spans="1:8" x14ac:dyDescent="0.25">
      <c r="A231" s="22">
        <v>41892.517361111109</v>
      </c>
      <c r="B231" s="23">
        <v>383.9</v>
      </c>
      <c r="C231">
        <v>94.2</v>
      </c>
      <c r="D231">
        <v>9.3000000000000007</v>
      </c>
      <c r="E231">
        <v>5.8</v>
      </c>
      <c r="G231" s="23">
        <f t="shared" si="27"/>
        <v>10</v>
      </c>
      <c r="H231" s="23">
        <f t="shared" si="28"/>
        <v>12</v>
      </c>
    </row>
    <row r="232" spans="1:8" x14ac:dyDescent="0.25">
      <c r="A232" s="22">
        <v>41892.520833333336</v>
      </c>
      <c r="B232" s="23">
        <v>391.1</v>
      </c>
      <c r="C232">
        <v>94.2</v>
      </c>
      <c r="D232">
        <v>9.3000000000000007</v>
      </c>
      <c r="E232">
        <v>5.8</v>
      </c>
      <c r="G232" s="23">
        <f t="shared" si="27"/>
        <v>10</v>
      </c>
      <c r="H232" s="23">
        <f t="shared" si="28"/>
        <v>12</v>
      </c>
    </row>
    <row r="233" spans="1:8" x14ac:dyDescent="0.25">
      <c r="A233" s="22">
        <v>41892.524305555555</v>
      </c>
      <c r="B233" s="23">
        <v>393.8</v>
      </c>
      <c r="C233">
        <v>94.1</v>
      </c>
      <c r="D233">
        <v>9.4</v>
      </c>
      <c r="E233">
        <v>5.8</v>
      </c>
      <c r="G233" s="23">
        <f t="shared" si="27"/>
        <v>10</v>
      </c>
      <c r="H233" s="23">
        <f t="shared" si="28"/>
        <v>12</v>
      </c>
    </row>
    <row r="234" spans="1:8" x14ac:dyDescent="0.25">
      <c r="A234" s="22">
        <v>41892.527777777781</v>
      </c>
      <c r="B234" s="23">
        <v>418.3</v>
      </c>
      <c r="C234">
        <v>94.2</v>
      </c>
      <c r="D234">
        <v>9.6</v>
      </c>
      <c r="E234">
        <v>5.8</v>
      </c>
      <c r="G234" s="23">
        <f t="shared" si="27"/>
        <v>10</v>
      </c>
      <c r="H234" s="23">
        <f t="shared" si="28"/>
        <v>12</v>
      </c>
    </row>
    <row r="235" spans="1:8" x14ac:dyDescent="0.25">
      <c r="A235" s="22">
        <v>41892.53125</v>
      </c>
      <c r="B235" s="23">
        <v>438.7</v>
      </c>
      <c r="C235">
        <v>94.3</v>
      </c>
      <c r="D235">
        <v>9.8000000000000007</v>
      </c>
      <c r="E235">
        <v>5.8</v>
      </c>
      <c r="G235" s="23">
        <f t="shared" si="27"/>
        <v>10</v>
      </c>
      <c r="H235" s="23">
        <f t="shared" si="28"/>
        <v>12</v>
      </c>
    </row>
    <row r="236" spans="1:8" x14ac:dyDescent="0.25">
      <c r="A236" s="22">
        <v>41892.534722222219</v>
      </c>
      <c r="B236" s="23">
        <v>444.4</v>
      </c>
      <c r="C236">
        <v>94.2</v>
      </c>
      <c r="D236">
        <v>9.8000000000000007</v>
      </c>
      <c r="E236">
        <v>5.8</v>
      </c>
      <c r="G236" s="23">
        <f t="shared" si="27"/>
        <v>10</v>
      </c>
      <c r="H236" s="23">
        <f t="shared" si="28"/>
        <v>12</v>
      </c>
    </row>
    <row r="237" spans="1:8" x14ac:dyDescent="0.25">
      <c r="A237" s="22">
        <v>41892.538194444445</v>
      </c>
      <c r="B237" s="23">
        <v>448.7</v>
      </c>
      <c r="C237">
        <v>94.2</v>
      </c>
      <c r="D237">
        <v>9.9</v>
      </c>
      <c r="E237">
        <v>5.8</v>
      </c>
      <c r="G237" s="23">
        <f t="shared" si="27"/>
        <v>10</v>
      </c>
      <c r="H237" s="23">
        <f t="shared" si="28"/>
        <v>12</v>
      </c>
    </row>
    <row r="238" spans="1:8" x14ac:dyDescent="0.25">
      <c r="A238" s="22">
        <v>41892.541666666664</v>
      </c>
      <c r="B238" s="23">
        <v>454.5</v>
      </c>
      <c r="C238">
        <v>94.3</v>
      </c>
      <c r="D238">
        <v>9.9</v>
      </c>
      <c r="E238">
        <v>5.8</v>
      </c>
      <c r="G238" s="23">
        <f t="shared" si="27"/>
        <v>10</v>
      </c>
      <c r="H238" s="23">
        <f t="shared" si="28"/>
        <v>13</v>
      </c>
    </row>
    <row r="239" spans="1:8" x14ac:dyDescent="0.25">
      <c r="A239" s="22">
        <v>41892.545138888891</v>
      </c>
      <c r="B239" s="23">
        <v>457.9</v>
      </c>
      <c r="C239">
        <v>94.3</v>
      </c>
      <c r="D239">
        <v>10</v>
      </c>
      <c r="E239">
        <v>5.9</v>
      </c>
      <c r="G239" s="23">
        <f t="shared" si="27"/>
        <v>10</v>
      </c>
      <c r="H239" s="23">
        <f t="shared" si="28"/>
        <v>13</v>
      </c>
    </row>
    <row r="240" spans="1:8" x14ac:dyDescent="0.25">
      <c r="A240" s="22">
        <v>41892.548611111109</v>
      </c>
      <c r="B240" s="23">
        <v>460.2</v>
      </c>
      <c r="C240">
        <v>94.3</v>
      </c>
      <c r="D240">
        <v>10.1</v>
      </c>
      <c r="E240">
        <v>5.9</v>
      </c>
      <c r="G240" s="23">
        <f t="shared" si="27"/>
        <v>10</v>
      </c>
      <c r="H240" s="23">
        <f t="shared" si="28"/>
        <v>13</v>
      </c>
    </row>
    <row r="241" spans="1:8" x14ac:dyDescent="0.25">
      <c r="A241" s="22">
        <v>41892.552083333336</v>
      </c>
      <c r="B241" s="23">
        <v>458.5</v>
      </c>
      <c r="C241">
        <v>94.2</v>
      </c>
      <c r="D241">
        <v>10.1</v>
      </c>
      <c r="E241">
        <v>5.9</v>
      </c>
      <c r="G241" s="23">
        <f t="shared" si="27"/>
        <v>10</v>
      </c>
      <c r="H241" s="23">
        <f t="shared" si="28"/>
        <v>13</v>
      </c>
    </row>
    <row r="242" spans="1:8" x14ac:dyDescent="0.25">
      <c r="A242" s="22">
        <v>41892.555555555555</v>
      </c>
      <c r="B242" s="23">
        <v>460.1</v>
      </c>
      <c r="C242">
        <v>94.2</v>
      </c>
      <c r="D242">
        <v>10.1</v>
      </c>
      <c r="E242">
        <v>5.9</v>
      </c>
      <c r="G242" s="23">
        <f t="shared" si="27"/>
        <v>10</v>
      </c>
      <c r="H242" s="23">
        <f t="shared" si="28"/>
        <v>13</v>
      </c>
    </row>
    <row r="243" spans="1:8" x14ac:dyDescent="0.25">
      <c r="A243" s="22">
        <v>41892.559027777781</v>
      </c>
      <c r="B243" s="23">
        <v>459.7</v>
      </c>
      <c r="C243">
        <v>94.2</v>
      </c>
      <c r="D243">
        <v>10.1</v>
      </c>
      <c r="E243">
        <v>5.9</v>
      </c>
      <c r="G243" s="23">
        <f t="shared" si="27"/>
        <v>10</v>
      </c>
      <c r="H243" s="23">
        <f t="shared" si="28"/>
        <v>13</v>
      </c>
    </row>
    <row r="244" spans="1:8" x14ac:dyDescent="0.25">
      <c r="A244" s="22">
        <v>41892.5625</v>
      </c>
      <c r="B244" s="23">
        <v>460.5</v>
      </c>
      <c r="C244">
        <v>94.3</v>
      </c>
      <c r="D244">
        <v>10.3</v>
      </c>
      <c r="E244">
        <v>6.1</v>
      </c>
      <c r="G244" s="23">
        <f t="shared" si="27"/>
        <v>10</v>
      </c>
      <c r="H244" s="23">
        <f t="shared" si="28"/>
        <v>13</v>
      </c>
    </row>
    <row r="245" spans="1:8" x14ac:dyDescent="0.25">
      <c r="A245" s="22">
        <v>41892.565972222219</v>
      </c>
      <c r="B245" s="23">
        <v>462.1</v>
      </c>
      <c r="C245">
        <v>94.2</v>
      </c>
      <c r="D245">
        <v>10.3</v>
      </c>
      <c r="E245">
        <v>6.1</v>
      </c>
      <c r="G245" s="23">
        <f t="shared" si="27"/>
        <v>10</v>
      </c>
      <c r="H245" s="23">
        <f t="shared" si="28"/>
        <v>13</v>
      </c>
    </row>
    <row r="246" spans="1:8" x14ac:dyDescent="0.25">
      <c r="A246" s="22">
        <v>41892.569444444445</v>
      </c>
      <c r="B246" s="23">
        <v>462.6</v>
      </c>
      <c r="C246">
        <v>94.1</v>
      </c>
      <c r="D246">
        <v>10.3</v>
      </c>
      <c r="E246">
        <v>6.1</v>
      </c>
      <c r="G246" s="23">
        <f t="shared" si="27"/>
        <v>10</v>
      </c>
      <c r="H246" s="23">
        <f t="shared" si="28"/>
        <v>13</v>
      </c>
    </row>
    <row r="247" spans="1:8" x14ac:dyDescent="0.25">
      <c r="A247" s="22">
        <v>41892.572916666664</v>
      </c>
      <c r="B247" s="23">
        <v>463.4</v>
      </c>
      <c r="C247">
        <v>94.3</v>
      </c>
      <c r="D247">
        <v>10.4</v>
      </c>
      <c r="E247">
        <v>6.1</v>
      </c>
      <c r="G247" s="23">
        <f t="shared" si="27"/>
        <v>10</v>
      </c>
      <c r="H247" s="23">
        <f t="shared" si="28"/>
        <v>13</v>
      </c>
    </row>
    <row r="248" spans="1:8" x14ac:dyDescent="0.25">
      <c r="A248" s="22">
        <v>41892.576388888891</v>
      </c>
      <c r="B248" s="23">
        <v>463</v>
      </c>
      <c r="C248">
        <v>94.4</v>
      </c>
      <c r="D248">
        <v>10.4</v>
      </c>
      <c r="E248">
        <v>6.2</v>
      </c>
      <c r="G248" s="23">
        <f t="shared" si="27"/>
        <v>10</v>
      </c>
      <c r="H248" s="23">
        <f t="shared" si="28"/>
        <v>13</v>
      </c>
    </row>
    <row r="249" spans="1:8" x14ac:dyDescent="0.25">
      <c r="A249" s="22">
        <v>41892.579861111109</v>
      </c>
      <c r="B249" s="23">
        <v>460.2</v>
      </c>
      <c r="C249">
        <v>94.3</v>
      </c>
      <c r="D249">
        <v>10.4</v>
      </c>
      <c r="E249">
        <v>6.2</v>
      </c>
      <c r="G249" s="23">
        <f t="shared" si="27"/>
        <v>10</v>
      </c>
      <c r="H249" s="23">
        <f t="shared" si="28"/>
        <v>13</v>
      </c>
    </row>
    <row r="250" spans="1:8" x14ac:dyDescent="0.25">
      <c r="A250" s="22">
        <v>41892.583333333336</v>
      </c>
      <c r="B250" s="23">
        <v>461.2</v>
      </c>
      <c r="C250">
        <v>94.2</v>
      </c>
      <c r="D250">
        <v>10.4</v>
      </c>
      <c r="E250">
        <v>6.2</v>
      </c>
      <c r="G250" s="23">
        <f t="shared" si="27"/>
        <v>10</v>
      </c>
      <c r="H250" s="23">
        <f t="shared" si="28"/>
        <v>14</v>
      </c>
    </row>
    <row r="251" spans="1:8" x14ac:dyDescent="0.25">
      <c r="A251" s="22">
        <v>41892.586805555555</v>
      </c>
      <c r="B251" s="23">
        <v>462.6</v>
      </c>
      <c r="C251">
        <v>94.3</v>
      </c>
      <c r="D251">
        <v>10.4</v>
      </c>
      <c r="E251">
        <v>6.2</v>
      </c>
      <c r="G251" s="23">
        <f t="shared" si="27"/>
        <v>10</v>
      </c>
      <c r="H251" s="23">
        <f t="shared" si="28"/>
        <v>14</v>
      </c>
    </row>
    <row r="252" spans="1:8" x14ac:dyDescent="0.25">
      <c r="A252" s="22">
        <v>41892.590277777781</v>
      </c>
      <c r="B252" s="23">
        <v>463.6</v>
      </c>
      <c r="C252">
        <v>94.3</v>
      </c>
      <c r="D252">
        <v>10.5</v>
      </c>
      <c r="E252">
        <v>6.3</v>
      </c>
      <c r="G252" s="23">
        <f t="shared" si="27"/>
        <v>10</v>
      </c>
      <c r="H252" s="23">
        <f t="shared" si="28"/>
        <v>14</v>
      </c>
    </row>
    <row r="253" spans="1:8" x14ac:dyDescent="0.25">
      <c r="A253" s="22">
        <v>41892.59375</v>
      </c>
      <c r="B253" s="23">
        <v>462.6</v>
      </c>
      <c r="C253">
        <v>94.3</v>
      </c>
      <c r="D253">
        <v>10.6</v>
      </c>
      <c r="E253">
        <v>6.3</v>
      </c>
      <c r="G253" s="23">
        <f t="shared" si="27"/>
        <v>10</v>
      </c>
      <c r="H253" s="23">
        <f t="shared" si="28"/>
        <v>14</v>
      </c>
    </row>
    <row r="254" spans="1:8" x14ac:dyDescent="0.25">
      <c r="A254" s="22">
        <v>41892.597222222219</v>
      </c>
      <c r="B254" s="23">
        <v>458.3</v>
      </c>
      <c r="C254">
        <v>94.3</v>
      </c>
      <c r="D254">
        <v>10.6</v>
      </c>
      <c r="E254">
        <v>6.4</v>
      </c>
      <c r="G254" s="23">
        <f t="shared" si="27"/>
        <v>10</v>
      </c>
      <c r="H254" s="23">
        <f t="shared" si="28"/>
        <v>14</v>
      </c>
    </row>
    <row r="255" spans="1:8" x14ac:dyDescent="0.25">
      <c r="A255" s="22">
        <v>41892.600694444445</v>
      </c>
      <c r="B255" s="23">
        <v>456.4</v>
      </c>
      <c r="C255">
        <v>94.3</v>
      </c>
      <c r="D255">
        <v>10.6</v>
      </c>
      <c r="E255">
        <v>6.5</v>
      </c>
      <c r="G255" s="23">
        <f t="shared" si="27"/>
        <v>10</v>
      </c>
      <c r="H255" s="23">
        <f t="shared" si="28"/>
        <v>14</v>
      </c>
    </row>
    <row r="256" spans="1:8" x14ac:dyDescent="0.25">
      <c r="A256" s="22">
        <v>41892.604166666664</v>
      </c>
      <c r="B256" s="23">
        <v>458.8</v>
      </c>
      <c r="C256">
        <v>94.4</v>
      </c>
      <c r="D256">
        <v>10.7</v>
      </c>
      <c r="E256">
        <v>6.5</v>
      </c>
      <c r="G256" s="23">
        <f t="shared" si="27"/>
        <v>10</v>
      </c>
      <c r="H256" s="23">
        <f t="shared" si="28"/>
        <v>14</v>
      </c>
    </row>
    <row r="257" spans="1:8" x14ac:dyDescent="0.25">
      <c r="A257" s="22">
        <v>41892.607638888891</v>
      </c>
      <c r="B257" s="23">
        <v>456.6</v>
      </c>
      <c r="C257">
        <v>94.4</v>
      </c>
      <c r="D257">
        <v>10.7</v>
      </c>
      <c r="E257">
        <v>6.6</v>
      </c>
      <c r="G257" s="23">
        <f t="shared" si="27"/>
        <v>10</v>
      </c>
      <c r="H257" s="23">
        <f t="shared" si="28"/>
        <v>14</v>
      </c>
    </row>
    <row r="258" spans="1:8" x14ac:dyDescent="0.25">
      <c r="A258" s="22">
        <v>41892.611111111109</v>
      </c>
      <c r="B258" s="23">
        <v>455.8</v>
      </c>
      <c r="C258">
        <v>94.3</v>
      </c>
      <c r="D258">
        <v>10.8</v>
      </c>
      <c r="E258">
        <v>6.6</v>
      </c>
      <c r="G258" s="23">
        <f t="shared" si="27"/>
        <v>10</v>
      </c>
      <c r="H258" s="23">
        <f t="shared" si="28"/>
        <v>14</v>
      </c>
    </row>
    <row r="259" spans="1:8" x14ac:dyDescent="0.25">
      <c r="A259" s="22">
        <v>41892.614583333336</v>
      </c>
      <c r="B259" s="23">
        <v>457.3</v>
      </c>
      <c r="C259">
        <v>94.3</v>
      </c>
      <c r="D259">
        <v>10.8</v>
      </c>
      <c r="E259">
        <v>6.6</v>
      </c>
      <c r="G259" s="23">
        <f t="shared" si="27"/>
        <v>10</v>
      </c>
      <c r="H259" s="23">
        <f t="shared" si="28"/>
        <v>14</v>
      </c>
    </row>
    <row r="260" spans="1:8" x14ac:dyDescent="0.25">
      <c r="A260" s="22">
        <v>41892.618055555555</v>
      </c>
      <c r="B260" s="23">
        <v>457.5</v>
      </c>
      <c r="C260">
        <v>94.3</v>
      </c>
      <c r="D260">
        <v>10.8</v>
      </c>
      <c r="E260">
        <v>6.6</v>
      </c>
      <c r="G260" s="23">
        <f t="shared" si="27"/>
        <v>10</v>
      </c>
      <c r="H260" s="23">
        <f t="shared" si="28"/>
        <v>14</v>
      </c>
    </row>
    <row r="261" spans="1:8" x14ac:dyDescent="0.25">
      <c r="A261" s="22">
        <v>41892.621527777781</v>
      </c>
      <c r="B261" s="23">
        <v>456.3</v>
      </c>
      <c r="C261">
        <v>94.4</v>
      </c>
      <c r="D261">
        <v>10.8</v>
      </c>
      <c r="E261">
        <v>6.7</v>
      </c>
      <c r="G261" s="23">
        <f t="shared" si="27"/>
        <v>10</v>
      </c>
      <c r="H261" s="23">
        <f t="shared" si="28"/>
        <v>14</v>
      </c>
    </row>
    <row r="262" spans="1:8" x14ac:dyDescent="0.25">
      <c r="A262" s="22">
        <v>41892.625</v>
      </c>
      <c r="B262" s="23">
        <v>457.5</v>
      </c>
      <c r="C262">
        <v>94.4</v>
      </c>
      <c r="D262">
        <v>10.8</v>
      </c>
      <c r="E262">
        <v>6.7</v>
      </c>
      <c r="G262" s="23">
        <f t="shared" ref="G262:G325" si="29">+DAY(A262)</f>
        <v>10</v>
      </c>
      <c r="H262" s="23">
        <f t="shared" ref="H262:H325" si="30">+HOUR(A262)</f>
        <v>15</v>
      </c>
    </row>
    <row r="263" spans="1:8" x14ac:dyDescent="0.25">
      <c r="A263" s="22">
        <v>41892.628472222219</v>
      </c>
      <c r="B263" s="23">
        <v>458.5</v>
      </c>
      <c r="C263">
        <v>94.3</v>
      </c>
      <c r="D263">
        <v>10.8</v>
      </c>
      <c r="E263">
        <v>6.7</v>
      </c>
      <c r="G263" s="23">
        <f t="shared" si="29"/>
        <v>10</v>
      </c>
      <c r="H263" s="23">
        <f t="shared" si="30"/>
        <v>15</v>
      </c>
    </row>
    <row r="264" spans="1:8" x14ac:dyDescent="0.25">
      <c r="A264" s="22">
        <v>41892.631944444445</v>
      </c>
      <c r="B264" s="23">
        <v>460</v>
      </c>
      <c r="C264">
        <v>94.2</v>
      </c>
      <c r="D264">
        <v>10.9</v>
      </c>
      <c r="E264">
        <v>6.7</v>
      </c>
      <c r="G264" s="23">
        <f t="shared" si="29"/>
        <v>10</v>
      </c>
      <c r="H264" s="23">
        <f t="shared" si="30"/>
        <v>15</v>
      </c>
    </row>
    <row r="265" spans="1:8" x14ac:dyDescent="0.25">
      <c r="A265" s="22">
        <v>41892.635416666664</v>
      </c>
      <c r="B265" s="23">
        <v>461</v>
      </c>
      <c r="C265">
        <v>94.4</v>
      </c>
      <c r="D265">
        <v>10.9</v>
      </c>
      <c r="E265">
        <v>6.7</v>
      </c>
      <c r="G265" s="23">
        <f t="shared" si="29"/>
        <v>10</v>
      </c>
      <c r="H265" s="23">
        <f t="shared" si="30"/>
        <v>15</v>
      </c>
    </row>
    <row r="266" spans="1:8" x14ac:dyDescent="0.25">
      <c r="A266" s="22">
        <v>41892.638888888891</v>
      </c>
      <c r="B266" s="23">
        <v>455.2</v>
      </c>
      <c r="C266">
        <v>94.3</v>
      </c>
      <c r="D266">
        <v>10.6</v>
      </c>
      <c r="E266">
        <v>6.5</v>
      </c>
      <c r="G266" s="23">
        <f t="shared" si="29"/>
        <v>10</v>
      </c>
      <c r="H266" s="23">
        <f t="shared" si="30"/>
        <v>15</v>
      </c>
    </row>
    <row r="267" spans="1:8" x14ac:dyDescent="0.25">
      <c r="A267" s="22">
        <v>41892.642361111109</v>
      </c>
      <c r="B267" s="23">
        <v>455.7</v>
      </c>
      <c r="C267">
        <v>94.2</v>
      </c>
      <c r="D267">
        <v>10.4</v>
      </c>
      <c r="E267">
        <v>6.2</v>
      </c>
      <c r="G267" s="23">
        <f t="shared" si="29"/>
        <v>10</v>
      </c>
      <c r="H267" s="23">
        <f t="shared" si="30"/>
        <v>15</v>
      </c>
    </row>
    <row r="268" spans="1:8" x14ac:dyDescent="0.25">
      <c r="A268" s="22">
        <v>41892.645833333336</v>
      </c>
      <c r="B268" s="23">
        <v>454.3</v>
      </c>
      <c r="C268">
        <v>94.2</v>
      </c>
      <c r="D268">
        <v>10.3</v>
      </c>
      <c r="E268">
        <v>6.2</v>
      </c>
      <c r="G268" s="23">
        <f t="shared" si="29"/>
        <v>10</v>
      </c>
      <c r="H268" s="23">
        <f t="shared" si="30"/>
        <v>15</v>
      </c>
    </row>
    <row r="269" spans="1:8" x14ac:dyDescent="0.25">
      <c r="A269" s="22">
        <v>41892.649305555555</v>
      </c>
      <c r="B269" s="23">
        <v>457.6</v>
      </c>
      <c r="C269">
        <v>94.2</v>
      </c>
      <c r="D269">
        <v>10.199999999999999</v>
      </c>
      <c r="E269">
        <v>6.1</v>
      </c>
      <c r="G269" s="23">
        <f t="shared" si="29"/>
        <v>10</v>
      </c>
      <c r="H269" s="23">
        <f t="shared" si="30"/>
        <v>15</v>
      </c>
    </row>
    <row r="270" spans="1:8" x14ac:dyDescent="0.25">
      <c r="A270" s="22">
        <v>41892.652777777781</v>
      </c>
      <c r="B270" s="23">
        <v>456.5</v>
      </c>
      <c r="C270">
        <v>94.4</v>
      </c>
      <c r="D270">
        <v>10.3</v>
      </c>
      <c r="E270">
        <v>6.1</v>
      </c>
      <c r="G270" s="23">
        <f t="shared" si="29"/>
        <v>10</v>
      </c>
      <c r="H270" s="23">
        <f t="shared" si="30"/>
        <v>15</v>
      </c>
    </row>
    <row r="271" spans="1:8" x14ac:dyDescent="0.25">
      <c r="A271" s="22">
        <v>41892.65625</v>
      </c>
      <c r="B271" s="23">
        <v>458.1</v>
      </c>
      <c r="C271">
        <v>94.3</v>
      </c>
      <c r="D271">
        <v>10.199999999999999</v>
      </c>
      <c r="E271">
        <v>6</v>
      </c>
      <c r="G271" s="23">
        <f t="shared" si="29"/>
        <v>10</v>
      </c>
      <c r="H271" s="23">
        <f t="shared" si="30"/>
        <v>15</v>
      </c>
    </row>
    <row r="272" spans="1:8" x14ac:dyDescent="0.25">
      <c r="A272" s="22">
        <v>41892.659722222219</v>
      </c>
      <c r="B272" s="23">
        <v>456.1</v>
      </c>
      <c r="C272">
        <v>94.2</v>
      </c>
      <c r="D272">
        <v>10.1</v>
      </c>
      <c r="E272">
        <v>5.9</v>
      </c>
      <c r="G272" s="23">
        <f t="shared" si="29"/>
        <v>10</v>
      </c>
      <c r="H272" s="23">
        <f t="shared" si="30"/>
        <v>15</v>
      </c>
    </row>
    <row r="273" spans="1:8" x14ac:dyDescent="0.25">
      <c r="A273" s="22">
        <v>41892.663194444445</v>
      </c>
      <c r="B273" s="23">
        <v>454.8</v>
      </c>
      <c r="C273">
        <v>94.3</v>
      </c>
      <c r="D273">
        <v>10</v>
      </c>
      <c r="E273">
        <v>5.9</v>
      </c>
      <c r="G273" s="23">
        <f t="shared" si="29"/>
        <v>10</v>
      </c>
      <c r="H273" s="23">
        <f t="shared" si="30"/>
        <v>15</v>
      </c>
    </row>
    <row r="274" spans="1:8" x14ac:dyDescent="0.25">
      <c r="A274" s="22">
        <v>41892.666666666664</v>
      </c>
      <c r="B274" s="23">
        <v>455.8</v>
      </c>
      <c r="C274">
        <v>94.3</v>
      </c>
      <c r="D274">
        <v>10</v>
      </c>
      <c r="E274">
        <v>5.8</v>
      </c>
      <c r="G274" s="23">
        <f t="shared" si="29"/>
        <v>10</v>
      </c>
      <c r="H274" s="23">
        <f t="shared" si="30"/>
        <v>16</v>
      </c>
    </row>
    <row r="275" spans="1:8" x14ac:dyDescent="0.25">
      <c r="A275" s="22">
        <v>41892.670138888891</v>
      </c>
      <c r="B275" s="23">
        <v>454.1</v>
      </c>
      <c r="C275">
        <v>94.3</v>
      </c>
      <c r="D275">
        <v>9.9</v>
      </c>
      <c r="E275">
        <v>5.8</v>
      </c>
      <c r="G275" s="23">
        <f t="shared" si="29"/>
        <v>10</v>
      </c>
      <c r="H275" s="23">
        <f t="shared" si="30"/>
        <v>16</v>
      </c>
    </row>
    <row r="276" spans="1:8" x14ac:dyDescent="0.25">
      <c r="A276" s="22">
        <v>41892.673611111109</v>
      </c>
      <c r="B276" s="23">
        <v>448.3</v>
      </c>
      <c r="C276">
        <v>94.2</v>
      </c>
      <c r="D276">
        <v>9.9</v>
      </c>
      <c r="E276">
        <v>5.8</v>
      </c>
      <c r="G276" s="23">
        <f t="shared" si="29"/>
        <v>10</v>
      </c>
      <c r="H276" s="23">
        <f t="shared" si="30"/>
        <v>16</v>
      </c>
    </row>
    <row r="277" spans="1:8" x14ac:dyDescent="0.25">
      <c r="A277" s="22">
        <v>41892.677083333336</v>
      </c>
      <c r="B277" s="23">
        <v>444.2</v>
      </c>
      <c r="C277">
        <v>94.3</v>
      </c>
      <c r="D277">
        <v>9.8000000000000007</v>
      </c>
      <c r="E277">
        <v>5.8</v>
      </c>
      <c r="G277" s="23">
        <f t="shared" si="29"/>
        <v>10</v>
      </c>
      <c r="H277" s="23">
        <f t="shared" si="30"/>
        <v>16</v>
      </c>
    </row>
    <row r="278" spans="1:8" x14ac:dyDescent="0.25">
      <c r="A278" s="22">
        <v>41892.680555555555</v>
      </c>
      <c r="B278" s="23">
        <v>437.3</v>
      </c>
      <c r="C278">
        <v>94.3</v>
      </c>
      <c r="D278">
        <v>9.6999999999999993</v>
      </c>
      <c r="E278">
        <v>5.8</v>
      </c>
      <c r="G278" s="23">
        <f t="shared" si="29"/>
        <v>10</v>
      </c>
      <c r="H278" s="23">
        <f t="shared" si="30"/>
        <v>16</v>
      </c>
    </row>
    <row r="279" spans="1:8" x14ac:dyDescent="0.25">
      <c r="A279" s="22">
        <v>41892.684027777781</v>
      </c>
      <c r="B279" s="23">
        <v>430.1</v>
      </c>
      <c r="C279">
        <v>94.2</v>
      </c>
      <c r="D279">
        <v>9.6999999999999993</v>
      </c>
      <c r="E279">
        <v>5.8</v>
      </c>
      <c r="G279" s="23">
        <f t="shared" si="29"/>
        <v>10</v>
      </c>
      <c r="H279" s="23">
        <f t="shared" si="30"/>
        <v>16</v>
      </c>
    </row>
    <row r="280" spans="1:8" x14ac:dyDescent="0.25">
      <c r="A280" s="22">
        <v>41892.6875</v>
      </c>
      <c r="B280" s="23">
        <v>423</v>
      </c>
      <c r="C280">
        <v>94.2</v>
      </c>
      <c r="D280">
        <v>9.6</v>
      </c>
      <c r="E280">
        <v>5.8</v>
      </c>
      <c r="G280" s="23">
        <f t="shared" si="29"/>
        <v>10</v>
      </c>
      <c r="H280" s="23">
        <f t="shared" si="30"/>
        <v>16</v>
      </c>
    </row>
    <row r="281" spans="1:8" x14ac:dyDescent="0.25">
      <c r="A281" s="22">
        <v>41892.690972222219</v>
      </c>
      <c r="B281" s="23">
        <v>413.3</v>
      </c>
      <c r="C281">
        <v>94.2</v>
      </c>
      <c r="D281">
        <v>9.5</v>
      </c>
      <c r="E281">
        <v>5.8</v>
      </c>
      <c r="G281" s="23">
        <f t="shared" si="29"/>
        <v>10</v>
      </c>
      <c r="H281" s="23">
        <f t="shared" si="30"/>
        <v>16</v>
      </c>
    </row>
    <row r="282" spans="1:8" x14ac:dyDescent="0.25">
      <c r="A282" s="22">
        <v>41892.694444444445</v>
      </c>
      <c r="B282" s="23">
        <v>408.1</v>
      </c>
      <c r="C282">
        <v>94.2</v>
      </c>
      <c r="D282">
        <v>9.5</v>
      </c>
      <c r="E282">
        <v>5.8</v>
      </c>
      <c r="G282" s="23">
        <f t="shared" si="29"/>
        <v>10</v>
      </c>
      <c r="H282" s="23">
        <f t="shared" si="30"/>
        <v>16</v>
      </c>
    </row>
    <row r="283" spans="1:8" x14ac:dyDescent="0.25">
      <c r="A283" s="22">
        <v>41892.697916666664</v>
      </c>
      <c r="B283" s="23">
        <v>405.6</v>
      </c>
      <c r="C283">
        <v>94.3</v>
      </c>
      <c r="D283">
        <v>9.5</v>
      </c>
      <c r="E283">
        <v>5.8</v>
      </c>
      <c r="G283" s="23">
        <f t="shared" si="29"/>
        <v>10</v>
      </c>
      <c r="H283" s="23">
        <f t="shared" si="30"/>
        <v>16</v>
      </c>
    </row>
    <row r="284" spans="1:8" x14ac:dyDescent="0.25">
      <c r="A284" s="22">
        <v>41892.701388888891</v>
      </c>
      <c r="B284" s="23">
        <v>403.6</v>
      </c>
      <c r="C284">
        <v>94.2</v>
      </c>
      <c r="D284">
        <v>9.5</v>
      </c>
      <c r="E284">
        <v>5.8</v>
      </c>
      <c r="G284" s="23">
        <f t="shared" si="29"/>
        <v>10</v>
      </c>
      <c r="H284" s="23">
        <f t="shared" si="30"/>
        <v>16</v>
      </c>
    </row>
    <row r="285" spans="1:8" x14ac:dyDescent="0.25">
      <c r="A285" s="22">
        <v>41892.704861111109</v>
      </c>
      <c r="B285" s="23">
        <v>404</v>
      </c>
      <c r="C285">
        <v>94.3</v>
      </c>
      <c r="D285">
        <v>9.5</v>
      </c>
      <c r="E285">
        <v>5.8</v>
      </c>
      <c r="G285" s="23">
        <f t="shared" si="29"/>
        <v>10</v>
      </c>
      <c r="H285" s="23">
        <f t="shared" si="30"/>
        <v>16</v>
      </c>
    </row>
    <row r="286" spans="1:8" x14ac:dyDescent="0.25">
      <c r="A286" s="22">
        <v>41892.708333333336</v>
      </c>
      <c r="B286" s="23">
        <v>403.1</v>
      </c>
      <c r="C286">
        <v>94.1</v>
      </c>
      <c r="D286">
        <v>9.4</v>
      </c>
      <c r="E286">
        <v>5.8</v>
      </c>
      <c r="G286" s="23">
        <f t="shared" si="29"/>
        <v>10</v>
      </c>
      <c r="H286" s="23">
        <f t="shared" si="30"/>
        <v>17</v>
      </c>
    </row>
    <row r="287" spans="1:8" x14ac:dyDescent="0.25">
      <c r="A287" s="22">
        <v>41892.711805555555</v>
      </c>
      <c r="B287" s="23">
        <v>405.5</v>
      </c>
      <c r="C287">
        <v>94.3</v>
      </c>
      <c r="D287">
        <v>9.5</v>
      </c>
      <c r="E287">
        <v>5.8</v>
      </c>
      <c r="G287" s="23">
        <f t="shared" si="29"/>
        <v>10</v>
      </c>
      <c r="H287" s="23">
        <f t="shared" si="30"/>
        <v>17</v>
      </c>
    </row>
    <row r="288" spans="1:8" x14ac:dyDescent="0.25">
      <c r="A288" s="22">
        <v>41892.715277777781</v>
      </c>
      <c r="B288" s="23">
        <v>404.6</v>
      </c>
      <c r="C288">
        <v>94.3</v>
      </c>
      <c r="D288">
        <v>9.5</v>
      </c>
      <c r="E288">
        <v>5.8</v>
      </c>
      <c r="G288" s="23">
        <f t="shared" si="29"/>
        <v>10</v>
      </c>
      <c r="H288" s="23">
        <f t="shared" si="30"/>
        <v>17</v>
      </c>
    </row>
    <row r="289" spans="1:8" x14ac:dyDescent="0.25">
      <c r="A289" s="22">
        <v>41892.71875</v>
      </c>
      <c r="B289" s="23">
        <v>402.8</v>
      </c>
      <c r="C289">
        <v>94.1</v>
      </c>
      <c r="D289">
        <v>9.4</v>
      </c>
      <c r="E289">
        <v>5.8</v>
      </c>
      <c r="G289" s="23">
        <f t="shared" si="29"/>
        <v>10</v>
      </c>
      <c r="H289" s="23">
        <f t="shared" si="30"/>
        <v>17</v>
      </c>
    </row>
    <row r="290" spans="1:8" x14ac:dyDescent="0.25">
      <c r="A290" s="22">
        <v>41892.722222222219</v>
      </c>
      <c r="B290" s="23">
        <v>411.7</v>
      </c>
      <c r="C290">
        <v>94.2</v>
      </c>
      <c r="D290">
        <v>9.6</v>
      </c>
      <c r="E290">
        <v>5.8</v>
      </c>
      <c r="G290" s="23">
        <f t="shared" si="29"/>
        <v>10</v>
      </c>
      <c r="H290" s="23">
        <f t="shared" si="30"/>
        <v>17</v>
      </c>
    </row>
    <row r="291" spans="1:8" x14ac:dyDescent="0.25">
      <c r="A291" s="22">
        <v>41892.725694444445</v>
      </c>
      <c r="B291" s="23">
        <v>424.7</v>
      </c>
      <c r="C291">
        <v>94.2</v>
      </c>
      <c r="D291">
        <v>9.6999999999999993</v>
      </c>
      <c r="E291">
        <v>5.8</v>
      </c>
      <c r="G291" s="23">
        <f t="shared" si="29"/>
        <v>10</v>
      </c>
      <c r="H291" s="23">
        <f t="shared" si="30"/>
        <v>17</v>
      </c>
    </row>
    <row r="292" spans="1:8" x14ac:dyDescent="0.25">
      <c r="A292" s="22">
        <v>41892.729166666664</v>
      </c>
      <c r="B292" s="23">
        <v>427.5</v>
      </c>
      <c r="C292">
        <v>94.3</v>
      </c>
      <c r="D292">
        <v>9.6999999999999993</v>
      </c>
      <c r="E292">
        <v>5.8</v>
      </c>
      <c r="G292" s="23">
        <f t="shared" si="29"/>
        <v>10</v>
      </c>
      <c r="H292" s="23">
        <f t="shared" si="30"/>
        <v>17</v>
      </c>
    </row>
    <row r="293" spans="1:8" x14ac:dyDescent="0.25">
      <c r="A293" s="22">
        <v>41892.732638888891</v>
      </c>
      <c r="B293" s="23">
        <v>430</v>
      </c>
      <c r="C293">
        <v>94.2</v>
      </c>
      <c r="D293">
        <v>9.6999999999999993</v>
      </c>
      <c r="E293">
        <v>5.8</v>
      </c>
      <c r="G293" s="23">
        <f t="shared" si="29"/>
        <v>10</v>
      </c>
      <c r="H293" s="23">
        <f t="shared" si="30"/>
        <v>17</v>
      </c>
    </row>
    <row r="294" spans="1:8" x14ac:dyDescent="0.25">
      <c r="A294" s="22">
        <v>41892.736111111109</v>
      </c>
      <c r="B294" s="23">
        <v>470.7</v>
      </c>
      <c r="C294">
        <v>94.2</v>
      </c>
      <c r="D294">
        <v>10.4</v>
      </c>
      <c r="E294">
        <v>6.1</v>
      </c>
      <c r="G294" s="23">
        <f t="shared" si="29"/>
        <v>10</v>
      </c>
      <c r="H294" s="23">
        <f t="shared" si="30"/>
        <v>17</v>
      </c>
    </row>
    <row r="295" spans="1:8" x14ac:dyDescent="0.25">
      <c r="A295" s="22">
        <v>41892.739583333336</v>
      </c>
      <c r="B295" s="23">
        <v>470</v>
      </c>
      <c r="C295">
        <v>94.3</v>
      </c>
      <c r="D295">
        <v>10.7</v>
      </c>
      <c r="E295">
        <v>6.4</v>
      </c>
      <c r="G295" s="23">
        <f t="shared" si="29"/>
        <v>10</v>
      </c>
      <c r="H295" s="23">
        <f t="shared" si="30"/>
        <v>17</v>
      </c>
    </row>
    <row r="296" spans="1:8" x14ac:dyDescent="0.25">
      <c r="A296" s="22">
        <v>41892.743055555555</v>
      </c>
      <c r="B296" s="23">
        <v>468.3</v>
      </c>
      <c r="C296">
        <v>94.4</v>
      </c>
      <c r="D296">
        <v>10.7</v>
      </c>
      <c r="E296">
        <v>6.4</v>
      </c>
      <c r="G296" s="23">
        <f t="shared" si="29"/>
        <v>10</v>
      </c>
      <c r="H296" s="23">
        <f t="shared" si="30"/>
        <v>17</v>
      </c>
    </row>
    <row r="297" spans="1:8" x14ac:dyDescent="0.25">
      <c r="A297" s="22">
        <v>41892.746527777781</v>
      </c>
      <c r="B297" s="23">
        <v>474.2</v>
      </c>
      <c r="C297">
        <v>94.3</v>
      </c>
      <c r="D297">
        <v>10.8</v>
      </c>
      <c r="E297">
        <v>6.4</v>
      </c>
      <c r="G297" s="23">
        <f t="shared" si="29"/>
        <v>10</v>
      </c>
      <c r="H297" s="23">
        <f t="shared" si="30"/>
        <v>17</v>
      </c>
    </row>
    <row r="298" spans="1:8" x14ac:dyDescent="0.25">
      <c r="A298" s="22">
        <v>41892.75</v>
      </c>
      <c r="B298" s="23">
        <v>471.5</v>
      </c>
      <c r="C298">
        <v>94.3</v>
      </c>
      <c r="D298">
        <v>10.8</v>
      </c>
      <c r="E298">
        <v>6.6</v>
      </c>
      <c r="G298" s="23">
        <f t="shared" si="29"/>
        <v>10</v>
      </c>
      <c r="H298" s="23">
        <f t="shared" si="30"/>
        <v>18</v>
      </c>
    </row>
    <row r="299" spans="1:8" x14ac:dyDescent="0.25">
      <c r="A299" s="22">
        <v>41892.753472222219</v>
      </c>
      <c r="B299" s="23">
        <v>474.1</v>
      </c>
      <c r="C299">
        <v>94.3</v>
      </c>
      <c r="D299">
        <v>10.9</v>
      </c>
      <c r="E299">
        <v>6.6</v>
      </c>
      <c r="G299" s="23">
        <f t="shared" si="29"/>
        <v>10</v>
      </c>
      <c r="H299" s="23">
        <f t="shared" si="30"/>
        <v>18</v>
      </c>
    </row>
    <row r="300" spans="1:8" x14ac:dyDescent="0.25">
      <c r="A300" s="22">
        <v>41892.756944444445</v>
      </c>
      <c r="B300" s="23">
        <v>474.9</v>
      </c>
      <c r="C300">
        <v>94.4</v>
      </c>
      <c r="D300">
        <v>11</v>
      </c>
      <c r="E300">
        <v>6.7</v>
      </c>
      <c r="G300" s="23">
        <f t="shared" si="29"/>
        <v>10</v>
      </c>
      <c r="H300" s="23">
        <f t="shared" si="30"/>
        <v>18</v>
      </c>
    </row>
    <row r="301" spans="1:8" x14ac:dyDescent="0.25">
      <c r="A301" s="22">
        <v>41892.760416666664</v>
      </c>
      <c r="B301" s="23">
        <v>475.7</v>
      </c>
      <c r="C301">
        <v>94.4</v>
      </c>
      <c r="D301">
        <v>11.1</v>
      </c>
      <c r="E301">
        <v>6.8</v>
      </c>
      <c r="G301" s="23">
        <f t="shared" si="29"/>
        <v>10</v>
      </c>
      <c r="H301" s="23">
        <f t="shared" si="30"/>
        <v>18</v>
      </c>
    </row>
    <row r="302" spans="1:8" x14ac:dyDescent="0.25">
      <c r="A302" s="22">
        <v>41892.763888888891</v>
      </c>
      <c r="B302" s="23">
        <v>474.1</v>
      </c>
      <c r="C302">
        <v>94.4</v>
      </c>
      <c r="D302">
        <v>11.1</v>
      </c>
      <c r="E302">
        <v>6.8</v>
      </c>
      <c r="G302" s="23">
        <f t="shared" si="29"/>
        <v>10</v>
      </c>
      <c r="H302" s="23">
        <f t="shared" si="30"/>
        <v>18</v>
      </c>
    </row>
    <row r="303" spans="1:8" x14ac:dyDescent="0.25">
      <c r="A303" s="22">
        <v>41892.767361111109</v>
      </c>
      <c r="B303" s="23">
        <v>475.5</v>
      </c>
      <c r="C303">
        <v>94.3</v>
      </c>
      <c r="D303">
        <v>11.1</v>
      </c>
      <c r="E303">
        <v>6.8</v>
      </c>
      <c r="G303" s="23">
        <f t="shared" si="29"/>
        <v>10</v>
      </c>
      <c r="H303" s="23">
        <f t="shared" si="30"/>
        <v>18</v>
      </c>
    </row>
    <row r="304" spans="1:8" x14ac:dyDescent="0.25">
      <c r="A304" s="22">
        <v>41892.770833333336</v>
      </c>
      <c r="B304" s="23">
        <v>478</v>
      </c>
      <c r="C304">
        <v>94.4</v>
      </c>
      <c r="D304">
        <v>11.2</v>
      </c>
      <c r="E304">
        <v>6.8</v>
      </c>
      <c r="G304" s="23">
        <f t="shared" si="29"/>
        <v>10</v>
      </c>
      <c r="H304" s="23">
        <f t="shared" si="30"/>
        <v>18</v>
      </c>
    </row>
    <row r="305" spans="1:8" x14ac:dyDescent="0.25">
      <c r="A305" s="22">
        <v>41892.774305555555</v>
      </c>
      <c r="B305" s="23">
        <v>476.8</v>
      </c>
      <c r="C305">
        <v>94.5</v>
      </c>
      <c r="D305">
        <v>11.2</v>
      </c>
      <c r="E305">
        <v>6.9</v>
      </c>
      <c r="G305" s="23">
        <f t="shared" si="29"/>
        <v>10</v>
      </c>
      <c r="H305" s="23">
        <f t="shared" si="30"/>
        <v>18</v>
      </c>
    </row>
    <row r="306" spans="1:8" x14ac:dyDescent="0.25">
      <c r="A306" s="22">
        <v>41892.777777777781</v>
      </c>
      <c r="B306" s="23">
        <v>480.5</v>
      </c>
      <c r="C306">
        <v>94.4</v>
      </c>
      <c r="D306">
        <v>11.4</v>
      </c>
      <c r="E306">
        <v>7</v>
      </c>
      <c r="G306" s="23">
        <f t="shared" si="29"/>
        <v>10</v>
      </c>
      <c r="H306" s="23">
        <f t="shared" si="30"/>
        <v>18</v>
      </c>
    </row>
    <row r="307" spans="1:8" x14ac:dyDescent="0.25">
      <c r="A307" s="22">
        <v>41892.78125</v>
      </c>
      <c r="B307" s="23">
        <v>476.1</v>
      </c>
      <c r="C307">
        <v>94.4</v>
      </c>
      <c r="D307">
        <v>11.4</v>
      </c>
      <c r="E307">
        <v>7.1</v>
      </c>
      <c r="G307" s="23">
        <f t="shared" si="29"/>
        <v>10</v>
      </c>
      <c r="H307" s="23">
        <f t="shared" si="30"/>
        <v>18</v>
      </c>
    </row>
    <row r="308" spans="1:8" x14ac:dyDescent="0.25">
      <c r="A308" s="22">
        <v>41892.784722222219</v>
      </c>
      <c r="B308" s="23">
        <v>480.3</v>
      </c>
      <c r="C308">
        <v>94.3</v>
      </c>
      <c r="D308">
        <v>11.4</v>
      </c>
      <c r="E308">
        <v>7</v>
      </c>
      <c r="G308" s="23">
        <f t="shared" si="29"/>
        <v>10</v>
      </c>
      <c r="H308" s="23">
        <f t="shared" si="30"/>
        <v>18</v>
      </c>
    </row>
    <row r="309" spans="1:8" x14ac:dyDescent="0.25">
      <c r="A309" s="22">
        <v>41892.788194444445</v>
      </c>
      <c r="B309" s="23">
        <v>481.6</v>
      </c>
      <c r="C309">
        <v>94.5</v>
      </c>
      <c r="D309">
        <v>11.4</v>
      </c>
      <c r="E309">
        <v>7.1</v>
      </c>
      <c r="G309" s="23">
        <f t="shared" si="29"/>
        <v>10</v>
      </c>
      <c r="H309" s="23">
        <f t="shared" si="30"/>
        <v>18</v>
      </c>
    </row>
    <row r="310" spans="1:8" x14ac:dyDescent="0.25">
      <c r="A310" s="22">
        <v>41892.791666666664</v>
      </c>
      <c r="B310" s="23">
        <v>480.3</v>
      </c>
      <c r="C310">
        <v>94.4</v>
      </c>
      <c r="D310">
        <v>11.5</v>
      </c>
      <c r="E310">
        <v>7.1</v>
      </c>
      <c r="G310" s="23">
        <f t="shared" si="29"/>
        <v>10</v>
      </c>
      <c r="H310" s="23">
        <f t="shared" si="30"/>
        <v>19</v>
      </c>
    </row>
    <row r="311" spans="1:8" x14ac:dyDescent="0.25">
      <c r="A311" s="22">
        <v>41892.795138888891</v>
      </c>
      <c r="B311" s="23">
        <v>479</v>
      </c>
      <c r="C311">
        <v>94.4</v>
      </c>
      <c r="D311">
        <v>11.5</v>
      </c>
      <c r="E311">
        <v>7.2</v>
      </c>
      <c r="G311" s="23">
        <f t="shared" si="29"/>
        <v>10</v>
      </c>
      <c r="H311" s="23">
        <f t="shared" si="30"/>
        <v>19</v>
      </c>
    </row>
    <row r="312" spans="1:8" x14ac:dyDescent="0.25">
      <c r="A312" s="22">
        <v>41892.798611111109</v>
      </c>
      <c r="B312" s="23">
        <v>478.9</v>
      </c>
      <c r="C312">
        <v>94.4</v>
      </c>
      <c r="D312">
        <v>11.6</v>
      </c>
      <c r="E312">
        <v>7.2</v>
      </c>
      <c r="G312" s="23">
        <f t="shared" si="29"/>
        <v>10</v>
      </c>
      <c r="H312" s="23">
        <f t="shared" si="30"/>
        <v>19</v>
      </c>
    </row>
    <row r="313" spans="1:8" x14ac:dyDescent="0.25">
      <c r="A313" s="22">
        <v>41892.802083333336</v>
      </c>
      <c r="B313" s="23">
        <v>482</v>
      </c>
      <c r="C313">
        <v>94.5</v>
      </c>
      <c r="D313">
        <v>11.6</v>
      </c>
      <c r="E313">
        <v>7.2</v>
      </c>
      <c r="G313" s="23">
        <f t="shared" si="29"/>
        <v>10</v>
      </c>
      <c r="H313" s="23">
        <f t="shared" si="30"/>
        <v>19</v>
      </c>
    </row>
    <row r="314" spans="1:8" x14ac:dyDescent="0.25">
      <c r="A314" s="22">
        <v>41892.805555555555</v>
      </c>
      <c r="B314" s="23">
        <v>483.5</v>
      </c>
      <c r="C314">
        <v>94.5</v>
      </c>
      <c r="D314">
        <v>11.6</v>
      </c>
      <c r="E314">
        <v>7.2</v>
      </c>
      <c r="G314" s="23">
        <f t="shared" si="29"/>
        <v>10</v>
      </c>
      <c r="H314" s="23">
        <f t="shared" si="30"/>
        <v>19</v>
      </c>
    </row>
    <row r="315" spans="1:8" x14ac:dyDescent="0.25">
      <c r="A315" s="22">
        <v>41892.809027777781</v>
      </c>
      <c r="B315" s="23">
        <v>483.1</v>
      </c>
      <c r="C315">
        <v>94.4</v>
      </c>
      <c r="D315">
        <v>11.6</v>
      </c>
      <c r="E315">
        <v>7.2</v>
      </c>
      <c r="G315" s="23">
        <f t="shared" si="29"/>
        <v>10</v>
      </c>
      <c r="H315" s="23">
        <f t="shared" si="30"/>
        <v>19</v>
      </c>
    </row>
    <row r="316" spans="1:8" x14ac:dyDescent="0.25">
      <c r="A316" s="22">
        <v>41892.8125</v>
      </c>
      <c r="B316" s="23">
        <v>483.4</v>
      </c>
      <c r="C316">
        <v>94.4</v>
      </c>
      <c r="D316">
        <v>11.7</v>
      </c>
      <c r="E316">
        <v>7.3</v>
      </c>
      <c r="G316" s="23">
        <f t="shared" si="29"/>
        <v>10</v>
      </c>
      <c r="H316" s="23">
        <f t="shared" si="30"/>
        <v>19</v>
      </c>
    </row>
    <row r="317" spans="1:8" x14ac:dyDescent="0.25">
      <c r="A317" s="22">
        <v>41892.815972222219</v>
      </c>
      <c r="B317" s="23">
        <v>485.4</v>
      </c>
      <c r="C317">
        <v>94.6</v>
      </c>
      <c r="D317">
        <v>11.7</v>
      </c>
      <c r="E317">
        <v>7.3</v>
      </c>
      <c r="G317" s="23">
        <f t="shared" si="29"/>
        <v>10</v>
      </c>
      <c r="H317" s="23">
        <f t="shared" si="30"/>
        <v>19</v>
      </c>
    </row>
    <row r="318" spans="1:8" x14ac:dyDescent="0.25">
      <c r="A318" s="22">
        <v>41892.819444444445</v>
      </c>
      <c r="B318" s="23">
        <v>488.2</v>
      </c>
      <c r="C318">
        <v>94.4</v>
      </c>
      <c r="D318">
        <v>11.7</v>
      </c>
      <c r="E318">
        <v>7.3</v>
      </c>
      <c r="G318" s="23">
        <f t="shared" si="29"/>
        <v>10</v>
      </c>
      <c r="H318" s="23">
        <f t="shared" si="30"/>
        <v>19</v>
      </c>
    </row>
    <row r="319" spans="1:8" x14ac:dyDescent="0.25">
      <c r="A319" s="22">
        <v>41892.822916666664</v>
      </c>
      <c r="B319" s="23">
        <v>487.4</v>
      </c>
      <c r="C319">
        <v>94.5</v>
      </c>
      <c r="D319">
        <v>11.7</v>
      </c>
      <c r="E319">
        <v>7.3</v>
      </c>
      <c r="G319" s="23">
        <f t="shared" si="29"/>
        <v>10</v>
      </c>
      <c r="H319" s="23">
        <f t="shared" si="30"/>
        <v>19</v>
      </c>
    </row>
    <row r="320" spans="1:8" x14ac:dyDescent="0.25">
      <c r="A320" s="22">
        <v>41892.826388888891</v>
      </c>
      <c r="B320" s="23">
        <v>488</v>
      </c>
      <c r="C320">
        <v>94.4</v>
      </c>
      <c r="D320">
        <v>11.7</v>
      </c>
      <c r="E320">
        <v>7.3</v>
      </c>
      <c r="G320" s="23">
        <f t="shared" si="29"/>
        <v>10</v>
      </c>
      <c r="H320" s="23">
        <f t="shared" si="30"/>
        <v>19</v>
      </c>
    </row>
    <row r="321" spans="1:8" x14ac:dyDescent="0.25">
      <c r="A321" s="22">
        <v>41892.829861111109</v>
      </c>
      <c r="B321" s="23">
        <v>485.8</v>
      </c>
      <c r="C321">
        <v>94.4</v>
      </c>
      <c r="D321">
        <v>11.7</v>
      </c>
      <c r="E321">
        <v>7.3</v>
      </c>
      <c r="G321" s="23">
        <f t="shared" si="29"/>
        <v>10</v>
      </c>
      <c r="H321" s="23">
        <f t="shared" si="30"/>
        <v>19</v>
      </c>
    </row>
    <row r="322" spans="1:8" x14ac:dyDescent="0.25">
      <c r="A322" s="22">
        <v>41892.833333333336</v>
      </c>
      <c r="B322" s="23">
        <v>486.6</v>
      </c>
      <c r="C322">
        <v>94.5</v>
      </c>
      <c r="D322">
        <v>11.7</v>
      </c>
      <c r="E322">
        <v>7.3</v>
      </c>
      <c r="G322" s="23">
        <f t="shared" si="29"/>
        <v>10</v>
      </c>
      <c r="H322" s="23">
        <f t="shared" si="30"/>
        <v>20</v>
      </c>
    </row>
    <row r="323" spans="1:8" x14ac:dyDescent="0.25">
      <c r="A323" s="22">
        <v>41892.836805555555</v>
      </c>
      <c r="B323" s="23">
        <v>486.3</v>
      </c>
      <c r="C323">
        <v>94.5</v>
      </c>
      <c r="D323">
        <v>11.7</v>
      </c>
      <c r="E323">
        <v>7.3</v>
      </c>
      <c r="G323" s="23">
        <f t="shared" si="29"/>
        <v>10</v>
      </c>
      <c r="H323" s="23">
        <f t="shared" si="30"/>
        <v>20</v>
      </c>
    </row>
    <row r="324" spans="1:8" x14ac:dyDescent="0.25">
      <c r="A324" s="22">
        <v>41892.840277777781</v>
      </c>
      <c r="B324" s="23">
        <v>487.6</v>
      </c>
      <c r="C324">
        <v>94.4</v>
      </c>
      <c r="D324">
        <v>11.7</v>
      </c>
      <c r="E324">
        <v>7.3</v>
      </c>
      <c r="G324" s="23">
        <f t="shared" si="29"/>
        <v>10</v>
      </c>
      <c r="H324" s="23">
        <f t="shared" si="30"/>
        <v>20</v>
      </c>
    </row>
    <row r="325" spans="1:8" x14ac:dyDescent="0.25">
      <c r="A325" s="22">
        <v>41892.84375</v>
      </c>
      <c r="B325" s="23">
        <v>488.7</v>
      </c>
      <c r="C325">
        <v>94.4</v>
      </c>
      <c r="D325">
        <v>11.7</v>
      </c>
      <c r="E325">
        <v>7.3</v>
      </c>
      <c r="G325" s="23">
        <f t="shared" si="29"/>
        <v>10</v>
      </c>
      <c r="H325" s="23">
        <f t="shared" si="30"/>
        <v>20</v>
      </c>
    </row>
    <row r="326" spans="1:8" x14ac:dyDescent="0.25">
      <c r="A326" s="22">
        <v>41892.847222222219</v>
      </c>
      <c r="B326" s="23">
        <v>487.1</v>
      </c>
      <c r="C326">
        <v>94.5</v>
      </c>
      <c r="D326">
        <v>11.7</v>
      </c>
      <c r="E326">
        <v>7.3</v>
      </c>
      <c r="G326" s="23">
        <f t="shared" ref="G326:G389" si="31">+DAY(A326)</f>
        <v>10</v>
      </c>
      <c r="H326" s="23">
        <f t="shared" ref="H326:H389" si="32">+HOUR(A326)</f>
        <v>20</v>
      </c>
    </row>
    <row r="327" spans="1:8" x14ac:dyDescent="0.25">
      <c r="A327" s="22">
        <v>41892.850694444445</v>
      </c>
      <c r="B327" s="23">
        <v>486.4</v>
      </c>
      <c r="C327">
        <v>94.5</v>
      </c>
      <c r="D327">
        <v>11.7</v>
      </c>
      <c r="E327">
        <v>7.3</v>
      </c>
      <c r="G327" s="23">
        <f t="shared" si="31"/>
        <v>10</v>
      </c>
      <c r="H327" s="23">
        <f t="shared" si="32"/>
        <v>20</v>
      </c>
    </row>
    <row r="328" spans="1:8" x14ac:dyDescent="0.25">
      <c r="A328" s="22">
        <v>41892.854166666664</v>
      </c>
      <c r="B328" s="23">
        <v>485.2</v>
      </c>
      <c r="C328">
        <v>94.4</v>
      </c>
      <c r="D328">
        <v>11.7</v>
      </c>
      <c r="E328">
        <v>7.3</v>
      </c>
      <c r="G328" s="23">
        <f t="shared" si="31"/>
        <v>10</v>
      </c>
      <c r="H328" s="23">
        <f t="shared" si="32"/>
        <v>20</v>
      </c>
    </row>
    <row r="329" spans="1:8" x14ac:dyDescent="0.25">
      <c r="A329" s="22">
        <v>41892.857638888891</v>
      </c>
      <c r="B329" s="23">
        <v>485.4</v>
      </c>
      <c r="C329">
        <v>94.5</v>
      </c>
      <c r="D329">
        <v>11.7</v>
      </c>
      <c r="E329">
        <v>7.3</v>
      </c>
      <c r="G329" s="23">
        <f t="shared" si="31"/>
        <v>10</v>
      </c>
      <c r="H329" s="23">
        <f t="shared" si="32"/>
        <v>20</v>
      </c>
    </row>
    <row r="330" spans="1:8" x14ac:dyDescent="0.25">
      <c r="A330" s="22">
        <v>41892.861111111109</v>
      </c>
      <c r="B330" s="23">
        <v>485.4</v>
      </c>
      <c r="C330">
        <v>94.5</v>
      </c>
      <c r="D330">
        <v>11.7</v>
      </c>
      <c r="E330">
        <v>7.3</v>
      </c>
      <c r="G330" s="23">
        <f t="shared" si="31"/>
        <v>10</v>
      </c>
      <c r="H330" s="23">
        <f t="shared" si="32"/>
        <v>20</v>
      </c>
    </row>
    <row r="331" spans="1:8" x14ac:dyDescent="0.25">
      <c r="A331" s="22">
        <v>41892.864583333336</v>
      </c>
      <c r="B331" s="23">
        <v>485.5</v>
      </c>
      <c r="C331">
        <v>94.5</v>
      </c>
      <c r="D331">
        <v>11.7</v>
      </c>
      <c r="E331">
        <v>7.3</v>
      </c>
      <c r="G331" s="23">
        <f t="shared" si="31"/>
        <v>10</v>
      </c>
      <c r="H331" s="23">
        <f t="shared" si="32"/>
        <v>20</v>
      </c>
    </row>
    <row r="332" spans="1:8" x14ac:dyDescent="0.25">
      <c r="A332" s="22">
        <v>41892.868055555555</v>
      </c>
      <c r="B332" s="23">
        <v>484.5</v>
      </c>
      <c r="C332">
        <v>94.5</v>
      </c>
      <c r="D332">
        <v>11.7</v>
      </c>
      <c r="E332">
        <v>7.3</v>
      </c>
      <c r="G332" s="23">
        <f t="shared" si="31"/>
        <v>10</v>
      </c>
      <c r="H332" s="23">
        <f t="shared" si="32"/>
        <v>20</v>
      </c>
    </row>
    <row r="333" spans="1:8" x14ac:dyDescent="0.25">
      <c r="A333" s="22">
        <v>41892.871527777781</v>
      </c>
      <c r="B333" s="23">
        <v>483.8</v>
      </c>
      <c r="C333">
        <v>94.4</v>
      </c>
      <c r="D333">
        <v>11.7</v>
      </c>
      <c r="E333">
        <v>7.3</v>
      </c>
      <c r="G333" s="23">
        <f t="shared" si="31"/>
        <v>10</v>
      </c>
      <c r="H333" s="23">
        <f t="shared" si="32"/>
        <v>20</v>
      </c>
    </row>
    <row r="334" spans="1:8" x14ac:dyDescent="0.25">
      <c r="A334" s="22">
        <v>41892.875</v>
      </c>
      <c r="B334" s="23">
        <v>485.4</v>
      </c>
      <c r="C334">
        <v>94.5</v>
      </c>
      <c r="D334">
        <v>11.7</v>
      </c>
      <c r="E334">
        <v>7.2</v>
      </c>
      <c r="G334" s="23">
        <f t="shared" si="31"/>
        <v>10</v>
      </c>
      <c r="H334" s="23">
        <f t="shared" si="32"/>
        <v>21</v>
      </c>
    </row>
    <row r="335" spans="1:8" x14ac:dyDescent="0.25">
      <c r="A335" s="22">
        <v>41892.878472222219</v>
      </c>
      <c r="B335" s="23">
        <v>487.2</v>
      </c>
      <c r="C335">
        <v>94.5</v>
      </c>
      <c r="D335">
        <v>11.7</v>
      </c>
      <c r="E335">
        <v>7.2</v>
      </c>
      <c r="G335" s="23">
        <f t="shared" si="31"/>
        <v>10</v>
      </c>
      <c r="H335" s="23">
        <f t="shared" si="32"/>
        <v>21</v>
      </c>
    </row>
    <row r="336" spans="1:8" x14ac:dyDescent="0.25">
      <c r="A336" s="22">
        <v>41892.881944444445</v>
      </c>
      <c r="B336" s="23">
        <v>486.4</v>
      </c>
      <c r="C336">
        <v>94.5</v>
      </c>
      <c r="D336">
        <v>11.7</v>
      </c>
      <c r="E336">
        <v>7.2</v>
      </c>
      <c r="G336" s="23">
        <f t="shared" si="31"/>
        <v>10</v>
      </c>
      <c r="H336" s="23">
        <f t="shared" si="32"/>
        <v>21</v>
      </c>
    </row>
    <row r="337" spans="1:8" x14ac:dyDescent="0.25">
      <c r="A337" s="22">
        <v>41892.885416666664</v>
      </c>
      <c r="B337" s="23">
        <v>488.5</v>
      </c>
      <c r="C337">
        <v>94.4</v>
      </c>
      <c r="D337">
        <v>11.7</v>
      </c>
      <c r="E337">
        <v>7.2</v>
      </c>
      <c r="G337" s="23">
        <f t="shared" si="31"/>
        <v>10</v>
      </c>
      <c r="H337" s="23">
        <f t="shared" si="32"/>
        <v>21</v>
      </c>
    </row>
    <row r="338" spans="1:8" x14ac:dyDescent="0.25">
      <c r="A338" s="22">
        <v>41892.888888888891</v>
      </c>
      <c r="B338" s="23">
        <v>488.7</v>
      </c>
      <c r="C338">
        <v>94.4</v>
      </c>
      <c r="D338">
        <v>11.7</v>
      </c>
      <c r="E338">
        <v>7.2</v>
      </c>
      <c r="G338" s="23">
        <f t="shared" si="31"/>
        <v>10</v>
      </c>
      <c r="H338" s="23">
        <f t="shared" si="32"/>
        <v>21</v>
      </c>
    </row>
    <row r="339" spans="1:8" x14ac:dyDescent="0.25">
      <c r="A339" s="22">
        <v>41892.892361111109</v>
      </c>
      <c r="B339" s="23">
        <v>488.9</v>
      </c>
      <c r="C339">
        <v>94.5</v>
      </c>
      <c r="D339">
        <v>11.7</v>
      </c>
      <c r="E339">
        <v>7.2</v>
      </c>
      <c r="G339" s="23">
        <f t="shared" si="31"/>
        <v>10</v>
      </c>
      <c r="H339" s="23">
        <f t="shared" si="32"/>
        <v>21</v>
      </c>
    </row>
    <row r="340" spans="1:8" x14ac:dyDescent="0.25">
      <c r="A340" s="22">
        <v>41892.895833333336</v>
      </c>
      <c r="B340" s="23">
        <v>486.5</v>
      </c>
      <c r="C340">
        <v>94.5</v>
      </c>
      <c r="D340">
        <v>11.6</v>
      </c>
      <c r="E340">
        <v>7.2</v>
      </c>
      <c r="G340" s="23">
        <f t="shared" si="31"/>
        <v>10</v>
      </c>
      <c r="H340" s="23">
        <f t="shared" si="32"/>
        <v>21</v>
      </c>
    </row>
    <row r="341" spans="1:8" x14ac:dyDescent="0.25">
      <c r="A341" s="22">
        <v>41892.899305555555</v>
      </c>
      <c r="B341" s="23">
        <v>487.3</v>
      </c>
      <c r="C341">
        <v>94.5</v>
      </c>
      <c r="D341">
        <v>11.6</v>
      </c>
      <c r="E341">
        <v>7.2</v>
      </c>
      <c r="G341" s="23">
        <f t="shared" si="31"/>
        <v>10</v>
      </c>
      <c r="H341" s="23">
        <f t="shared" si="32"/>
        <v>21</v>
      </c>
    </row>
    <row r="342" spans="1:8" x14ac:dyDescent="0.25">
      <c r="A342" s="22">
        <v>41892.902777777781</v>
      </c>
      <c r="B342" s="23">
        <v>487.1</v>
      </c>
      <c r="C342">
        <v>94.4</v>
      </c>
      <c r="D342">
        <v>11.6</v>
      </c>
      <c r="E342">
        <v>7.2</v>
      </c>
      <c r="G342" s="23">
        <f t="shared" si="31"/>
        <v>10</v>
      </c>
      <c r="H342" s="23">
        <f t="shared" si="32"/>
        <v>21</v>
      </c>
    </row>
    <row r="343" spans="1:8" x14ac:dyDescent="0.25">
      <c r="A343" s="22">
        <v>41892.90625</v>
      </c>
      <c r="B343" s="23">
        <v>486.8</v>
      </c>
      <c r="C343">
        <v>94.5</v>
      </c>
      <c r="D343">
        <v>11.6</v>
      </c>
      <c r="E343">
        <v>7.2</v>
      </c>
      <c r="G343" s="23">
        <f t="shared" si="31"/>
        <v>10</v>
      </c>
      <c r="H343" s="23">
        <f t="shared" si="32"/>
        <v>21</v>
      </c>
    </row>
    <row r="344" spans="1:8" x14ac:dyDescent="0.25">
      <c r="A344" s="22">
        <v>41892.909722222219</v>
      </c>
      <c r="B344" s="23">
        <v>487.7</v>
      </c>
      <c r="C344">
        <v>94.5</v>
      </c>
      <c r="D344">
        <v>11.6</v>
      </c>
      <c r="E344">
        <v>7.2</v>
      </c>
      <c r="G344" s="23">
        <f t="shared" si="31"/>
        <v>10</v>
      </c>
      <c r="H344" s="23">
        <f t="shared" si="32"/>
        <v>21</v>
      </c>
    </row>
    <row r="345" spans="1:8" x14ac:dyDescent="0.25">
      <c r="A345" s="22">
        <v>41892.913194444445</v>
      </c>
      <c r="B345" s="23">
        <v>488.4</v>
      </c>
      <c r="C345">
        <v>94.5</v>
      </c>
      <c r="D345">
        <v>11.6</v>
      </c>
      <c r="E345">
        <v>7.2</v>
      </c>
      <c r="G345" s="23">
        <f t="shared" si="31"/>
        <v>10</v>
      </c>
      <c r="H345" s="23">
        <f t="shared" si="32"/>
        <v>21</v>
      </c>
    </row>
    <row r="346" spans="1:8" x14ac:dyDescent="0.25">
      <c r="A346" s="22">
        <v>41892.916666666664</v>
      </c>
      <c r="B346" s="23">
        <v>488.4</v>
      </c>
      <c r="C346">
        <v>94.5</v>
      </c>
      <c r="D346">
        <v>11.6</v>
      </c>
      <c r="E346">
        <v>7.1</v>
      </c>
      <c r="G346" s="23">
        <f t="shared" si="31"/>
        <v>10</v>
      </c>
      <c r="H346" s="23">
        <f t="shared" si="32"/>
        <v>22</v>
      </c>
    </row>
    <row r="347" spans="1:8" x14ac:dyDescent="0.25">
      <c r="A347" s="22">
        <v>41892.920138888891</v>
      </c>
      <c r="B347" s="23">
        <v>487.8</v>
      </c>
      <c r="C347">
        <v>94.4</v>
      </c>
      <c r="D347">
        <v>11.6</v>
      </c>
      <c r="E347">
        <v>7.1</v>
      </c>
      <c r="G347" s="23">
        <f t="shared" si="31"/>
        <v>10</v>
      </c>
      <c r="H347" s="23">
        <f t="shared" si="32"/>
        <v>22</v>
      </c>
    </row>
    <row r="348" spans="1:8" x14ac:dyDescent="0.25">
      <c r="A348" s="22">
        <v>41892.923611111109</v>
      </c>
      <c r="B348" s="23">
        <v>488.6</v>
      </c>
      <c r="C348">
        <v>94.5</v>
      </c>
      <c r="D348">
        <v>11.6</v>
      </c>
      <c r="E348">
        <v>7.2</v>
      </c>
      <c r="G348" s="23">
        <f t="shared" si="31"/>
        <v>10</v>
      </c>
      <c r="H348" s="23">
        <f t="shared" si="32"/>
        <v>22</v>
      </c>
    </row>
    <row r="349" spans="1:8" x14ac:dyDescent="0.25">
      <c r="A349" s="22">
        <v>41892.927083333336</v>
      </c>
      <c r="B349" s="23">
        <v>489.6</v>
      </c>
      <c r="C349">
        <v>94.5</v>
      </c>
      <c r="D349">
        <v>11.6</v>
      </c>
      <c r="E349">
        <v>7.2</v>
      </c>
      <c r="G349" s="23">
        <f t="shared" si="31"/>
        <v>10</v>
      </c>
      <c r="H349" s="23">
        <f t="shared" si="32"/>
        <v>22</v>
      </c>
    </row>
    <row r="350" spans="1:8" x14ac:dyDescent="0.25">
      <c r="A350" s="22">
        <v>41892.930555555555</v>
      </c>
      <c r="B350" s="23">
        <v>488.7</v>
      </c>
      <c r="C350">
        <v>94.4</v>
      </c>
      <c r="D350">
        <v>11.6</v>
      </c>
      <c r="E350">
        <v>7.2</v>
      </c>
      <c r="G350" s="23">
        <f t="shared" si="31"/>
        <v>10</v>
      </c>
      <c r="H350" s="23">
        <f t="shared" si="32"/>
        <v>22</v>
      </c>
    </row>
    <row r="351" spans="1:8" x14ac:dyDescent="0.25">
      <c r="A351" s="22">
        <v>41892.934027777781</v>
      </c>
      <c r="B351" s="23">
        <v>488.9</v>
      </c>
      <c r="C351">
        <v>94.4</v>
      </c>
      <c r="D351">
        <v>11.6</v>
      </c>
      <c r="E351">
        <v>7.1</v>
      </c>
      <c r="G351" s="23">
        <f t="shared" si="31"/>
        <v>10</v>
      </c>
      <c r="H351" s="23">
        <f t="shared" si="32"/>
        <v>22</v>
      </c>
    </row>
    <row r="352" spans="1:8" x14ac:dyDescent="0.25">
      <c r="A352" s="22">
        <v>41892.9375</v>
      </c>
      <c r="B352" s="23">
        <v>491.5</v>
      </c>
      <c r="C352">
        <v>94.5</v>
      </c>
      <c r="D352">
        <v>11.6</v>
      </c>
      <c r="E352">
        <v>7.1</v>
      </c>
      <c r="G352" s="23">
        <f t="shared" si="31"/>
        <v>10</v>
      </c>
      <c r="H352" s="23">
        <f t="shared" si="32"/>
        <v>22</v>
      </c>
    </row>
    <row r="353" spans="1:8" x14ac:dyDescent="0.25">
      <c r="A353" s="22">
        <v>41892.940972222219</v>
      </c>
      <c r="B353" s="23">
        <v>492.4</v>
      </c>
      <c r="C353">
        <v>94.5</v>
      </c>
      <c r="D353">
        <v>11.5</v>
      </c>
      <c r="E353">
        <v>7.1</v>
      </c>
      <c r="G353" s="23">
        <f t="shared" si="31"/>
        <v>10</v>
      </c>
      <c r="H353" s="23">
        <f t="shared" si="32"/>
        <v>22</v>
      </c>
    </row>
    <row r="354" spans="1:8" x14ac:dyDescent="0.25">
      <c r="A354" s="22">
        <v>41892.944444444445</v>
      </c>
      <c r="B354" s="23">
        <v>492.8</v>
      </c>
      <c r="C354">
        <v>94.4</v>
      </c>
      <c r="D354">
        <v>11.5</v>
      </c>
      <c r="E354">
        <v>7</v>
      </c>
      <c r="G354" s="23">
        <f t="shared" si="31"/>
        <v>10</v>
      </c>
      <c r="H354" s="23">
        <f t="shared" si="32"/>
        <v>22</v>
      </c>
    </row>
    <row r="355" spans="1:8" x14ac:dyDescent="0.25">
      <c r="A355" s="22">
        <v>41892.947916666664</v>
      </c>
      <c r="B355" s="23">
        <v>492.4</v>
      </c>
      <c r="C355">
        <v>94.4</v>
      </c>
      <c r="D355">
        <v>11.4</v>
      </c>
      <c r="E355">
        <v>7</v>
      </c>
      <c r="G355" s="23">
        <f t="shared" si="31"/>
        <v>10</v>
      </c>
      <c r="H355" s="23">
        <f t="shared" si="32"/>
        <v>22</v>
      </c>
    </row>
    <row r="356" spans="1:8" x14ac:dyDescent="0.25">
      <c r="A356" s="22">
        <v>41892.951388888891</v>
      </c>
      <c r="B356" s="23">
        <v>484.1</v>
      </c>
      <c r="C356">
        <v>94.4</v>
      </c>
      <c r="D356">
        <v>11.2</v>
      </c>
      <c r="E356">
        <v>6.8</v>
      </c>
      <c r="G356" s="23">
        <f t="shared" si="31"/>
        <v>10</v>
      </c>
      <c r="H356" s="23">
        <f t="shared" si="32"/>
        <v>22</v>
      </c>
    </row>
    <row r="357" spans="1:8" x14ac:dyDescent="0.25">
      <c r="A357" s="22">
        <v>41892.954861111109</v>
      </c>
      <c r="B357" s="23">
        <v>491.5</v>
      </c>
      <c r="C357">
        <v>94.4</v>
      </c>
      <c r="D357">
        <v>11.1</v>
      </c>
      <c r="E357">
        <v>6.6</v>
      </c>
      <c r="G357" s="23">
        <f t="shared" si="31"/>
        <v>10</v>
      </c>
      <c r="H357" s="23">
        <f t="shared" si="32"/>
        <v>22</v>
      </c>
    </row>
    <row r="358" spans="1:8" x14ac:dyDescent="0.25">
      <c r="A358" s="22">
        <v>41892.958333333336</v>
      </c>
      <c r="B358" s="23">
        <v>486.3</v>
      </c>
      <c r="C358">
        <v>94.3</v>
      </c>
      <c r="D358">
        <v>10.9</v>
      </c>
      <c r="E358">
        <v>6.5</v>
      </c>
      <c r="G358" s="23">
        <f t="shared" si="31"/>
        <v>10</v>
      </c>
      <c r="H358" s="23">
        <f t="shared" si="32"/>
        <v>23</v>
      </c>
    </row>
    <row r="359" spans="1:8" x14ac:dyDescent="0.25">
      <c r="A359" s="22">
        <v>41892.961805555555</v>
      </c>
      <c r="B359" s="23">
        <v>483.6</v>
      </c>
      <c r="C359">
        <v>94.3</v>
      </c>
      <c r="D359">
        <v>10.7</v>
      </c>
      <c r="E359">
        <v>6.3</v>
      </c>
      <c r="G359" s="23">
        <f t="shared" si="31"/>
        <v>10</v>
      </c>
      <c r="H359" s="23">
        <f t="shared" si="32"/>
        <v>23</v>
      </c>
    </row>
    <row r="360" spans="1:8" x14ac:dyDescent="0.25">
      <c r="A360" s="22">
        <v>41892.965277777781</v>
      </c>
      <c r="B360" s="23">
        <v>484.4</v>
      </c>
      <c r="C360">
        <v>94.3</v>
      </c>
      <c r="D360">
        <v>10.6</v>
      </c>
      <c r="E360">
        <v>6.2</v>
      </c>
      <c r="G360" s="23">
        <f t="shared" si="31"/>
        <v>10</v>
      </c>
      <c r="H360" s="23">
        <f t="shared" si="32"/>
        <v>23</v>
      </c>
    </row>
    <row r="361" spans="1:8" x14ac:dyDescent="0.25">
      <c r="A361" s="22">
        <v>41892.96875</v>
      </c>
      <c r="B361" s="23">
        <v>484.7</v>
      </c>
      <c r="C361">
        <v>94.3</v>
      </c>
      <c r="D361">
        <v>10.4</v>
      </c>
      <c r="E361">
        <v>6</v>
      </c>
      <c r="G361" s="23">
        <f t="shared" si="31"/>
        <v>10</v>
      </c>
      <c r="H361" s="23">
        <f t="shared" si="32"/>
        <v>23</v>
      </c>
    </row>
    <row r="362" spans="1:8" x14ac:dyDescent="0.25">
      <c r="A362" s="22">
        <v>41892.972222222219</v>
      </c>
      <c r="B362" s="23">
        <v>483.3</v>
      </c>
      <c r="C362">
        <v>94.3</v>
      </c>
      <c r="D362">
        <v>10.3</v>
      </c>
      <c r="E362">
        <v>5.9</v>
      </c>
      <c r="G362" s="23">
        <f t="shared" si="31"/>
        <v>10</v>
      </c>
      <c r="H362" s="23">
        <f t="shared" si="32"/>
        <v>23</v>
      </c>
    </row>
    <row r="363" spans="1:8" x14ac:dyDescent="0.25">
      <c r="A363" s="22">
        <v>41892.975694444445</v>
      </c>
      <c r="B363" s="23">
        <v>480.8</v>
      </c>
      <c r="C363">
        <v>94.3</v>
      </c>
      <c r="D363">
        <v>10.199999999999999</v>
      </c>
      <c r="E363">
        <v>5.8</v>
      </c>
      <c r="G363" s="23">
        <f t="shared" si="31"/>
        <v>10</v>
      </c>
      <c r="H363" s="23">
        <f t="shared" si="32"/>
        <v>23</v>
      </c>
    </row>
    <row r="364" spans="1:8" x14ac:dyDescent="0.25">
      <c r="A364" s="22">
        <v>41892.979166666664</v>
      </c>
      <c r="B364" s="23">
        <v>473.8</v>
      </c>
      <c r="C364">
        <v>94.2</v>
      </c>
      <c r="D364">
        <v>10.1</v>
      </c>
      <c r="E364">
        <v>5.8</v>
      </c>
      <c r="G364" s="23">
        <f t="shared" si="31"/>
        <v>10</v>
      </c>
      <c r="H364" s="23">
        <f t="shared" si="32"/>
        <v>23</v>
      </c>
    </row>
    <row r="365" spans="1:8" x14ac:dyDescent="0.25">
      <c r="A365" s="22">
        <v>41892.982638888891</v>
      </c>
      <c r="B365" s="23">
        <v>462.3</v>
      </c>
      <c r="C365">
        <v>94.3</v>
      </c>
      <c r="D365">
        <v>10</v>
      </c>
      <c r="E365">
        <v>5.8</v>
      </c>
      <c r="G365" s="23">
        <f t="shared" si="31"/>
        <v>10</v>
      </c>
      <c r="H365" s="23">
        <f t="shared" si="32"/>
        <v>23</v>
      </c>
    </row>
    <row r="366" spans="1:8" x14ac:dyDescent="0.25">
      <c r="A366" s="22">
        <v>41892.986111111109</v>
      </c>
      <c r="B366" s="23">
        <v>451.9</v>
      </c>
      <c r="C366">
        <v>94.3</v>
      </c>
      <c r="D366">
        <v>9.9</v>
      </c>
      <c r="E366">
        <v>5.8</v>
      </c>
      <c r="G366" s="23">
        <f t="shared" si="31"/>
        <v>10</v>
      </c>
      <c r="H366" s="23">
        <f t="shared" si="32"/>
        <v>23</v>
      </c>
    </row>
    <row r="367" spans="1:8" x14ac:dyDescent="0.25">
      <c r="A367" s="22">
        <v>41892.989583333336</v>
      </c>
      <c r="B367" s="23">
        <v>441.9</v>
      </c>
      <c r="C367">
        <v>94.2</v>
      </c>
      <c r="D367">
        <v>9.8000000000000007</v>
      </c>
      <c r="E367">
        <v>5.8</v>
      </c>
      <c r="G367" s="23">
        <f t="shared" si="31"/>
        <v>10</v>
      </c>
      <c r="H367" s="23">
        <f t="shared" si="32"/>
        <v>23</v>
      </c>
    </row>
    <row r="368" spans="1:8" x14ac:dyDescent="0.25">
      <c r="A368" s="22">
        <v>41892.993055555555</v>
      </c>
      <c r="B368" s="23">
        <v>437.4</v>
      </c>
      <c r="C368">
        <v>94.2</v>
      </c>
      <c r="D368">
        <v>9.8000000000000007</v>
      </c>
      <c r="E368">
        <v>5.8</v>
      </c>
      <c r="G368" s="23">
        <f t="shared" si="31"/>
        <v>10</v>
      </c>
      <c r="H368" s="23">
        <f t="shared" si="32"/>
        <v>23</v>
      </c>
    </row>
    <row r="369" spans="1:8" x14ac:dyDescent="0.25">
      <c r="A369" s="22">
        <v>41892.996527777781</v>
      </c>
      <c r="B369" s="23">
        <v>433.9</v>
      </c>
      <c r="C369">
        <v>94.3</v>
      </c>
      <c r="D369">
        <v>9.6999999999999993</v>
      </c>
      <c r="E369">
        <v>5.8</v>
      </c>
      <c r="G369" s="23">
        <f t="shared" si="31"/>
        <v>10</v>
      </c>
      <c r="H369" s="23">
        <f t="shared" si="32"/>
        <v>23</v>
      </c>
    </row>
    <row r="370" spans="1:8" x14ac:dyDescent="0.25">
      <c r="A370" s="22">
        <v>41893</v>
      </c>
      <c r="B370" s="23">
        <v>430.1</v>
      </c>
      <c r="C370">
        <v>94.3</v>
      </c>
      <c r="D370">
        <v>9.6999999999999993</v>
      </c>
      <c r="E370">
        <v>5.8</v>
      </c>
      <c r="G370" s="23">
        <f t="shared" si="31"/>
        <v>11</v>
      </c>
      <c r="H370" s="23">
        <f t="shared" si="32"/>
        <v>0</v>
      </c>
    </row>
    <row r="371" spans="1:8" x14ac:dyDescent="0.25">
      <c r="A371" s="22">
        <v>41893.003472222219</v>
      </c>
      <c r="B371" s="23">
        <v>422.6</v>
      </c>
      <c r="C371">
        <v>94.3</v>
      </c>
      <c r="D371">
        <v>9.6</v>
      </c>
      <c r="E371">
        <v>5.8</v>
      </c>
      <c r="G371" s="23">
        <f t="shared" si="31"/>
        <v>11</v>
      </c>
      <c r="H371" s="23">
        <f t="shared" si="32"/>
        <v>0</v>
      </c>
    </row>
    <row r="372" spans="1:8" x14ac:dyDescent="0.25">
      <c r="A372" s="22">
        <v>41893.006944444445</v>
      </c>
      <c r="B372" s="23">
        <v>419.2</v>
      </c>
      <c r="C372">
        <v>94.3</v>
      </c>
      <c r="D372">
        <v>9.6</v>
      </c>
      <c r="E372">
        <v>5.8</v>
      </c>
      <c r="G372" s="23">
        <f t="shared" si="31"/>
        <v>11</v>
      </c>
      <c r="H372" s="23">
        <f t="shared" si="32"/>
        <v>0</v>
      </c>
    </row>
    <row r="373" spans="1:8" x14ac:dyDescent="0.25">
      <c r="A373" s="22">
        <v>41893.010416666664</v>
      </c>
      <c r="B373" s="23">
        <v>415.3</v>
      </c>
      <c r="C373">
        <v>94.3</v>
      </c>
      <c r="D373">
        <v>9.6</v>
      </c>
      <c r="E373">
        <v>5.8</v>
      </c>
      <c r="G373" s="23">
        <f t="shared" si="31"/>
        <v>11</v>
      </c>
      <c r="H373" s="23">
        <f t="shared" si="32"/>
        <v>0</v>
      </c>
    </row>
    <row r="374" spans="1:8" x14ac:dyDescent="0.25">
      <c r="A374" s="22">
        <v>41893.013888888891</v>
      </c>
      <c r="B374" s="23">
        <v>409.1</v>
      </c>
      <c r="C374">
        <v>94.2</v>
      </c>
      <c r="D374">
        <v>9.5</v>
      </c>
      <c r="E374">
        <v>5.8</v>
      </c>
      <c r="G374" s="23">
        <f t="shared" si="31"/>
        <v>11</v>
      </c>
      <c r="H374" s="23">
        <f t="shared" si="32"/>
        <v>0</v>
      </c>
    </row>
    <row r="375" spans="1:8" x14ac:dyDescent="0.25">
      <c r="A375" s="22">
        <v>41893.017361111109</v>
      </c>
      <c r="B375" s="23">
        <v>406.6</v>
      </c>
      <c r="C375">
        <v>94.4</v>
      </c>
      <c r="D375">
        <v>9.5</v>
      </c>
      <c r="E375">
        <v>5.8</v>
      </c>
      <c r="G375" s="23">
        <f t="shared" si="31"/>
        <v>11</v>
      </c>
      <c r="H375" s="23">
        <f t="shared" si="32"/>
        <v>0</v>
      </c>
    </row>
    <row r="376" spans="1:8" x14ac:dyDescent="0.25">
      <c r="A376" s="22">
        <v>41893.020833333336</v>
      </c>
      <c r="B376" s="23">
        <v>404.9</v>
      </c>
      <c r="C376">
        <v>94.3</v>
      </c>
      <c r="D376">
        <v>9.5</v>
      </c>
      <c r="E376">
        <v>5.8</v>
      </c>
      <c r="G376" s="23">
        <f t="shared" si="31"/>
        <v>11</v>
      </c>
      <c r="H376" s="23">
        <f t="shared" si="32"/>
        <v>0</v>
      </c>
    </row>
    <row r="377" spans="1:8" x14ac:dyDescent="0.25">
      <c r="A377" s="22">
        <v>41893.024305555555</v>
      </c>
      <c r="B377" s="23">
        <v>402.1</v>
      </c>
      <c r="C377">
        <v>94.3</v>
      </c>
      <c r="D377">
        <v>9.4</v>
      </c>
      <c r="E377">
        <v>5.8</v>
      </c>
      <c r="G377" s="23">
        <f t="shared" si="31"/>
        <v>11</v>
      </c>
      <c r="H377" s="23">
        <f t="shared" si="32"/>
        <v>0</v>
      </c>
    </row>
    <row r="378" spans="1:8" x14ac:dyDescent="0.25">
      <c r="A378" s="22">
        <v>41893.027777777781</v>
      </c>
      <c r="B378" s="23">
        <v>401.9</v>
      </c>
      <c r="C378">
        <v>94.3</v>
      </c>
      <c r="D378">
        <v>9.4</v>
      </c>
      <c r="E378">
        <v>5.8</v>
      </c>
      <c r="G378" s="23">
        <f t="shared" si="31"/>
        <v>11</v>
      </c>
      <c r="H378" s="23">
        <f t="shared" si="32"/>
        <v>0</v>
      </c>
    </row>
    <row r="379" spans="1:8" x14ac:dyDescent="0.25">
      <c r="A379" s="22">
        <v>41893.03125</v>
      </c>
      <c r="B379" s="23">
        <v>401.2</v>
      </c>
      <c r="C379">
        <v>94.4</v>
      </c>
      <c r="D379">
        <v>9.4</v>
      </c>
      <c r="E379">
        <v>5.8</v>
      </c>
      <c r="G379" s="23">
        <f t="shared" si="31"/>
        <v>11</v>
      </c>
      <c r="H379" s="23">
        <f t="shared" si="32"/>
        <v>0</v>
      </c>
    </row>
    <row r="380" spans="1:8" x14ac:dyDescent="0.25">
      <c r="A380" s="22">
        <v>41893.034722222219</v>
      </c>
      <c r="B380" s="23">
        <v>400.5</v>
      </c>
      <c r="C380">
        <v>94.3</v>
      </c>
      <c r="D380">
        <v>9.4</v>
      </c>
      <c r="E380">
        <v>5.8</v>
      </c>
      <c r="G380" s="23">
        <f t="shared" si="31"/>
        <v>11</v>
      </c>
      <c r="H380" s="23">
        <f t="shared" si="32"/>
        <v>0</v>
      </c>
    </row>
    <row r="381" spans="1:8" x14ac:dyDescent="0.25">
      <c r="A381" s="22">
        <v>41893.038194444445</v>
      </c>
      <c r="B381" s="23">
        <v>396</v>
      </c>
      <c r="C381">
        <v>94.2</v>
      </c>
      <c r="D381">
        <v>9.4</v>
      </c>
      <c r="E381">
        <v>5.8</v>
      </c>
      <c r="G381" s="23">
        <f t="shared" si="31"/>
        <v>11</v>
      </c>
      <c r="H381" s="23">
        <f t="shared" si="32"/>
        <v>0</v>
      </c>
    </row>
    <row r="382" spans="1:8" x14ac:dyDescent="0.25">
      <c r="A382" s="22">
        <v>41893.041666666664</v>
      </c>
      <c r="B382" s="23">
        <v>394.5</v>
      </c>
      <c r="C382">
        <v>94.3</v>
      </c>
      <c r="D382">
        <v>9.4</v>
      </c>
      <c r="E382">
        <v>5.8</v>
      </c>
      <c r="G382" s="23">
        <f t="shared" si="31"/>
        <v>11</v>
      </c>
      <c r="H382" s="23">
        <f t="shared" si="32"/>
        <v>1</v>
      </c>
    </row>
    <row r="383" spans="1:8" x14ac:dyDescent="0.25">
      <c r="A383" s="22">
        <v>41893.045138888891</v>
      </c>
      <c r="B383" s="23">
        <v>394</v>
      </c>
      <c r="C383">
        <v>94.4</v>
      </c>
      <c r="D383">
        <v>9.4</v>
      </c>
      <c r="E383">
        <v>5.8</v>
      </c>
      <c r="G383" s="23">
        <f t="shared" si="31"/>
        <v>11</v>
      </c>
      <c r="H383" s="23">
        <f t="shared" si="32"/>
        <v>1</v>
      </c>
    </row>
    <row r="384" spans="1:8" x14ac:dyDescent="0.25">
      <c r="A384" s="22">
        <v>41893.048611111109</v>
      </c>
      <c r="B384" s="23">
        <v>391</v>
      </c>
      <c r="C384">
        <v>94.3</v>
      </c>
      <c r="D384">
        <v>9.3000000000000007</v>
      </c>
      <c r="E384">
        <v>5.8</v>
      </c>
      <c r="G384" s="23">
        <f t="shared" si="31"/>
        <v>11</v>
      </c>
      <c r="H384" s="23">
        <f t="shared" si="32"/>
        <v>1</v>
      </c>
    </row>
    <row r="385" spans="1:8" x14ac:dyDescent="0.25">
      <c r="A385" s="22">
        <v>41893.052083333336</v>
      </c>
      <c r="B385" s="23">
        <v>391.1</v>
      </c>
      <c r="C385">
        <v>94.4</v>
      </c>
      <c r="D385">
        <v>9.3000000000000007</v>
      </c>
      <c r="E385">
        <v>5.8</v>
      </c>
      <c r="G385" s="23">
        <f t="shared" si="31"/>
        <v>11</v>
      </c>
      <c r="H385" s="23">
        <f t="shared" si="32"/>
        <v>1</v>
      </c>
    </row>
    <row r="386" spans="1:8" x14ac:dyDescent="0.25">
      <c r="A386" s="22">
        <v>41893.055555555555</v>
      </c>
      <c r="B386" s="23">
        <v>389.9</v>
      </c>
      <c r="C386">
        <v>94.3</v>
      </c>
      <c r="D386">
        <v>9.3000000000000007</v>
      </c>
      <c r="E386">
        <v>5.8</v>
      </c>
      <c r="G386" s="23">
        <f t="shared" si="31"/>
        <v>11</v>
      </c>
      <c r="H386" s="23">
        <f t="shared" si="32"/>
        <v>1</v>
      </c>
    </row>
    <row r="387" spans="1:8" x14ac:dyDescent="0.25">
      <c r="A387" s="22">
        <v>41893.059027777781</v>
      </c>
      <c r="B387" s="23">
        <v>389</v>
      </c>
      <c r="C387">
        <v>94.3</v>
      </c>
      <c r="D387">
        <v>9.3000000000000007</v>
      </c>
      <c r="E387">
        <v>5.8</v>
      </c>
      <c r="G387" s="23">
        <f t="shared" si="31"/>
        <v>11</v>
      </c>
      <c r="H387" s="23">
        <f t="shared" si="32"/>
        <v>1</v>
      </c>
    </row>
    <row r="388" spans="1:8" x14ac:dyDescent="0.25">
      <c r="A388" s="22">
        <v>41893.0625</v>
      </c>
      <c r="B388" s="23">
        <v>386</v>
      </c>
      <c r="C388">
        <v>94.4</v>
      </c>
      <c r="D388">
        <v>9.3000000000000007</v>
      </c>
      <c r="E388">
        <v>5.8</v>
      </c>
      <c r="G388" s="23">
        <f t="shared" si="31"/>
        <v>11</v>
      </c>
      <c r="H388" s="23">
        <f t="shared" si="32"/>
        <v>1</v>
      </c>
    </row>
    <row r="389" spans="1:8" x14ac:dyDescent="0.25">
      <c r="A389" s="22">
        <v>41893.065972222219</v>
      </c>
      <c r="B389" s="23">
        <v>382.9</v>
      </c>
      <c r="C389">
        <v>94.2</v>
      </c>
      <c r="D389">
        <v>9.3000000000000007</v>
      </c>
      <c r="E389">
        <v>5.8</v>
      </c>
      <c r="G389" s="23">
        <f t="shared" si="31"/>
        <v>11</v>
      </c>
      <c r="H389" s="23">
        <f t="shared" si="32"/>
        <v>1</v>
      </c>
    </row>
    <row r="390" spans="1:8" x14ac:dyDescent="0.25">
      <c r="A390" s="22">
        <v>41893.069444444445</v>
      </c>
      <c r="B390" s="23">
        <v>381.3</v>
      </c>
      <c r="C390">
        <v>94.3</v>
      </c>
      <c r="D390">
        <v>9.1999999999999993</v>
      </c>
      <c r="E390">
        <v>5.8</v>
      </c>
      <c r="G390" s="23">
        <f t="shared" ref="G390:G453" si="33">+DAY(A390)</f>
        <v>11</v>
      </c>
      <c r="H390" s="23">
        <f t="shared" ref="H390:H453" si="34">+HOUR(A390)</f>
        <v>1</v>
      </c>
    </row>
    <row r="391" spans="1:8" x14ac:dyDescent="0.25">
      <c r="A391" s="22">
        <v>41893.072916666664</v>
      </c>
      <c r="B391" s="23">
        <v>379.8</v>
      </c>
      <c r="C391">
        <v>94.3</v>
      </c>
      <c r="D391">
        <v>9.1999999999999993</v>
      </c>
      <c r="E391">
        <v>5.8</v>
      </c>
      <c r="G391" s="23">
        <f t="shared" si="33"/>
        <v>11</v>
      </c>
      <c r="H391" s="23">
        <f t="shared" si="34"/>
        <v>1</v>
      </c>
    </row>
    <row r="392" spans="1:8" x14ac:dyDescent="0.25">
      <c r="A392" s="22">
        <v>41893.076388888891</v>
      </c>
      <c r="B392" s="23">
        <v>377.7</v>
      </c>
      <c r="C392">
        <v>94.3</v>
      </c>
      <c r="D392">
        <v>9.1999999999999993</v>
      </c>
      <c r="E392">
        <v>5.8</v>
      </c>
      <c r="G392" s="23">
        <f t="shared" si="33"/>
        <v>11</v>
      </c>
      <c r="H392" s="23">
        <f t="shared" si="34"/>
        <v>1</v>
      </c>
    </row>
    <row r="393" spans="1:8" x14ac:dyDescent="0.25">
      <c r="A393" s="22">
        <v>41893.079861111109</v>
      </c>
      <c r="B393" s="23">
        <v>374.5</v>
      </c>
      <c r="C393">
        <v>94.3</v>
      </c>
      <c r="D393">
        <v>9.1999999999999993</v>
      </c>
      <c r="E393">
        <v>5.8</v>
      </c>
      <c r="G393" s="23">
        <f t="shared" si="33"/>
        <v>11</v>
      </c>
      <c r="H393" s="23">
        <f t="shared" si="34"/>
        <v>1</v>
      </c>
    </row>
    <row r="394" spans="1:8" x14ac:dyDescent="0.25">
      <c r="A394" s="22">
        <v>41893.083333333336</v>
      </c>
      <c r="B394" s="23">
        <v>373.8</v>
      </c>
      <c r="C394">
        <v>94.3</v>
      </c>
      <c r="D394">
        <v>9.1999999999999993</v>
      </c>
      <c r="E394">
        <v>5.8</v>
      </c>
      <c r="G394" s="23">
        <f t="shared" si="33"/>
        <v>11</v>
      </c>
      <c r="H394" s="23">
        <f t="shared" si="34"/>
        <v>2</v>
      </c>
    </row>
    <row r="395" spans="1:8" x14ac:dyDescent="0.25">
      <c r="A395" s="22">
        <v>41893.086805555555</v>
      </c>
      <c r="B395" s="23">
        <v>371.7</v>
      </c>
      <c r="C395">
        <v>94.2</v>
      </c>
      <c r="D395">
        <v>9.1</v>
      </c>
      <c r="E395">
        <v>5.8</v>
      </c>
      <c r="G395" s="23">
        <f t="shared" si="33"/>
        <v>11</v>
      </c>
      <c r="H395" s="23">
        <f t="shared" si="34"/>
        <v>2</v>
      </c>
    </row>
    <row r="396" spans="1:8" x14ac:dyDescent="0.25">
      <c r="A396" s="22">
        <v>41893.090277777781</v>
      </c>
      <c r="B396" s="23">
        <v>371.7</v>
      </c>
      <c r="C396">
        <v>94.3</v>
      </c>
      <c r="D396">
        <v>9.1999999999999993</v>
      </c>
      <c r="E396">
        <v>5.8</v>
      </c>
      <c r="G396" s="23">
        <f t="shared" si="33"/>
        <v>11</v>
      </c>
      <c r="H396" s="23">
        <f t="shared" si="34"/>
        <v>2</v>
      </c>
    </row>
    <row r="397" spans="1:8" x14ac:dyDescent="0.25">
      <c r="A397" s="22">
        <v>41893.09375</v>
      </c>
      <c r="B397" s="23">
        <v>371.9</v>
      </c>
      <c r="C397">
        <v>94.3</v>
      </c>
      <c r="D397">
        <v>9.1999999999999993</v>
      </c>
      <c r="E397">
        <v>5.8</v>
      </c>
      <c r="G397" s="23">
        <f t="shared" si="33"/>
        <v>11</v>
      </c>
      <c r="H397" s="23">
        <f t="shared" si="34"/>
        <v>2</v>
      </c>
    </row>
    <row r="398" spans="1:8" x14ac:dyDescent="0.25">
      <c r="A398" s="22">
        <v>41893.097222222219</v>
      </c>
      <c r="B398" s="23">
        <v>374.2</v>
      </c>
      <c r="C398">
        <v>94.3</v>
      </c>
      <c r="D398">
        <v>9.1999999999999993</v>
      </c>
      <c r="E398">
        <v>5.8</v>
      </c>
      <c r="G398" s="23">
        <f t="shared" si="33"/>
        <v>11</v>
      </c>
      <c r="H398" s="23">
        <f t="shared" si="34"/>
        <v>2</v>
      </c>
    </row>
    <row r="399" spans="1:8" x14ac:dyDescent="0.25">
      <c r="A399" s="22">
        <v>41893.100694444445</v>
      </c>
      <c r="B399" s="23">
        <v>375.7</v>
      </c>
      <c r="C399">
        <v>94.1</v>
      </c>
      <c r="D399">
        <v>9.1999999999999993</v>
      </c>
      <c r="E399">
        <v>5.8</v>
      </c>
      <c r="G399" s="23">
        <f t="shared" si="33"/>
        <v>11</v>
      </c>
      <c r="H399" s="23">
        <f t="shared" si="34"/>
        <v>2</v>
      </c>
    </row>
    <row r="400" spans="1:8" x14ac:dyDescent="0.25">
      <c r="A400" s="22">
        <v>41893.104166666664</v>
      </c>
      <c r="B400" s="23">
        <v>372.8</v>
      </c>
      <c r="C400">
        <v>94.3</v>
      </c>
      <c r="D400">
        <v>9.1999999999999993</v>
      </c>
      <c r="E400">
        <v>5.8</v>
      </c>
      <c r="G400" s="23">
        <f t="shared" si="33"/>
        <v>11</v>
      </c>
      <c r="H400" s="23">
        <f t="shared" si="34"/>
        <v>2</v>
      </c>
    </row>
    <row r="401" spans="1:8" x14ac:dyDescent="0.25">
      <c r="A401" s="22">
        <v>41893.107638888891</v>
      </c>
      <c r="B401" s="23">
        <v>373.6</v>
      </c>
      <c r="C401">
        <v>94.3</v>
      </c>
      <c r="D401">
        <v>9.1999999999999993</v>
      </c>
      <c r="E401">
        <v>5.8</v>
      </c>
      <c r="G401" s="23">
        <f t="shared" si="33"/>
        <v>11</v>
      </c>
      <c r="H401" s="23">
        <f t="shared" si="34"/>
        <v>2</v>
      </c>
    </row>
    <row r="402" spans="1:8" x14ac:dyDescent="0.25">
      <c r="A402" s="22">
        <v>41893.111111111109</v>
      </c>
      <c r="B402" s="23">
        <v>371.6</v>
      </c>
      <c r="C402">
        <v>94.3</v>
      </c>
      <c r="D402">
        <v>9.1</v>
      </c>
      <c r="E402">
        <v>5.8</v>
      </c>
      <c r="G402" s="23">
        <f t="shared" si="33"/>
        <v>11</v>
      </c>
      <c r="H402" s="23">
        <f t="shared" si="34"/>
        <v>2</v>
      </c>
    </row>
    <row r="403" spans="1:8" x14ac:dyDescent="0.25">
      <c r="A403" s="22">
        <v>41893.114583333336</v>
      </c>
      <c r="B403" s="23">
        <v>371.6</v>
      </c>
      <c r="C403">
        <v>94.3</v>
      </c>
      <c r="D403">
        <v>9.1999999999999993</v>
      </c>
      <c r="E403">
        <v>5.8</v>
      </c>
      <c r="G403" s="23">
        <f t="shared" si="33"/>
        <v>11</v>
      </c>
      <c r="H403" s="23">
        <f t="shared" si="34"/>
        <v>2</v>
      </c>
    </row>
    <row r="404" spans="1:8" x14ac:dyDescent="0.25">
      <c r="A404" s="22">
        <v>41893.118055555555</v>
      </c>
      <c r="B404" s="23">
        <v>370.7</v>
      </c>
      <c r="C404">
        <v>94.3</v>
      </c>
      <c r="D404">
        <v>9.1</v>
      </c>
      <c r="E404">
        <v>5.8</v>
      </c>
      <c r="G404" s="23">
        <f t="shared" si="33"/>
        <v>11</v>
      </c>
      <c r="H404" s="23">
        <f t="shared" si="34"/>
        <v>2</v>
      </c>
    </row>
    <row r="405" spans="1:8" x14ac:dyDescent="0.25">
      <c r="A405" s="22">
        <v>41893.121527777781</v>
      </c>
      <c r="B405" s="23">
        <v>371.2</v>
      </c>
      <c r="C405">
        <v>94.4</v>
      </c>
      <c r="D405">
        <v>9.1</v>
      </c>
      <c r="E405">
        <v>5.8</v>
      </c>
      <c r="G405" s="23">
        <f t="shared" si="33"/>
        <v>11</v>
      </c>
      <c r="H405" s="23">
        <f t="shared" si="34"/>
        <v>2</v>
      </c>
    </row>
    <row r="406" spans="1:8" x14ac:dyDescent="0.25">
      <c r="A406" s="22">
        <v>41893.125</v>
      </c>
      <c r="B406" s="23">
        <v>370.8</v>
      </c>
      <c r="C406">
        <v>94.3</v>
      </c>
      <c r="D406">
        <v>9.1</v>
      </c>
      <c r="E406">
        <v>5.8</v>
      </c>
      <c r="G406" s="23">
        <f t="shared" si="33"/>
        <v>11</v>
      </c>
      <c r="H406" s="23">
        <f t="shared" si="34"/>
        <v>3</v>
      </c>
    </row>
    <row r="407" spans="1:8" x14ac:dyDescent="0.25">
      <c r="A407" s="22">
        <v>41893.128472222219</v>
      </c>
      <c r="B407" s="23">
        <v>378.4</v>
      </c>
      <c r="C407">
        <v>94.3</v>
      </c>
      <c r="D407">
        <v>9.1999999999999993</v>
      </c>
      <c r="E407">
        <v>5.8</v>
      </c>
      <c r="G407" s="23">
        <f t="shared" si="33"/>
        <v>11</v>
      </c>
      <c r="H407" s="23">
        <f t="shared" si="34"/>
        <v>3</v>
      </c>
    </row>
    <row r="408" spans="1:8" x14ac:dyDescent="0.25">
      <c r="A408" s="22">
        <v>41893.131944444445</v>
      </c>
      <c r="B408" s="23">
        <v>386.3</v>
      </c>
      <c r="C408">
        <v>94.2</v>
      </c>
      <c r="D408">
        <v>9.3000000000000007</v>
      </c>
      <c r="E408">
        <v>5.8</v>
      </c>
      <c r="G408" s="23">
        <f t="shared" si="33"/>
        <v>11</v>
      </c>
      <c r="H408" s="23">
        <f t="shared" si="34"/>
        <v>3</v>
      </c>
    </row>
    <row r="409" spans="1:8" x14ac:dyDescent="0.25">
      <c r="A409" s="22">
        <v>41893.135416666664</v>
      </c>
      <c r="B409" s="23">
        <v>390.7</v>
      </c>
      <c r="C409">
        <v>94.4</v>
      </c>
      <c r="D409">
        <v>9.3000000000000007</v>
      </c>
      <c r="E409">
        <v>5.8</v>
      </c>
      <c r="G409" s="23">
        <f t="shared" si="33"/>
        <v>11</v>
      </c>
      <c r="H409" s="23">
        <f t="shared" si="34"/>
        <v>3</v>
      </c>
    </row>
    <row r="410" spans="1:8" x14ac:dyDescent="0.25">
      <c r="A410" s="22">
        <v>41893.138888888891</v>
      </c>
      <c r="B410" s="23">
        <v>391.4</v>
      </c>
      <c r="C410">
        <v>94.3</v>
      </c>
      <c r="D410">
        <v>9.3000000000000007</v>
      </c>
      <c r="E410">
        <v>5.8</v>
      </c>
      <c r="G410" s="23">
        <f t="shared" si="33"/>
        <v>11</v>
      </c>
      <c r="H410" s="23">
        <f t="shared" si="34"/>
        <v>3</v>
      </c>
    </row>
    <row r="411" spans="1:8" x14ac:dyDescent="0.25">
      <c r="A411" s="22">
        <v>41893.142361111109</v>
      </c>
      <c r="B411" s="23">
        <v>394.3</v>
      </c>
      <c r="C411">
        <v>94.4</v>
      </c>
      <c r="D411">
        <v>9.4</v>
      </c>
      <c r="E411">
        <v>5.8</v>
      </c>
      <c r="G411" s="23">
        <f t="shared" si="33"/>
        <v>11</v>
      </c>
      <c r="H411" s="23">
        <f t="shared" si="34"/>
        <v>3</v>
      </c>
    </row>
    <row r="412" spans="1:8" x14ac:dyDescent="0.25">
      <c r="A412" s="22">
        <v>41893.145833333336</v>
      </c>
      <c r="B412" s="23">
        <v>394.6</v>
      </c>
      <c r="C412">
        <v>94.3</v>
      </c>
      <c r="D412">
        <v>9.4</v>
      </c>
      <c r="E412">
        <v>5.8</v>
      </c>
      <c r="G412" s="23">
        <f t="shared" si="33"/>
        <v>11</v>
      </c>
      <c r="H412" s="23">
        <f t="shared" si="34"/>
        <v>3</v>
      </c>
    </row>
    <row r="413" spans="1:8" x14ac:dyDescent="0.25">
      <c r="A413" s="22">
        <v>41893.149305555555</v>
      </c>
      <c r="B413" s="23">
        <v>393.3</v>
      </c>
      <c r="C413">
        <v>94.3</v>
      </c>
      <c r="D413">
        <v>9.4</v>
      </c>
      <c r="E413">
        <v>5.8</v>
      </c>
      <c r="G413" s="23">
        <f t="shared" si="33"/>
        <v>11</v>
      </c>
      <c r="H413" s="23">
        <f t="shared" si="34"/>
        <v>3</v>
      </c>
    </row>
    <row r="414" spans="1:8" x14ac:dyDescent="0.25">
      <c r="A414" s="22">
        <v>41893.152777777781</v>
      </c>
      <c r="B414" s="23">
        <v>393.8</v>
      </c>
      <c r="C414">
        <v>94.4</v>
      </c>
      <c r="D414">
        <v>9.4</v>
      </c>
      <c r="E414">
        <v>5.8</v>
      </c>
      <c r="G414" s="23">
        <f t="shared" si="33"/>
        <v>11</v>
      </c>
      <c r="H414" s="23">
        <f t="shared" si="34"/>
        <v>3</v>
      </c>
    </row>
    <row r="415" spans="1:8" x14ac:dyDescent="0.25">
      <c r="A415" s="22">
        <v>41893.15625</v>
      </c>
      <c r="B415" s="23">
        <v>392.6</v>
      </c>
      <c r="C415">
        <v>94.3</v>
      </c>
      <c r="D415">
        <v>9.3000000000000007</v>
      </c>
      <c r="E415">
        <v>5.8</v>
      </c>
      <c r="G415" s="23">
        <f t="shared" si="33"/>
        <v>11</v>
      </c>
      <c r="H415" s="23">
        <f t="shared" si="34"/>
        <v>3</v>
      </c>
    </row>
    <row r="416" spans="1:8" x14ac:dyDescent="0.25">
      <c r="A416" s="22">
        <v>41893.159722222219</v>
      </c>
      <c r="B416" s="23">
        <v>390.7</v>
      </c>
      <c r="C416">
        <v>94.2</v>
      </c>
      <c r="D416">
        <v>9.3000000000000007</v>
      </c>
      <c r="E416">
        <v>5.8</v>
      </c>
      <c r="G416" s="23">
        <f t="shared" si="33"/>
        <v>11</v>
      </c>
      <c r="H416" s="23">
        <f t="shared" si="34"/>
        <v>3</v>
      </c>
    </row>
    <row r="417" spans="1:8" x14ac:dyDescent="0.25">
      <c r="A417" s="22">
        <v>41893.163194444445</v>
      </c>
      <c r="B417" s="23">
        <v>390.8</v>
      </c>
      <c r="C417">
        <v>94.3</v>
      </c>
      <c r="D417">
        <v>9.3000000000000007</v>
      </c>
      <c r="E417">
        <v>5.8</v>
      </c>
      <c r="G417" s="23">
        <f t="shared" si="33"/>
        <v>11</v>
      </c>
      <c r="H417" s="23">
        <f t="shared" si="34"/>
        <v>3</v>
      </c>
    </row>
    <row r="418" spans="1:8" x14ac:dyDescent="0.25">
      <c r="A418" s="22">
        <v>41893.166666666664</v>
      </c>
      <c r="B418" s="23">
        <v>390.9</v>
      </c>
      <c r="C418">
        <v>94.4</v>
      </c>
      <c r="D418">
        <v>9.3000000000000007</v>
      </c>
      <c r="E418">
        <v>5.8</v>
      </c>
      <c r="G418" s="23">
        <f t="shared" si="33"/>
        <v>11</v>
      </c>
      <c r="H418" s="23">
        <f t="shared" si="34"/>
        <v>4</v>
      </c>
    </row>
    <row r="419" spans="1:8" x14ac:dyDescent="0.25">
      <c r="A419" s="22">
        <v>41893.170138888891</v>
      </c>
      <c r="B419" s="23">
        <v>390.6</v>
      </c>
      <c r="C419">
        <v>94.4</v>
      </c>
      <c r="D419">
        <v>9.3000000000000007</v>
      </c>
      <c r="E419">
        <v>5.8</v>
      </c>
      <c r="G419" s="23">
        <f t="shared" si="33"/>
        <v>11</v>
      </c>
      <c r="H419" s="23">
        <f t="shared" si="34"/>
        <v>4</v>
      </c>
    </row>
    <row r="420" spans="1:8" x14ac:dyDescent="0.25">
      <c r="A420" s="22">
        <v>41893.173611111109</v>
      </c>
      <c r="B420" s="23">
        <v>388.6</v>
      </c>
      <c r="C420">
        <v>94.3</v>
      </c>
      <c r="D420">
        <v>9.3000000000000007</v>
      </c>
      <c r="E420">
        <v>5.8</v>
      </c>
      <c r="G420" s="23">
        <f t="shared" si="33"/>
        <v>11</v>
      </c>
      <c r="H420" s="23">
        <f t="shared" si="34"/>
        <v>4</v>
      </c>
    </row>
    <row r="421" spans="1:8" x14ac:dyDescent="0.25">
      <c r="A421" s="22">
        <v>41893.177083333336</v>
      </c>
      <c r="B421" s="23">
        <v>387.2</v>
      </c>
      <c r="C421">
        <v>94.2</v>
      </c>
      <c r="D421">
        <v>9.3000000000000007</v>
      </c>
      <c r="E421">
        <v>5.8</v>
      </c>
      <c r="G421" s="23">
        <f t="shared" si="33"/>
        <v>11</v>
      </c>
      <c r="H421" s="23">
        <f t="shared" si="34"/>
        <v>4</v>
      </c>
    </row>
    <row r="422" spans="1:8" x14ac:dyDescent="0.25">
      <c r="A422" s="22">
        <v>41893.180555555555</v>
      </c>
      <c r="B422" s="23">
        <v>387.4</v>
      </c>
      <c r="C422">
        <v>94.4</v>
      </c>
      <c r="D422">
        <v>9.3000000000000007</v>
      </c>
      <c r="E422">
        <v>5.8</v>
      </c>
      <c r="G422" s="23">
        <f t="shared" si="33"/>
        <v>11</v>
      </c>
      <c r="H422" s="23">
        <f t="shared" si="34"/>
        <v>4</v>
      </c>
    </row>
    <row r="423" spans="1:8" x14ac:dyDescent="0.25">
      <c r="A423" s="22">
        <v>41893.184027777781</v>
      </c>
      <c r="B423" s="23">
        <v>387.5</v>
      </c>
      <c r="C423">
        <v>94.4</v>
      </c>
      <c r="D423">
        <v>9.3000000000000007</v>
      </c>
      <c r="E423">
        <v>5.8</v>
      </c>
      <c r="G423" s="23">
        <f t="shared" si="33"/>
        <v>11</v>
      </c>
      <c r="H423" s="23">
        <f t="shared" si="34"/>
        <v>4</v>
      </c>
    </row>
    <row r="424" spans="1:8" x14ac:dyDescent="0.25">
      <c r="A424" s="22">
        <v>41893.1875</v>
      </c>
      <c r="B424" s="23">
        <v>385.6</v>
      </c>
      <c r="C424">
        <v>94.3</v>
      </c>
      <c r="D424">
        <v>9.3000000000000007</v>
      </c>
      <c r="E424">
        <v>5.8</v>
      </c>
      <c r="G424" s="23">
        <f t="shared" si="33"/>
        <v>11</v>
      </c>
      <c r="H424" s="23">
        <f t="shared" si="34"/>
        <v>4</v>
      </c>
    </row>
    <row r="425" spans="1:8" x14ac:dyDescent="0.25">
      <c r="A425" s="22">
        <v>41893.190972222219</v>
      </c>
      <c r="B425" s="23">
        <v>380.8</v>
      </c>
      <c r="C425">
        <v>94.2</v>
      </c>
      <c r="D425">
        <v>9.1999999999999993</v>
      </c>
      <c r="E425">
        <v>5.8</v>
      </c>
      <c r="G425" s="23">
        <f t="shared" si="33"/>
        <v>11</v>
      </c>
      <c r="H425" s="23">
        <f t="shared" si="34"/>
        <v>4</v>
      </c>
    </row>
    <row r="426" spans="1:8" x14ac:dyDescent="0.25">
      <c r="A426" s="22">
        <v>41893.194444444445</v>
      </c>
      <c r="B426" s="23">
        <v>383.3</v>
      </c>
      <c r="C426">
        <v>94.4</v>
      </c>
      <c r="D426">
        <v>9.3000000000000007</v>
      </c>
      <c r="E426">
        <v>5.8</v>
      </c>
      <c r="G426" s="23">
        <f t="shared" si="33"/>
        <v>11</v>
      </c>
      <c r="H426" s="23">
        <f t="shared" si="34"/>
        <v>4</v>
      </c>
    </row>
    <row r="427" spans="1:8" x14ac:dyDescent="0.25">
      <c r="A427" s="22">
        <v>41893.197916666664</v>
      </c>
      <c r="B427" s="23">
        <v>381.9</v>
      </c>
      <c r="C427">
        <v>94.3</v>
      </c>
      <c r="D427">
        <v>9.1999999999999993</v>
      </c>
      <c r="E427">
        <v>5.8</v>
      </c>
      <c r="G427" s="23">
        <f t="shared" si="33"/>
        <v>11</v>
      </c>
      <c r="H427" s="23">
        <f t="shared" si="34"/>
        <v>4</v>
      </c>
    </row>
    <row r="428" spans="1:8" x14ac:dyDescent="0.25">
      <c r="A428" s="22">
        <v>41893.201388888891</v>
      </c>
      <c r="B428" s="23">
        <v>380.2</v>
      </c>
      <c r="C428">
        <v>94.4</v>
      </c>
      <c r="D428">
        <v>9.1999999999999993</v>
      </c>
      <c r="E428">
        <v>5.8</v>
      </c>
      <c r="G428" s="23">
        <f t="shared" si="33"/>
        <v>11</v>
      </c>
      <c r="H428" s="23">
        <f t="shared" si="34"/>
        <v>4</v>
      </c>
    </row>
    <row r="429" spans="1:8" x14ac:dyDescent="0.25">
      <c r="A429" s="22">
        <v>41893.204861111109</v>
      </c>
      <c r="B429" s="23">
        <v>377.3</v>
      </c>
      <c r="C429">
        <v>94.3</v>
      </c>
      <c r="D429">
        <v>9.1999999999999993</v>
      </c>
      <c r="E429">
        <v>5.8</v>
      </c>
      <c r="G429" s="23">
        <f t="shared" si="33"/>
        <v>11</v>
      </c>
      <c r="H429" s="23">
        <f t="shared" si="34"/>
        <v>4</v>
      </c>
    </row>
    <row r="430" spans="1:8" x14ac:dyDescent="0.25">
      <c r="A430" s="22">
        <v>41893.208333333336</v>
      </c>
      <c r="B430" s="23">
        <v>377.1</v>
      </c>
      <c r="C430">
        <v>94.3</v>
      </c>
      <c r="D430">
        <v>9.1999999999999993</v>
      </c>
      <c r="E430">
        <v>5.8</v>
      </c>
      <c r="G430" s="23">
        <f t="shared" si="33"/>
        <v>11</v>
      </c>
      <c r="H430" s="23">
        <f t="shared" si="34"/>
        <v>5</v>
      </c>
    </row>
    <row r="431" spans="1:8" x14ac:dyDescent="0.25">
      <c r="A431" s="22">
        <v>41893.211805555555</v>
      </c>
      <c r="B431" s="23">
        <v>376.3</v>
      </c>
      <c r="C431">
        <v>94.4</v>
      </c>
      <c r="D431">
        <v>9.1999999999999993</v>
      </c>
      <c r="E431">
        <v>5.8</v>
      </c>
      <c r="G431" s="23">
        <f t="shared" si="33"/>
        <v>11</v>
      </c>
      <c r="H431" s="23">
        <f t="shared" si="34"/>
        <v>5</v>
      </c>
    </row>
    <row r="432" spans="1:8" x14ac:dyDescent="0.25">
      <c r="A432" s="22">
        <v>41893.215277777781</v>
      </c>
      <c r="B432" s="23">
        <v>375.9</v>
      </c>
      <c r="C432">
        <v>94.4</v>
      </c>
      <c r="D432">
        <v>9.1999999999999993</v>
      </c>
      <c r="E432">
        <v>5.8</v>
      </c>
      <c r="G432" s="23">
        <f t="shared" si="33"/>
        <v>11</v>
      </c>
      <c r="H432" s="23">
        <f t="shared" si="34"/>
        <v>5</v>
      </c>
    </row>
    <row r="433" spans="1:8" x14ac:dyDescent="0.25">
      <c r="A433" s="22">
        <v>41893.21875</v>
      </c>
      <c r="B433" s="23">
        <v>376.7</v>
      </c>
      <c r="C433">
        <v>94.3</v>
      </c>
      <c r="D433">
        <v>9.1999999999999993</v>
      </c>
      <c r="E433">
        <v>5.8</v>
      </c>
      <c r="G433" s="23">
        <f t="shared" si="33"/>
        <v>11</v>
      </c>
      <c r="H433" s="23">
        <f t="shared" si="34"/>
        <v>5</v>
      </c>
    </row>
    <row r="434" spans="1:8" x14ac:dyDescent="0.25">
      <c r="A434" s="22">
        <v>41893.222222222219</v>
      </c>
      <c r="B434" s="23">
        <v>377.9</v>
      </c>
      <c r="C434">
        <v>94.3</v>
      </c>
      <c r="D434">
        <v>9.1999999999999993</v>
      </c>
      <c r="E434">
        <v>5.8</v>
      </c>
      <c r="G434" s="23">
        <f t="shared" si="33"/>
        <v>11</v>
      </c>
      <c r="H434" s="23">
        <f t="shared" si="34"/>
        <v>5</v>
      </c>
    </row>
    <row r="435" spans="1:8" x14ac:dyDescent="0.25">
      <c r="A435" s="22">
        <v>41893.225694444445</v>
      </c>
      <c r="B435" s="23">
        <v>377.9</v>
      </c>
      <c r="C435">
        <v>94.4</v>
      </c>
      <c r="D435">
        <v>9.1999999999999993</v>
      </c>
      <c r="E435">
        <v>5.8</v>
      </c>
      <c r="G435" s="23">
        <f t="shared" si="33"/>
        <v>11</v>
      </c>
      <c r="H435" s="23">
        <f t="shared" si="34"/>
        <v>5</v>
      </c>
    </row>
    <row r="436" spans="1:8" x14ac:dyDescent="0.25">
      <c r="A436" s="22">
        <v>41893.229166666664</v>
      </c>
      <c r="B436" s="23">
        <v>378</v>
      </c>
      <c r="C436">
        <v>94.4</v>
      </c>
      <c r="D436">
        <v>9.1999999999999993</v>
      </c>
      <c r="E436">
        <v>5.8</v>
      </c>
      <c r="G436" s="23">
        <f t="shared" si="33"/>
        <v>11</v>
      </c>
      <c r="H436" s="23">
        <f t="shared" si="34"/>
        <v>5</v>
      </c>
    </row>
    <row r="437" spans="1:8" x14ac:dyDescent="0.25">
      <c r="A437" s="22">
        <v>41893.232638888891</v>
      </c>
      <c r="B437" s="23">
        <v>379.8</v>
      </c>
      <c r="C437">
        <v>94.3</v>
      </c>
      <c r="D437">
        <v>9.1999999999999993</v>
      </c>
      <c r="E437">
        <v>5.8</v>
      </c>
      <c r="G437" s="23">
        <f t="shared" si="33"/>
        <v>11</v>
      </c>
      <c r="H437" s="23">
        <f t="shared" si="34"/>
        <v>5</v>
      </c>
    </row>
    <row r="438" spans="1:8" x14ac:dyDescent="0.25">
      <c r="A438" s="22">
        <v>41893.236111111109</v>
      </c>
      <c r="B438" s="23">
        <v>376.4</v>
      </c>
      <c r="C438">
        <v>94.3</v>
      </c>
      <c r="D438">
        <v>9.1999999999999993</v>
      </c>
      <c r="E438">
        <v>5.8</v>
      </c>
      <c r="G438" s="23">
        <f t="shared" si="33"/>
        <v>11</v>
      </c>
      <c r="H438" s="23">
        <f t="shared" si="34"/>
        <v>5</v>
      </c>
    </row>
    <row r="439" spans="1:8" x14ac:dyDescent="0.25">
      <c r="A439" s="22">
        <v>41893.239583333336</v>
      </c>
      <c r="B439" s="23">
        <v>378.8</v>
      </c>
      <c r="C439">
        <v>94.3</v>
      </c>
      <c r="D439">
        <v>9.1999999999999993</v>
      </c>
      <c r="E439">
        <v>5.8</v>
      </c>
      <c r="G439" s="23">
        <f t="shared" si="33"/>
        <v>11</v>
      </c>
      <c r="H439" s="23">
        <f t="shared" si="34"/>
        <v>5</v>
      </c>
    </row>
    <row r="440" spans="1:8" x14ac:dyDescent="0.25">
      <c r="A440" s="22">
        <v>41893.243055555555</v>
      </c>
      <c r="B440" s="23">
        <v>378.1</v>
      </c>
      <c r="C440">
        <v>94.3</v>
      </c>
      <c r="D440">
        <v>9.1999999999999993</v>
      </c>
      <c r="E440">
        <v>5.8</v>
      </c>
      <c r="G440" s="23">
        <f t="shared" si="33"/>
        <v>11</v>
      </c>
      <c r="H440" s="23">
        <f t="shared" si="34"/>
        <v>5</v>
      </c>
    </row>
    <row r="441" spans="1:8" x14ac:dyDescent="0.25">
      <c r="A441" s="22">
        <v>41893.246527777781</v>
      </c>
      <c r="B441" s="23">
        <v>377.6</v>
      </c>
      <c r="C441">
        <v>94.2</v>
      </c>
      <c r="D441">
        <v>9.1999999999999993</v>
      </c>
      <c r="E441">
        <v>5.8</v>
      </c>
      <c r="G441" s="23">
        <f t="shared" si="33"/>
        <v>11</v>
      </c>
      <c r="H441" s="23">
        <f t="shared" si="34"/>
        <v>5</v>
      </c>
    </row>
    <row r="442" spans="1:8" x14ac:dyDescent="0.25">
      <c r="A442" s="22">
        <v>41893.25</v>
      </c>
      <c r="B442" s="23">
        <v>378.6</v>
      </c>
      <c r="C442">
        <v>94.3</v>
      </c>
      <c r="D442">
        <v>9.1999999999999993</v>
      </c>
      <c r="E442">
        <v>5.8</v>
      </c>
      <c r="G442" s="23">
        <f t="shared" si="33"/>
        <v>11</v>
      </c>
      <c r="H442" s="23">
        <f t="shared" si="34"/>
        <v>6</v>
      </c>
    </row>
    <row r="443" spans="1:8" x14ac:dyDescent="0.25">
      <c r="A443" s="22">
        <v>41893.253472222219</v>
      </c>
      <c r="B443" s="23">
        <v>381.4</v>
      </c>
      <c r="C443">
        <v>94.3</v>
      </c>
      <c r="D443">
        <v>9.3000000000000007</v>
      </c>
      <c r="E443">
        <v>5.8</v>
      </c>
      <c r="G443" s="23">
        <f t="shared" si="33"/>
        <v>11</v>
      </c>
      <c r="H443" s="23">
        <f t="shared" si="34"/>
        <v>6</v>
      </c>
    </row>
    <row r="444" spans="1:8" x14ac:dyDescent="0.25">
      <c r="A444" s="22">
        <v>41893.256944444445</v>
      </c>
      <c r="B444" s="23">
        <v>379.9</v>
      </c>
      <c r="C444">
        <v>94.3</v>
      </c>
      <c r="D444">
        <v>9.1999999999999993</v>
      </c>
      <c r="E444">
        <v>5.8</v>
      </c>
      <c r="G444" s="23">
        <f t="shared" si="33"/>
        <v>11</v>
      </c>
      <c r="H444" s="23">
        <f t="shared" si="34"/>
        <v>6</v>
      </c>
    </row>
    <row r="445" spans="1:8" x14ac:dyDescent="0.25">
      <c r="A445" s="22">
        <v>41893.260416666664</v>
      </c>
      <c r="B445" s="23">
        <v>378.2</v>
      </c>
      <c r="C445">
        <v>94.3</v>
      </c>
      <c r="D445">
        <v>9.1999999999999993</v>
      </c>
      <c r="E445">
        <v>5.8</v>
      </c>
      <c r="G445" s="23">
        <f t="shared" si="33"/>
        <v>11</v>
      </c>
      <c r="H445" s="23">
        <f t="shared" si="34"/>
        <v>6</v>
      </c>
    </row>
    <row r="446" spans="1:8" x14ac:dyDescent="0.25">
      <c r="A446" s="22">
        <v>41893.263888888891</v>
      </c>
      <c r="B446" s="23">
        <v>374.8</v>
      </c>
      <c r="C446">
        <v>94.2</v>
      </c>
      <c r="D446">
        <v>9.1999999999999993</v>
      </c>
      <c r="E446">
        <v>5.8</v>
      </c>
      <c r="G446" s="23">
        <f t="shared" si="33"/>
        <v>11</v>
      </c>
      <c r="H446" s="23">
        <f t="shared" si="34"/>
        <v>6</v>
      </c>
    </row>
    <row r="447" spans="1:8" x14ac:dyDescent="0.25">
      <c r="A447" s="22">
        <v>41893.267361111109</v>
      </c>
      <c r="B447" s="23">
        <v>373.2</v>
      </c>
      <c r="C447">
        <v>94.2</v>
      </c>
      <c r="D447">
        <v>9.1999999999999993</v>
      </c>
      <c r="E447">
        <v>5.8</v>
      </c>
      <c r="G447" s="23">
        <f t="shared" si="33"/>
        <v>11</v>
      </c>
      <c r="H447" s="23">
        <f t="shared" si="34"/>
        <v>6</v>
      </c>
    </row>
    <row r="448" spans="1:8" x14ac:dyDescent="0.25">
      <c r="A448" s="22">
        <v>41893.270833333336</v>
      </c>
      <c r="B448" s="23">
        <v>370.1</v>
      </c>
      <c r="C448">
        <v>94.3</v>
      </c>
      <c r="D448">
        <v>9.1</v>
      </c>
      <c r="E448">
        <v>5.8</v>
      </c>
      <c r="G448" s="23">
        <f t="shared" si="33"/>
        <v>11</v>
      </c>
      <c r="H448" s="23">
        <f t="shared" si="34"/>
        <v>6</v>
      </c>
    </row>
    <row r="449" spans="1:8" x14ac:dyDescent="0.25">
      <c r="A449" s="22">
        <v>41893.274305555555</v>
      </c>
      <c r="B449" s="23">
        <v>368.5</v>
      </c>
      <c r="C449">
        <v>94.3</v>
      </c>
      <c r="D449">
        <v>9.1</v>
      </c>
      <c r="E449">
        <v>5.8</v>
      </c>
      <c r="G449" s="23">
        <f t="shared" si="33"/>
        <v>11</v>
      </c>
      <c r="H449" s="23">
        <f t="shared" si="34"/>
        <v>6</v>
      </c>
    </row>
    <row r="450" spans="1:8" x14ac:dyDescent="0.25">
      <c r="A450" s="22">
        <v>41893.277777777781</v>
      </c>
      <c r="B450" s="23">
        <v>376.2</v>
      </c>
      <c r="C450">
        <v>94.3</v>
      </c>
      <c r="D450">
        <v>9.1999999999999993</v>
      </c>
      <c r="E450">
        <v>5.8</v>
      </c>
      <c r="G450" s="23">
        <f t="shared" si="33"/>
        <v>11</v>
      </c>
      <c r="H450" s="23">
        <f t="shared" si="34"/>
        <v>6</v>
      </c>
    </row>
    <row r="451" spans="1:8" x14ac:dyDescent="0.25">
      <c r="A451" s="22">
        <v>41893.28125</v>
      </c>
      <c r="B451" s="23">
        <v>427.1</v>
      </c>
      <c r="C451">
        <v>94.2</v>
      </c>
      <c r="D451">
        <v>9.8000000000000007</v>
      </c>
      <c r="E451">
        <v>5.9</v>
      </c>
      <c r="G451" s="23">
        <f t="shared" si="33"/>
        <v>11</v>
      </c>
      <c r="H451" s="23">
        <f t="shared" si="34"/>
        <v>6</v>
      </c>
    </row>
    <row r="452" spans="1:8" x14ac:dyDescent="0.25">
      <c r="A452" s="22">
        <v>41893.284722222219</v>
      </c>
      <c r="B452" s="23">
        <v>393.4</v>
      </c>
      <c r="C452">
        <v>94.2</v>
      </c>
      <c r="D452">
        <v>9.3000000000000007</v>
      </c>
      <c r="E452">
        <v>5.7</v>
      </c>
      <c r="G452" s="23">
        <f t="shared" si="33"/>
        <v>11</v>
      </c>
      <c r="H452" s="23">
        <f t="shared" si="34"/>
        <v>6</v>
      </c>
    </row>
    <row r="453" spans="1:8" x14ac:dyDescent="0.25">
      <c r="A453" s="22">
        <v>41893.288194444445</v>
      </c>
      <c r="B453" s="23">
        <v>400.2</v>
      </c>
      <c r="C453">
        <v>94.3</v>
      </c>
      <c r="D453">
        <v>9.5</v>
      </c>
      <c r="E453">
        <v>5.8</v>
      </c>
      <c r="G453" s="23">
        <f t="shared" si="33"/>
        <v>11</v>
      </c>
      <c r="H453" s="23">
        <f t="shared" si="34"/>
        <v>6</v>
      </c>
    </row>
    <row r="454" spans="1:8" x14ac:dyDescent="0.25">
      <c r="A454" s="22">
        <v>41893.291666666664</v>
      </c>
      <c r="B454" s="23">
        <v>406.9</v>
      </c>
      <c r="C454">
        <v>94.4</v>
      </c>
      <c r="D454">
        <v>9.5</v>
      </c>
      <c r="E454">
        <v>5.8</v>
      </c>
      <c r="G454" s="23">
        <f t="shared" ref="G454:G517" si="35">+DAY(A454)</f>
        <v>11</v>
      </c>
      <c r="H454" s="23">
        <f t="shared" ref="H454:H517" si="36">+HOUR(A454)</f>
        <v>7</v>
      </c>
    </row>
    <row r="455" spans="1:8" x14ac:dyDescent="0.25">
      <c r="A455" s="22">
        <v>41893.295138888891</v>
      </c>
      <c r="B455" s="23">
        <v>407.1</v>
      </c>
      <c r="C455">
        <v>94.2</v>
      </c>
      <c r="D455">
        <v>9.5</v>
      </c>
      <c r="E455">
        <v>5.8</v>
      </c>
      <c r="G455" s="23">
        <f t="shared" si="35"/>
        <v>11</v>
      </c>
      <c r="H455" s="23">
        <f t="shared" si="36"/>
        <v>7</v>
      </c>
    </row>
    <row r="456" spans="1:8" x14ac:dyDescent="0.25">
      <c r="A456" s="22">
        <v>41893.298611111109</v>
      </c>
      <c r="B456" s="23">
        <v>408.1</v>
      </c>
      <c r="C456">
        <v>94.3</v>
      </c>
      <c r="D456">
        <v>9.5</v>
      </c>
      <c r="E456">
        <v>5.8</v>
      </c>
      <c r="G456" s="23">
        <f t="shared" si="35"/>
        <v>11</v>
      </c>
      <c r="H456" s="23">
        <f t="shared" si="36"/>
        <v>7</v>
      </c>
    </row>
    <row r="457" spans="1:8" x14ac:dyDescent="0.25">
      <c r="A457" s="22">
        <v>41893.302083333336</v>
      </c>
      <c r="B457" s="23">
        <v>406</v>
      </c>
      <c r="C457">
        <v>94.3</v>
      </c>
      <c r="D457">
        <v>9.5</v>
      </c>
      <c r="E457">
        <v>5.8</v>
      </c>
      <c r="G457" s="23">
        <f t="shared" si="35"/>
        <v>11</v>
      </c>
      <c r="H457" s="23">
        <f t="shared" si="36"/>
        <v>7</v>
      </c>
    </row>
    <row r="458" spans="1:8" x14ac:dyDescent="0.25">
      <c r="A458" s="22">
        <v>41893.305555555555</v>
      </c>
      <c r="B458" s="23">
        <v>403.1</v>
      </c>
      <c r="C458">
        <v>94.3</v>
      </c>
      <c r="D458">
        <v>9.4</v>
      </c>
      <c r="E458">
        <v>5.8</v>
      </c>
      <c r="G458" s="23">
        <f t="shared" si="35"/>
        <v>11</v>
      </c>
      <c r="H458" s="23">
        <f t="shared" si="36"/>
        <v>7</v>
      </c>
    </row>
    <row r="459" spans="1:8" x14ac:dyDescent="0.25">
      <c r="A459" s="22">
        <v>41893.309027777781</v>
      </c>
      <c r="B459" s="23">
        <v>402</v>
      </c>
      <c r="C459">
        <v>94.3</v>
      </c>
      <c r="D459">
        <v>9.4</v>
      </c>
      <c r="E459">
        <v>5.8</v>
      </c>
      <c r="G459" s="23">
        <f t="shared" si="35"/>
        <v>11</v>
      </c>
      <c r="H459" s="23">
        <f t="shared" si="36"/>
        <v>7</v>
      </c>
    </row>
    <row r="460" spans="1:8" x14ac:dyDescent="0.25">
      <c r="A460" s="22">
        <v>41893.3125</v>
      </c>
      <c r="B460" s="23">
        <v>401.4</v>
      </c>
      <c r="C460">
        <v>94.1</v>
      </c>
      <c r="D460">
        <v>9.4</v>
      </c>
      <c r="E460">
        <v>5.8</v>
      </c>
      <c r="G460" s="23">
        <f t="shared" si="35"/>
        <v>11</v>
      </c>
      <c r="H460" s="23">
        <f t="shared" si="36"/>
        <v>7</v>
      </c>
    </row>
    <row r="461" spans="1:8" x14ac:dyDescent="0.25">
      <c r="A461" s="22">
        <v>41893.315972222219</v>
      </c>
      <c r="B461" s="23">
        <v>403.8</v>
      </c>
      <c r="C461">
        <v>94.2</v>
      </c>
      <c r="D461">
        <v>9.5</v>
      </c>
      <c r="E461">
        <v>5.8</v>
      </c>
      <c r="G461" s="23">
        <f t="shared" si="35"/>
        <v>11</v>
      </c>
      <c r="H461" s="23">
        <f t="shared" si="36"/>
        <v>7</v>
      </c>
    </row>
    <row r="462" spans="1:8" x14ac:dyDescent="0.25">
      <c r="A462" s="22">
        <v>41893.319444444445</v>
      </c>
      <c r="B462" s="23">
        <v>402.7</v>
      </c>
      <c r="C462">
        <v>94.4</v>
      </c>
      <c r="D462">
        <v>9.4</v>
      </c>
      <c r="E462">
        <v>5.8</v>
      </c>
      <c r="G462" s="23">
        <f t="shared" si="35"/>
        <v>11</v>
      </c>
      <c r="H462" s="23">
        <f t="shared" si="36"/>
        <v>7</v>
      </c>
    </row>
    <row r="463" spans="1:8" x14ac:dyDescent="0.25">
      <c r="A463" s="22">
        <v>41893.322916666664</v>
      </c>
      <c r="B463" s="23">
        <v>401.6</v>
      </c>
      <c r="C463">
        <v>94.2</v>
      </c>
      <c r="D463">
        <v>9.4</v>
      </c>
      <c r="E463">
        <v>5.8</v>
      </c>
      <c r="G463" s="23">
        <f t="shared" si="35"/>
        <v>11</v>
      </c>
      <c r="H463" s="23">
        <f t="shared" si="36"/>
        <v>7</v>
      </c>
    </row>
    <row r="464" spans="1:8" x14ac:dyDescent="0.25">
      <c r="A464" s="22">
        <v>41893.326388888891</v>
      </c>
      <c r="B464" s="23">
        <v>402.3</v>
      </c>
      <c r="C464">
        <v>94.2</v>
      </c>
      <c r="D464">
        <v>9.5</v>
      </c>
      <c r="E464">
        <v>5.8</v>
      </c>
      <c r="G464" s="23">
        <f t="shared" si="35"/>
        <v>11</v>
      </c>
      <c r="H464" s="23">
        <f t="shared" si="36"/>
        <v>7</v>
      </c>
    </row>
    <row r="465" spans="1:8" x14ac:dyDescent="0.25">
      <c r="A465" s="22">
        <v>41893.329861111109</v>
      </c>
      <c r="B465" s="23">
        <v>404.9</v>
      </c>
      <c r="C465">
        <v>94.2</v>
      </c>
      <c r="D465">
        <v>9.5</v>
      </c>
      <c r="E465">
        <v>5.8</v>
      </c>
      <c r="G465" s="23">
        <f t="shared" si="35"/>
        <v>11</v>
      </c>
      <c r="H465" s="23">
        <f t="shared" si="36"/>
        <v>7</v>
      </c>
    </row>
    <row r="466" spans="1:8" x14ac:dyDescent="0.25">
      <c r="A466" s="22">
        <v>41893.333333333336</v>
      </c>
      <c r="B466" s="23">
        <v>406.3</v>
      </c>
      <c r="C466">
        <v>94.3</v>
      </c>
      <c r="D466">
        <v>9.5</v>
      </c>
      <c r="E466">
        <v>5.8</v>
      </c>
      <c r="G466" s="23">
        <f t="shared" si="35"/>
        <v>11</v>
      </c>
      <c r="H466" s="23">
        <f t="shared" si="36"/>
        <v>8</v>
      </c>
    </row>
    <row r="467" spans="1:8" x14ac:dyDescent="0.25">
      <c r="A467" s="22">
        <v>41893.336805555555</v>
      </c>
      <c r="B467" s="23">
        <v>412.7</v>
      </c>
      <c r="C467">
        <v>94.3</v>
      </c>
      <c r="D467">
        <v>9.5</v>
      </c>
      <c r="E467">
        <v>5.8</v>
      </c>
      <c r="G467" s="23">
        <f t="shared" si="35"/>
        <v>11</v>
      </c>
      <c r="H467" s="23">
        <f t="shared" si="36"/>
        <v>8</v>
      </c>
    </row>
    <row r="468" spans="1:8" x14ac:dyDescent="0.25">
      <c r="A468" s="22">
        <v>41893.340277777781</v>
      </c>
      <c r="B468" s="23">
        <v>414.2</v>
      </c>
      <c r="C468">
        <v>94.3</v>
      </c>
      <c r="D468">
        <v>9.6</v>
      </c>
      <c r="E468">
        <v>5.8</v>
      </c>
      <c r="G468" s="23">
        <f t="shared" si="35"/>
        <v>11</v>
      </c>
      <c r="H468" s="23">
        <f t="shared" si="36"/>
        <v>8</v>
      </c>
    </row>
    <row r="469" spans="1:8" x14ac:dyDescent="0.25">
      <c r="A469" s="22">
        <v>41893.34375</v>
      </c>
      <c r="B469" s="23">
        <v>414.9</v>
      </c>
      <c r="C469">
        <v>94.2</v>
      </c>
      <c r="D469">
        <v>9.6</v>
      </c>
      <c r="E469">
        <v>5.8</v>
      </c>
      <c r="G469" s="23">
        <f t="shared" si="35"/>
        <v>11</v>
      </c>
      <c r="H469" s="23">
        <f t="shared" si="36"/>
        <v>8</v>
      </c>
    </row>
    <row r="470" spans="1:8" x14ac:dyDescent="0.25">
      <c r="A470" s="22">
        <v>41893.347222222219</v>
      </c>
      <c r="B470" s="23">
        <v>418.3</v>
      </c>
      <c r="C470">
        <v>94.2</v>
      </c>
      <c r="D470">
        <v>9.6</v>
      </c>
      <c r="E470">
        <v>5.8</v>
      </c>
      <c r="G470" s="23">
        <f t="shared" si="35"/>
        <v>11</v>
      </c>
      <c r="H470" s="23">
        <f t="shared" si="36"/>
        <v>8</v>
      </c>
    </row>
    <row r="471" spans="1:8" x14ac:dyDescent="0.25">
      <c r="A471" s="22">
        <v>41893.350694444445</v>
      </c>
      <c r="B471" s="23">
        <v>421.2</v>
      </c>
      <c r="C471">
        <v>94.3</v>
      </c>
      <c r="D471">
        <v>9.6</v>
      </c>
      <c r="E471">
        <v>5.8</v>
      </c>
      <c r="G471" s="23">
        <f t="shared" si="35"/>
        <v>11</v>
      </c>
      <c r="H471" s="23">
        <f t="shared" si="36"/>
        <v>8</v>
      </c>
    </row>
    <row r="472" spans="1:8" x14ac:dyDescent="0.25">
      <c r="A472" s="22">
        <v>41893.354166666664</v>
      </c>
      <c r="B472" s="23">
        <v>421.9</v>
      </c>
      <c r="C472">
        <v>94.2</v>
      </c>
      <c r="D472">
        <v>9.6</v>
      </c>
      <c r="E472">
        <v>5.8</v>
      </c>
      <c r="G472" s="23">
        <f t="shared" si="35"/>
        <v>11</v>
      </c>
      <c r="H472" s="23">
        <f t="shared" si="36"/>
        <v>8</v>
      </c>
    </row>
    <row r="473" spans="1:8" x14ac:dyDescent="0.25">
      <c r="A473" s="22">
        <v>41893.357638888891</v>
      </c>
      <c r="B473" s="23">
        <v>423.8</v>
      </c>
      <c r="C473">
        <v>94.2</v>
      </c>
      <c r="D473">
        <v>9.6</v>
      </c>
      <c r="E473">
        <v>5.8</v>
      </c>
      <c r="G473" s="23">
        <f t="shared" si="35"/>
        <v>11</v>
      </c>
      <c r="H473" s="23">
        <f t="shared" si="36"/>
        <v>8</v>
      </c>
    </row>
    <row r="474" spans="1:8" x14ac:dyDescent="0.25">
      <c r="A474" s="22">
        <v>41893.361111111109</v>
      </c>
      <c r="B474" s="23">
        <v>423</v>
      </c>
      <c r="C474">
        <v>94.3</v>
      </c>
      <c r="D474">
        <v>9.6</v>
      </c>
      <c r="E474">
        <v>5.8</v>
      </c>
      <c r="G474" s="23">
        <f t="shared" si="35"/>
        <v>11</v>
      </c>
      <c r="H474" s="23">
        <f t="shared" si="36"/>
        <v>8</v>
      </c>
    </row>
    <row r="475" spans="1:8" x14ac:dyDescent="0.25">
      <c r="A475" s="22">
        <v>41893.364583333336</v>
      </c>
      <c r="B475" s="23">
        <v>423.5</v>
      </c>
      <c r="C475">
        <v>94.3</v>
      </c>
      <c r="D475">
        <v>9.6</v>
      </c>
      <c r="E475">
        <v>5.8</v>
      </c>
      <c r="G475" s="23">
        <f t="shared" si="35"/>
        <v>11</v>
      </c>
      <c r="H475" s="23">
        <f t="shared" si="36"/>
        <v>8</v>
      </c>
    </row>
    <row r="476" spans="1:8" x14ac:dyDescent="0.25">
      <c r="A476" s="22">
        <v>41893.368055555555</v>
      </c>
      <c r="B476" s="23">
        <v>425.2</v>
      </c>
      <c r="C476">
        <v>94.3</v>
      </c>
      <c r="D476">
        <v>9.6999999999999993</v>
      </c>
      <c r="E476">
        <v>5.8</v>
      </c>
      <c r="G476" s="23">
        <f t="shared" si="35"/>
        <v>11</v>
      </c>
      <c r="H476" s="23">
        <f t="shared" si="36"/>
        <v>8</v>
      </c>
    </row>
    <row r="477" spans="1:8" x14ac:dyDescent="0.25">
      <c r="A477" s="22">
        <v>41893.371527777781</v>
      </c>
      <c r="B477" s="23">
        <v>426.4</v>
      </c>
      <c r="C477">
        <v>94.2</v>
      </c>
      <c r="D477">
        <v>9.6999999999999993</v>
      </c>
      <c r="E477">
        <v>5.8</v>
      </c>
      <c r="G477" s="23">
        <f t="shared" si="35"/>
        <v>11</v>
      </c>
      <c r="H477" s="23">
        <f t="shared" si="36"/>
        <v>8</v>
      </c>
    </row>
    <row r="478" spans="1:8" x14ac:dyDescent="0.25">
      <c r="A478" s="22">
        <v>41893.375</v>
      </c>
      <c r="B478" s="23">
        <v>426.3</v>
      </c>
      <c r="C478">
        <v>94.3</v>
      </c>
      <c r="D478">
        <v>9.6999999999999993</v>
      </c>
      <c r="E478">
        <v>5.8</v>
      </c>
      <c r="G478" s="23">
        <f t="shared" si="35"/>
        <v>11</v>
      </c>
      <c r="H478" s="23">
        <f t="shared" si="36"/>
        <v>9</v>
      </c>
    </row>
    <row r="479" spans="1:8" x14ac:dyDescent="0.25">
      <c r="A479" s="22">
        <v>41893.378472222219</v>
      </c>
      <c r="B479" s="23">
        <v>425.8</v>
      </c>
      <c r="C479">
        <v>94.2</v>
      </c>
      <c r="D479">
        <v>9.6999999999999993</v>
      </c>
      <c r="E479">
        <v>5.8</v>
      </c>
      <c r="G479" s="23">
        <f t="shared" si="35"/>
        <v>11</v>
      </c>
      <c r="H479" s="23">
        <f t="shared" si="36"/>
        <v>9</v>
      </c>
    </row>
    <row r="480" spans="1:8" x14ac:dyDescent="0.25">
      <c r="A480" s="22">
        <v>41893.381944444445</v>
      </c>
      <c r="B480" s="23">
        <v>429.2</v>
      </c>
      <c r="C480">
        <v>94.3</v>
      </c>
      <c r="D480">
        <v>9.6999999999999993</v>
      </c>
      <c r="E480">
        <v>5.8</v>
      </c>
      <c r="G480" s="23">
        <f t="shared" si="35"/>
        <v>11</v>
      </c>
      <c r="H480" s="23">
        <f t="shared" si="36"/>
        <v>9</v>
      </c>
    </row>
    <row r="481" spans="1:8" x14ac:dyDescent="0.25">
      <c r="A481" s="22">
        <v>41893.385416666664</v>
      </c>
      <c r="B481" s="23">
        <v>437.6</v>
      </c>
      <c r="C481">
        <v>94.3</v>
      </c>
      <c r="D481">
        <v>9.8000000000000007</v>
      </c>
      <c r="E481">
        <v>5.8</v>
      </c>
      <c r="G481" s="23">
        <f t="shared" si="35"/>
        <v>11</v>
      </c>
      <c r="H481" s="23">
        <f t="shared" si="36"/>
        <v>9</v>
      </c>
    </row>
    <row r="482" spans="1:8" x14ac:dyDescent="0.25">
      <c r="A482" s="22">
        <v>41893.388888888891</v>
      </c>
      <c r="B482" s="23">
        <v>437.7</v>
      </c>
      <c r="C482">
        <v>94.2</v>
      </c>
      <c r="D482">
        <v>9.8000000000000007</v>
      </c>
      <c r="E482">
        <v>5.8</v>
      </c>
      <c r="G482" s="23">
        <f t="shared" si="35"/>
        <v>11</v>
      </c>
      <c r="H482" s="23">
        <f t="shared" si="36"/>
        <v>9</v>
      </c>
    </row>
    <row r="483" spans="1:8" x14ac:dyDescent="0.25">
      <c r="A483" s="22">
        <v>41893.392361111109</v>
      </c>
      <c r="B483" s="23">
        <v>442.2</v>
      </c>
      <c r="C483">
        <v>94.3</v>
      </c>
      <c r="D483">
        <v>9.8000000000000007</v>
      </c>
      <c r="E483">
        <v>5.8</v>
      </c>
      <c r="G483" s="23">
        <f t="shared" si="35"/>
        <v>11</v>
      </c>
      <c r="H483" s="23">
        <f t="shared" si="36"/>
        <v>9</v>
      </c>
    </row>
    <row r="484" spans="1:8" x14ac:dyDescent="0.25">
      <c r="A484" s="22">
        <v>41893.395833333336</v>
      </c>
      <c r="B484" s="23">
        <v>442.1</v>
      </c>
      <c r="C484">
        <v>94.3</v>
      </c>
      <c r="D484">
        <v>9.8000000000000007</v>
      </c>
      <c r="E484">
        <v>5.8</v>
      </c>
      <c r="G484" s="23">
        <f t="shared" si="35"/>
        <v>11</v>
      </c>
      <c r="H484" s="23">
        <f t="shared" si="36"/>
        <v>9</v>
      </c>
    </row>
    <row r="485" spans="1:8" x14ac:dyDescent="0.25">
      <c r="A485" s="22">
        <v>41893.399305555555</v>
      </c>
      <c r="B485" s="23">
        <v>440</v>
      </c>
      <c r="C485">
        <v>94.3</v>
      </c>
      <c r="D485">
        <v>9.8000000000000007</v>
      </c>
      <c r="E485">
        <v>5.8</v>
      </c>
      <c r="G485" s="23">
        <f t="shared" si="35"/>
        <v>11</v>
      </c>
      <c r="H485" s="23">
        <f t="shared" si="36"/>
        <v>9</v>
      </c>
    </row>
    <row r="486" spans="1:8" x14ac:dyDescent="0.25">
      <c r="A486" s="22">
        <v>41893.402777777781</v>
      </c>
      <c r="B486" s="23">
        <v>440.3</v>
      </c>
      <c r="C486">
        <v>94.3</v>
      </c>
      <c r="D486">
        <v>9.8000000000000007</v>
      </c>
      <c r="E486">
        <v>5.8</v>
      </c>
      <c r="G486" s="23">
        <f t="shared" si="35"/>
        <v>11</v>
      </c>
      <c r="H486" s="23">
        <f t="shared" si="36"/>
        <v>9</v>
      </c>
    </row>
    <row r="487" spans="1:8" x14ac:dyDescent="0.25">
      <c r="A487" s="22">
        <v>41893.40625</v>
      </c>
      <c r="B487" s="23">
        <v>438.7</v>
      </c>
      <c r="C487">
        <v>94.2</v>
      </c>
      <c r="D487">
        <v>9.8000000000000007</v>
      </c>
      <c r="E487">
        <v>5.8</v>
      </c>
      <c r="G487" s="23">
        <f t="shared" si="35"/>
        <v>11</v>
      </c>
      <c r="H487" s="23">
        <f t="shared" si="36"/>
        <v>9</v>
      </c>
    </row>
    <row r="488" spans="1:8" x14ac:dyDescent="0.25">
      <c r="A488" s="22">
        <v>41893.409722222219</v>
      </c>
      <c r="B488" s="23">
        <v>436.5</v>
      </c>
      <c r="C488">
        <v>94.3</v>
      </c>
      <c r="D488">
        <v>9.8000000000000007</v>
      </c>
      <c r="E488">
        <v>5.8</v>
      </c>
      <c r="G488" s="23">
        <f t="shared" si="35"/>
        <v>11</v>
      </c>
      <c r="H488" s="23">
        <f t="shared" si="36"/>
        <v>9</v>
      </c>
    </row>
    <row r="489" spans="1:8" x14ac:dyDescent="0.25">
      <c r="A489" s="22">
        <v>41893.413194444445</v>
      </c>
      <c r="B489" s="23">
        <v>436.7</v>
      </c>
      <c r="C489">
        <v>94.3</v>
      </c>
      <c r="D489">
        <v>9.8000000000000007</v>
      </c>
      <c r="E489">
        <v>5.8</v>
      </c>
      <c r="G489" s="23">
        <f t="shared" si="35"/>
        <v>11</v>
      </c>
      <c r="H489" s="23">
        <f t="shared" si="36"/>
        <v>9</v>
      </c>
    </row>
    <row r="490" spans="1:8" x14ac:dyDescent="0.25">
      <c r="A490" s="22">
        <v>41893.416666666664</v>
      </c>
      <c r="B490" s="23">
        <v>437.1</v>
      </c>
      <c r="C490">
        <v>94.2</v>
      </c>
      <c r="D490">
        <v>9.8000000000000007</v>
      </c>
      <c r="E490">
        <v>5.8</v>
      </c>
      <c r="G490" s="23">
        <f t="shared" si="35"/>
        <v>11</v>
      </c>
      <c r="H490" s="23">
        <f t="shared" si="36"/>
        <v>10</v>
      </c>
    </row>
    <row r="491" spans="1:8" x14ac:dyDescent="0.25">
      <c r="A491" s="22">
        <v>41893.420138888891</v>
      </c>
      <c r="B491" s="23">
        <v>437.4</v>
      </c>
      <c r="C491">
        <v>94.2</v>
      </c>
      <c r="D491">
        <v>9.8000000000000007</v>
      </c>
      <c r="E491">
        <v>5.8</v>
      </c>
      <c r="G491" s="23">
        <f t="shared" si="35"/>
        <v>11</v>
      </c>
      <c r="H491" s="23">
        <f t="shared" si="36"/>
        <v>10</v>
      </c>
    </row>
    <row r="492" spans="1:8" x14ac:dyDescent="0.25">
      <c r="A492" s="22">
        <v>41893.423611111109</v>
      </c>
      <c r="B492" s="23">
        <v>434.2</v>
      </c>
      <c r="C492">
        <v>94.3</v>
      </c>
      <c r="D492">
        <v>9.6999999999999993</v>
      </c>
      <c r="E492">
        <v>5.8</v>
      </c>
      <c r="G492" s="23">
        <f t="shared" si="35"/>
        <v>11</v>
      </c>
      <c r="H492" s="23">
        <f t="shared" si="36"/>
        <v>10</v>
      </c>
    </row>
    <row r="493" spans="1:8" x14ac:dyDescent="0.25">
      <c r="A493" s="22">
        <v>41893.427083333336</v>
      </c>
      <c r="B493" s="23">
        <v>432.6</v>
      </c>
      <c r="C493">
        <v>94.3</v>
      </c>
      <c r="D493">
        <v>9.6999999999999993</v>
      </c>
      <c r="E493">
        <v>5.8</v>
      </c>
      <c r="G493" s="23">
        <f t="shared" si="35"/>
        <v>11</v>
      </c>
      <c r="H493" s="23">
        <f t="shared" si="36"/>
        <v>10</v>
      </c>
    </row>
    <row r="494" spans="1:8" x14ac:dyDescent="0.25">
      <c r="A494" s="22">
        <v>41893.430555555555</v>
      </c>
      <c r="B494" s="23">
        <v>435.1</v>
      </c>
      <c r="C494">
        <v>94.2</v>
      </c>
      <c r="D494">
        <v>9.8000000000000007</v>
      </c>
      <c r="E494">
        <v>5.8</v>
      </c>
      <c r="G494" s="23">
        <f t="shared" si="35"/>
        <v>11</v>
      </c>
      <c r="H494" s="23">
        <f t="shared" si="36"/>
        <v>10</v>
      </c>
    </row>
    <row r="495" spans="1:8" x14ac:dyDescent="0.25">
      <c r="A495" s="22">
        <v>41893.434027777781</v>
      </c>
      <c r="B495" s="23">
        <v>440.3</v>
      </c>
      <c r="C495">
        <v>94.2</v>
      </c>
      <c r="D495">
        <v>9.8000000000000007</v>
      </c>
      <c r="E495">
        <v>5.8</v>
      </c>
      <c r="G495" s="23">
        <f t="shared" si="35"/>
        <v>11</v>
      </c>
      <c r="H495" s="23">
        <f t="shared" si="36"/>
        <v>10</v>
      </c>
    </row>
    <row r="496" spans="1:8" x14ac:dyDescent="0.25">
      <c r="A496" s="22">
        <v>41893.4375</v>
      </c>
      <c r="B496" s="23">
        <v>421.6</v>
      </c>
      <c r="C496">
        <v>94.2</v>
      </c>
      <c r="D496">
        <v>9.6</v>
      </c>
      <c r="E496">
        <v>5.7</v>
      </c>
      <c r="G496" s="23">
        <f t="shared" si="35"/>
        <v>11</v>
      </c>
      <c r="H496" s="23">
        <f t="shared" si="36"/>
        <v>10</v>
      </c>
    </row>
    <row r="497" spans="1:8" x14ac:dyDescent="0.25">
      <c r="A497" s="22">
        <v>41893.440972222219</v>
      </c>
      <c r="B497" s="23">
        <v>405.1</v>
      </c>
      <c r="C497">
        <v>94.2</v>
      </c>
      <c r="D497">
        <v>9.4</v>
      </c>
      <c r="E497">
        <v>5.8</v>
      </c>
      <c r="G497" s="23">
        <f t="shared" si="35"/>
        <v>11</v>
      </c>
      <c r="H497" s="23">
        <f t="shared" si="36"/>
        <v>10</v>
      </c>
    </row>
    <row r="498" spans="1:8" x14ac:dyDescent="0.25">
      <c r="A498" s="22">
        <v>41893.444444444445</v>
      </c>
      <c r="B498" s="23">
        <v>400</v>
      </c>
      <c r="C498">
        <v>94.1</v>
      </c>
      <c r="D498">
        <v>9.4</v>
      </c>
      <c r="E498">
        <v>5.8</v>
      </c>
      <c r="G498" s="23">
        <f t="shared" si="35"/>
        <v>11</v>
      </c>
      <c r="H498" s="23">
        <f t="shared" si="36"/>
        <v>10</v>
      </c>
    </row>
    <row r="499" spans="1:8" x14ac:dyDescent="0.25">
      <c r="A499" s="22">
        <v>41893.447916666664</v>
      </c>
      <c r="B499" s="23">
        <v>383.3</v>
      </c>
      <c r="C499">
        <v>94.1</v>
      </c>
      <c r="D499">
        <v>9.1999999999999993</v>
      </c>
      <c r="E499">
        <v>5.7</v>
      </c>
      <c r="G499" s="23">
        <f t="shared" si="35"/>
        <v>11</v>
      </c>
      <c r="H499" s="23">
        <f t="shared" si="36"/>
        <v>10</v>
      </c>
    </row>
    <row r="500" spans="1:8" x14ac:dyDescent="0.25">
      <c r="A500" s="22">
        <v>41893.451388888891</v>
      </c>
      <c r="B500" s="23">
        <v>382.2</v>
      </c>
      <c r="C500">
        <v>94.1</v>
      </c>
      <c r="D500">
        <v>9.3000000000000007</v>
      </c>
      <c r="E500">
        <v>5.8</v>
      </c>
      <c r="G500" s="23">
        <f t="shared" si="35"/>
        <v>11</v>
      </c>
      <c r="H500" s="23">
        <f t="shared" si="36"/>
        <v>10</v>
      </c>
    </row>
    <row r="501" spans="1:8" x14ac:dyDescent="0.25">
      <c r="A501" s="22">
        <v>41893.454861111109</v>
      </c>
      <c r="B501" s="23">
        <v>382.8</v>
      </c>
      <c r="C501">
        <v>94.2</v>
      </c>
      <c r="D501">
        <v>9.3000000000000007</v>
      </c>
      <c r="E501">
        <v>5.8</v>
      </c>
      <c r="G501" s="23">
        <f t="shared" si="35"/>
        <v>11</v>
      </c>
      <c r="H501" s="23">
        <f t="shared" si="36"/>
        <v>10</v>
      </c>
    </row>
    <row r="502" spans="1:8" x14ac:dyDescent="0.25">
      <c r="A502" s="22">
        <v>41893.458333333336</v>
      </c>
      <c r="B502" s="23">
        <v>377.1</v>
      </c>
      <c r="C502">
        <v>94.2</v>
      </c>
      <c r="D502">
        <v>9.1999999999999993</v>
      </c>
      <c r="E502">
        <v>5.8</v>
      </c>
      <c r="G502" s="23">
        <f t="shared" si="35"/>
        <v>11</v>
      </c>
      <c r="H502" s="23">
        <f t="shared" si="36"/>
        <v>11</v>
      </c>
    </row>
    <row r="503" spans="1:8" x14ac:dyDescent="0.25">
      <c r="A503" s="22">
        <v>41893.461805555555</v>
      </c>
      <c r="B503" s="23">
        <v>373.9</v>
      </c>
      <c r="C503">
        <v>94.1</v>
      </c>
      <c r="D503">
        <v>9.1999999999999993</v>
      </c>
      <c r="E503">
        <v>5.8</v>
      </c>
      <c r="G503" s="23">
        <f t="shared" si="35"/>
        <v>11</v>
      </c>
      <c r="H503" s="23">
        <f t="shared" si="36"/>
        <v>11</v>
      </c>
    </row>
    <row r="504" spans="1:8" x14ac:dyDescent="0.25">
      <c r="A504" s="22">
        <v>41893.465277777781</v>
      </c>
      <c r="B504" s="23">
        <v>375.1</v>
      </c>
      <c r="C504">
        <v>94.1</v>
      </c>
      <c r="D504">
        <v>9.1999999999999993</v>
      </c>
      <c r="E504">
        <v>5.8</v>
      </c>
      <c r="G504" s="23">
        <f t="shared" si="35"/>
        <v>11</v>
      </c>
      <c r="H504" s="23">
        <f t="shared" si="36"/>
        <v>11</v>
      </c>
    </row>
    <row r="505" spans="1:8" x14ac:dyDescent="0.25">
      <c r="A505" s="22">
        <v>41893.46875</v>
      </c>
      <c r="B505" s="23">
        <v>373.5</v>
      </c>
      <c r="C505">
        <v>94.1</v>
      </c>
      <c r="D505">
        <v>9.1999999999999993</v>
      </c>
      <c r="E505">
        <v>5.8</v>
      </c>
      <c r="G505" s="23">
        <f t="shared" si="35"/>
        <v>11</v>
      </c>
      <c r="H505" s="23">
        <f t="shared" si="36"/>
        <v>11</v>
      </c>
    </row>
    <row r="506" spans="1:8" x14ac:dyDescent="0.25">
      <c r="A506" s="22">
        <v>41893.472222222219</v>
      </c>
      <c r="B506">
        <v>377.4</v>
      </c>
      <c r="C506">
        <v>94.3</v>
      </c>
      <c r="D506">
        <v>9.1999999999999993</v>
      </c>
      <c r="E506">
        <v>5.8</v>
      </c>
      <c r="G506" s="23">
        <f t="shared" si="35"/>
        <v>11</v>
      </c>
      <c r="H506" s="23">
        <f t="shared" si="36"/>
        <v>11</v>
      </c>
    </row>
    <row r="507" spans="1:8" x14ac:dyDescent="0.25">
      <c r="A507" s="22">
        <v>41893.475694444445</v>
      </c>
      <c r="B507">
        <v>377.8</v>
      </c>
      <c r="C507">
        <v>94.2</v>
      </c>
      <c r="D507">
        <v>9.1999999999999993</v>
      </c>
      <c r="E507">
        <v>5.8</v>
      </c>
      <c r="G507" s="23">
        <f t="shared" si="35"/>
        <v>11</v>
      </c>
      <c r="H507" s="23">
        <f t="shared" si="36"/>
        <v>11</v>
      </c>
    </row>
    <row r="508" spans="1:8" x14ac:dyDescent="0.25">
      <c r="A508" s="22">
        <v>41893.479166666664</v>
      </c>
      <c r="B508">
        <v>388</v>
      </c>
      <c r="C508">
        <v>94.2</v>
      </c>
      <c r="D508">
        <v>9.3000000000000007</v>
      </c>
      <c r="E508">
        <v>5.8</v>
      </c>
      <c r="G508" s="23">
        <f t="shared" si="35"/>
        <v>11</v>
      </c>
      <c r="H508" s="23">
        <f t="shared" si="36"/>
        <v>11</v>
      </c>
    </row>
    <row r="509" spans="1:8" x14ac:dyDescent="0.25">
      <c r="A509" s="22">
        <v>41893.482638888891</v>
      </c>
      <c r="B509">
        <v>388.8</v>
      </c>
      <c r="C509">
        <v>94.3</v>
      </c>
      <c r="D509">
        <v>9.3000000000000007</v>
      </c>
      <c r="E509">
        <v>5.8</v>
      </c>
      <c r="G509" s="23">
        <f t="shared" si="35"/>
        <v>11</v>
      </c>
      <c r="H509" s="23">
        <f t="shared" si="36"/>
        <v>11</v>
      </c>
    </row>
    <row r="510" spans="1:8" x14ac:dyDescent="0.25">
      <c r="A510" s="22">
        <v>41893.486111111109</v>
      </c>
      <c r="B510">
        <v>389.8</v>
      </c>
      <c r="C510">
        <v>94.3</v>
      </c>
      <c r="D510">
        <v>9.3000000000000007</v>
      </c>
      <c r="E510">
        <v>5.8</v>
      </c>
      <c r="G510" s="23">
        <f t="shared" si="35"/>
        <v>11</v>
      </c>
      <c r="H510" s="23">
        <f t="shared" si="36"/>
        <v>11</v>
      </c>
    </row>
    <row r="511" spans="1:8" x14ac:dyDescent="0.25">
      <c r="A511" s="22">
        <v>41893.489583333336</v>
      </c>
      <c r="B511">
        <v>388.6</v>
      </c>
      <c r="C511">
        <v>94.3</v>
      </c>
      <c r="D511">
        <v>9.3000000000000007</v>
      </c>
      <c r="E511">
        <v>5.8</v>
      </c>
      <c r="G511" s="23">
        <f t="shared" si="35"/>
        <v>11</v>
      </c>
      <c r="H511" s="23">
        <f t="shared" si="36"/>
        <v>11</v>
      </c>
    </row>
    <row r="512" spans="1:8" x14ac:dyDescent="0.25">
      <c r="A512" s="22">
        <v>41893.493055555555</v>
      </c>
      <c r="B512">
        <v>386.3</v>
      </c>
      <c r="C512">
        <v>94.3</v>
      </c>
      <c r="D512">
        <v>9.3000000000000007</v>
      </c>
      <c r="E512">
        <v>5.8</v>
      </c>
      <c r="G512" s="23">
        <f t="shared" si="35"/>
        <v>11</v>
      </c>
      <c r="H512" s="23">
        <f t="shared" si="36"/>
        <v>11</v>
      </c>
    </row>
    <row r="513" spans="1:8" x14ac:dyDescent="0.25">
      <c r="A513" s="22">
        <v>41893.496527777781</v>
      </c>
      <c r="B513">
        <v>385.5</v>
      </c>
      <c r="C513">
        <v>94.2</v>
      </c>
      <c r="D513">
        <v>9.3000000000000007</v>
      </c>
      <c r="E513">
        <v>5.8</v>
      </c>
      <c r="G513" s="23">
        <f t="shared" si="35"/>
        <v>11</v>
      </c>
      <c r="H513" s="23">
        <f t="shared" si="36"/>
        <v>11</v>
      </c>
    </row>
    <row r="514" spans="1:8" x14ac:dyDescent="0.25">
      <c r="A514" s="22">
        <v>41893.5</v>
      </c>
      <c r="B514">
        <v>387.6</v>
      </c>
      <c r="C514">
        <v>94.3</v>
      </c>
      <c r="D514">
        <v>9.3000000000000007</v>
      </c>
      <c r="E514">
        <v>5.8</v>
      </c>
      <c r="G514" s="23">
        <f t="shared" si="35"/>
        <v>11</v>
      </c>
      <c r="H514" s="23">
        <f t="shared" si="36"/>
        <v>12</v>
      </c>
    </row>
    <row r="515" spans="1:8" x14ac:dyDescent="0.25">
      <c r="A515" s="22">
        <v>41893.503472222219</v>
      </c>
      <c r="B515">
        <v>386</v>
      </c>
      <c r="C515">
        <v>94.3</v>
      </c>
      <c r="D515">
        <v>9.3000000000000007</v>
      </c>
      <c r="E515">
        <v>5.8</v>
      </c>
      <c r="G515" s="23">
        <f t="shared" si="35"/>
        <v>11</v>
      </c>
      <c r="H515" s="23">
        <f t="shared" si="36"/>
        <v>12</v>
      </c>
    </row>
    <row r="516" spans="1:8" x14ac:dyDescent="0.25">
      <c r="A516" s="22">
        <v>41893.506944444445</v>
      </c>
      <c r="B516">
        <v>381.5</v>
      </c>
      <c r="C516">
        <v>94.2</v>
      </c>
      <c r="D516">
        <v>9.1999999999999993</v>
      </c>
      <c r="E516">
        <v>5.8</v>
      </c>
      <c r="G516" s="23">
        <f t="shared" si="35"/>
        <v>11</v>
      </c>
      <c r="H516" s="23">
        <f t="shared" si="36"/>
        <v>12</v>
      </c>
    </row>
    <row r="517" spans="1:8" x14ac:dyDescent="0.25">
      <c r="A517" s="22">
        <v>41893.510416666664</v>
      </c>
      <c r="B517">
        <v>400.8</v>
      </c>
      <c r="C517">
        <v>94.1</v>
      </c>
      <c r="D517">
        <v>9.5</v>
      </c>
      <c r="E517">
        <v>5.8</v>
      </c>
      <c r="G517" s="23">
        <f t="shared" si="35"/>
        <v>11</v>
      </c>
      <c r="H517" s="23">
        <f t="shared" si="36"/>
        <v>12</v>
      </c>
    </row>
    <row r="518" spans="1:8" x14ac:dyDescent="0.25">
      <c r="A518" s="22">
        <v>41893.513888888891</v>
      </c>
      <c r="B518">
        <v>425.5</v>
      </c>
      <c r="C518">
        <v>94.3</v>
      </c>
      <c r="D518">
        <v>9.6999999999999993</v>
      </c>
      <c r="E518">
        <v>5.8</v>
      </c>
      <c r="G518" s="23">
        <f t="shared" ref="G518:G581" si="37">+DAY(A518)</f>
        <v>11</v>
      </c>
      <c r="H518" s="23">
        <f t="shared" ref="H518:H581" si="38">+HOUR(A518)</f>
        <v>12</v>
      </c>
    </row>
    <row r="519" spans="1:8" x14ac:dyDescent="0.25">
      <c r="A519" s="22">
        <v>41893.517361111109</v>
      </c>
      <c r="B519">
        <v>431.9</v>
      </c>
      <c r="C519">
        <v>94.3</v>
      </c>
      <c r="D519">
        <v>9.6999999999999993</v>
      </c>
      <c r="E519">
        <v>5.8</v>
      </c>
      <c r="G519" s="23">
        <f t="shared" si="37"/>
        <v>11</v>
      </c>
      <c r="H519" s="23">
        <f t="shared" si="38"/>
        <v>12</v>
      </c>
    </row>
    <row r="520" spans="1:8" x14ac:dyDescent="0.25">
      <c r="A520" s="22">
        <v>41893.520833333336</v>
      </c>
      <c r="B520">
        <v>436</v>
      </c>
      <c r="C520">
        <v>94.2</v>
      </c>
      <c r="D520">
        <v>9.8000000000000007</v>
      </c>
      <c r="E520">
        <v>5.8</v>
      </c>
      <c r="G520" s="23">
        <f t="shared" si="37"/>
        <v>11</v>
      </c>
      <c r="H520" s="23">
        <f t="shared" si="38"/>
        <v>12</v>
      </c>
    </row>
    <row r="521" spans="1:8" x14ac:dyDescent="0.25">
      <c r="A521" s="22">
        <v>41893.524305555555</v>
      </c>
      <c r="B521">
        <v>442.2</v>
      </c>
      <c r="C521">
        <v>94.2</v>
      </c>
      <c r="D521">
        <v>9.8000000000000007</v>
      </c>
      <c r="E521">
        <v>5.8</v>
      </c>
      <c r="G521" s="23">
        <f t="shared" si="37"/>
        <v>11</v>
      </c>
      <c r="H521" s="23">
        <f t="shared" si="38"/>
        <v>12</v>
      </c>
    </row>
    <row r="522" spans="1:8" x14ac:dyDescent="0.25">
      <c r="A522" s="22">
        <v>41893.527777777781</v>
      </c>
      <c r="B522">
        <v>454.1</v>
      </c>
      <c r="C522">
        <v>94.2</v>
      </c>
      <c r="D522">
        <v>10</v>
      </c>
      <c r="E522">
        <v>5.8</v>
      </c>
      <c r="G522" s="23">
        <f t="shared" si="37"/>
        <v>11</v>
      </c>
      <c r="H522" s="23">
        <f t="shared" si="38"/>
        <v>12</v>
      </c>
    </row>
    <row r="523" spans="1:8" x14ac:dyDescent="0.25">
      <c r="A523" s="22">
        <v>41893.53125</v>
      </c>
      <c r="B523">
        <v>465</v>
      </c>
      <c r="C523">
        <v>94.3</v>
      </c>
      <c r="D523">
        <v>10.1</v>
      </c>
      <c r="E523">
        <v>5.8</v>
      </c>
      <c r="G523" s="23">
        <f t="shared" si="37"/>
        <v>11</v>
      </c>
      <c r="H523" s="23">
        <f t="shared" si="38"/>
        <v>12</v>
      </c>
    </row>
    <row r="524" spans="1:8" x14ac:dyDescent="0.25">
      <c r="A524" s="22">
        <v>41893.534722222219</v>
      </c>
      <c r="B524">
        <v>467.1</v>
      </c>
      <c r="C524">
        <v>94.3</v>
      </c>
      <c r="D524">
        <v>10.1</v>
      </c>
      <c r="E524">
        <v>5.8</v>
      </c>
      <c r="G524" s="23">
        <f t="shared" si="37"/>
        <v>11</v>
      </c>
      <c r="H524" s="23">
        <f t="shared" si="38"/>
        <v>12</v>
      </c>
    </row>
    <row r="525" spans="1:8" x14ac:dyDescent="0.25">
      <c r="A525" s="22">
        <v>41893.538194444445</v>
      </c>
      <c r="B525">
        <v>467.5</v>
      </c>
      <c r="C525">
        <v>94.3</v>
      </c>
      <c r="D525">
        <v>10.1</v>
      </c>
      <c r="E525">
        <v>5.8</v>
      </c>
      <c r="G525" s="23">
        <f t="shared" si="37"/>
        <v>11</v>
      </c>
      <c r="H525" s="23">
        <f t="shared" si="38"/>
        <v>12</v>
      </c>
    </row>
    <row r="526" spans="1:8" x14ac:dyDescent="0.25">
      <c r="A526" s="22">
        <v>41893.541666666664</v>
      </c>
      <c r="B526">
        <v>468.5</v>
      </c>
      <c r="C526">
        <v>94.4</v>
      </c>
      <c r="D526">
        <v>10.199999999999999</v>
      </c>
      <c r="E526">
        <v>5.9</v>
      </c>
      <c r="G526" s="23">
        <f t="shared" si="37"/>
        <v>11</v>
      </c>
      <c r="H526" s="23">
        <f t="shared" si="38"/>
        <v>13</v>
      </c>
    </row>
    <row r="527" spans="1:8" x14ac:dyDescent="0.25">
      <c r="A527" s="22">
        <v>41893.545138888891</v>
      </c>
      <c r="B527">
        <v>467.8</v>
      </c>
      <c r="C527">
        <v>94.4</v>
      </c>
      <c r="D527">
        <v>10.199999999999999</v>
      </c>
      <c r="E527">
        <v>6</v>
      </c>
      <c r="G527" s="23">
        <f t="shared" si="37"/>
        <v>11</v>
      </c>
      <c r="H527" s="23">
        <f t="shared" si="38"/>
        <v>13</v>
      </c>
    </row>
    <row r="528" spans="1:8" x14ac:dyDescent="0.25">
      <c r="A528" s="22">
        <v>41893.548611111109</v>
      </c>
      <c r="B528">
        <v>467.7</v>
      </c>
      <c r="C528">
        <v>94.3</v>
      </c>
      <c r="D528">
        <v>10.199999999999999</v>
      </c>
      <c r="E528">
        <v>6</v>
      </c>
      <c r="G528" s="23">
        <f t="shared" si="37"/>
        <v>11</v>
      </c>
      <c r="H528" s="23">
        <f t="shared" si="38"/>
        <v>13</v>
      </c>
    </row>
    <row r="529" spans="1:8" x14ac:dyDescent="0.25">
      <c r="A529" s="22">
        <v>41893.552083333336</v>
      </c>
      <c r="B529">
        <v>467.3</v>
      </c>
      <c r="C529">
        <v>94.3</v>
      </c>
      <c r="D529">
        <v>10.199999999999999</v>
      </c>
      <c r="E529">
        <v>6</v>
      </c>
      <c r="G529" s="23">
        <f t="shared" si="37"/>
        <v>11</v>
      </c>
      <c r="H529" s="23">
        <f t="shared" si="38"/>
        <v>13</v>
      </c>
    </row>
    <row r="530" spans="1:8" x14ac:dyDescent="0.25">
      <c r="A530" s="22">
        <v>41893.555555555555</v>
      </c>
      <c r="B530">
        <v>468.9</v>
      </c>
      <c r="C530">
        <v>94.2</v>
      </c>
      <c r="D530">
        <v>10.3</v>
      </c>
      <c r="E530">
        <v>6</v>
      </c>
      <c r="G530" s="23">
        <f t="shared" si="37"/>
        <v>11</v>
      </c>
      <c r="H530" s="23">
        <f t="shared" si="38"/>
        <v>13</v>
      </c>
    </row>
    <row r="531" spans="1:8" x14ac:dyDescent="0.25">
      <c r="A531" s="22">
        <v>41893.559027777781</v>
      </c>
      <c r="B531">
        <v>469.7</v>
      </c>
      <c r="C531">
        <v>94.4</v>
      </c>
      <c r="D531">
        <v>10.3</v>
      </c>
      <c r="E531">
        <v>6</v>
      </c>
      <c r="G531" s="23">
        <f t="shared" si="37"/>
        <v>11</v>
      </c>
      <c r="H531" s="23">
        <f t="shared" si="38"/>
        <v>13</v>
      </c>
    </row>
    <row r="532" spans="1:8" x14ac:dyDescent="0.25">
      <c r="A532" s="22">
        <v>41893.5625</v>
      </c>
      <c r="B532">
        <v>470</v>
      </c>
      <c r="C532">
        <v>94.3</v>
      </c>
      <c r="D532">
        <v>10.3</v>
      </c>
      <c r="E532">
        <v>6.1</v>
      </c>
      <c r="G532" s="23">
        <f t="shared" si="37"/>
        <v>11</v>
      </c>
      <c r="H532" s="23">
        <f t="shared" si="38"/>
        <v>13</v>
      </c>
    </row>
    <row r="533" spans="1:8" x14ac:dyDescent="0.25">
      <c r="A533" s="22">
        <v>41893.565972222219</v>
      </c>
      <c r="B533">
        <v>467.3</v>
      </c>
      <c r="C533">
        <v>94.3</v>
      </c>
      <c r="D533">
        <v>10.4</v>
      </c>
      <c r="E533">
        <v>6.1</v>
      </c>
      <c r="G533" s="23">
        <f t="shared" si="37"/>
        <v>11</v>
      </c>
      <c r="H533" s="23">
        <f t="shared" si="38"/>
        <v>13</v>
      </c>
    </row>
    <row r="534" spans="1:8" x14ac:dyDescent="0.25">
      <c r="A534" s="22">
        <v>41893.569444444445</v>
      </c>
      <c r="B534">
        <v>467.3</v>
      </c>
      <c r="C534">
        <v>94.3</v>
      </c>
      <c r="D534">
        <v>10.4</v>
      </c>
      <c r="E534">
        <v>6.1</v>
      </c>
      <c r="G534" s="23">
        <f t="shared" si="37"/>
        <v>11</v>
      </c>
      <c r="H534" s="23">
        <f t="shared" si="38"/>
        <v>13</v>
      </c>
    </row>
    <row r="535" spans="1:8" x14ac:dyDescent="0.25">
      <c r="A535" s="22">
        <v>41893.572916666664</v>
      </c>
      <c r="B535">
        <v>466</v>
      </c>
      <c r="C535">
        <v>94.3</v>
      </c>
      <c r="D535">
        <v>10.4</v>
      </c>
      <c r="E535">
        <v>6.2</v>
      </c>
      <c r="G535" s="23">
        <f t="shared" si="37"/>
        <v>11</v>
      </c>
      <c r="H535" s="23">
        <f t="shared" si="38"/>
        <v>13</v>
      </c>
    </row>
    <row r="536" spans="1:8" x14ac:dyDescent="0.25">
      <c r="A536" s="22">
        <v>41893.576388888891</v>
      </c>
      <c r="B536">
        <v>466.1</v>
      </c>
      <c r="C536">
        <v>94.3</v>
      </c>
      <c r="D536">
        <v>10.4</v>
      </c>
      <c r="E536">
        <v>6.2</v>
      </c>
      <c r="G536" s="23">
        <f t="shared" si="37"/>
        <v>11</v>
      </c>
      <c r="H536" s="23">
        <f t="shared" si="38"/>
        <v>13</v>
      </c>
    </row>
    <row r="537" spans="1:8" x14ac:dyDescent="0.25">
      <c r="A537" s="22">
        <v>41893.579861111109</v>
      </c>
      <c r="B537">
        <v>468.8</v>
      </c>
      <c r="C537">
        <v>94.3</v>
      </c>
      <c r="D537">
        <v>10.5</v>
      </c>
      <c r="E537">
        <v>6.2</v>
      </c>
      <c r="G537" s="23">
        <f t="shared" si="37"/>
        <v>11</v>
      </c>
      <c r="H537" s="23">
        <f t="shared" si="38"/>
        <v>13</v>
      </c>
    </row>
    <row r="538" spans="1:8" x14ac:dyDescent="0.25">
      <c r="A538" s="22">
        <v>41893.583333333336</v>
      </c>
      <c r="B538">
        <v>470.4</v>
      </c>
      <c r="C538">
        <v>94.3</v>
      </c>
      <c r="D538">
        <v>10.5</v>
      </c>
      <c r="E538">
        <v>6.2</v>
      </c>
      <c r="G538" s="23">
        <f t="shared" si="37"/>
        <v>11</v>
      </c>
      <c r="H538" s="23">
        <f t="shared" si="38"/>
        <v>14</v>
      </c>
    </row>
    <row r="539" spans="1:8" x14ac:dyDescent="0.25">
      <c r="A539" s="22">
        <v>41893.586805555555</v>
      </c>
      <c r="B539">
        <v>471</v>
      </c>
      <c r="C539">
        <v>94.3</v>
      </c>
      <c r="D539">
        <v>10.6</v>
      </c>
      <c r="E539">
        <v>6.3</v>
      </c>
      <c r="G539" s="23">
        <f t="shared" si="37"/>
        <v>11</v>
      </c>
      <c r="H539" s="23">
        <f t="shared" si="38"/>
        <v>14</v>
      </c>
    </row>
    <row r="540" spans="1:8" x14ac:dyDescent="0.25">
      <c r="A540" s="22">
        <v>41893.590277777781</v>
      </c>
      <c r="B540">
        <v>469.5</v>
      </c>
      <c r="C540">
        <v>94.4</v>
      </c>
      <c r="D540">
        <v>10.6</v>
      </c>
      <c r="E540">
        <v>6.3</v>
      </c>
      <c r="G540" s="23">
        <f t="shared" si="37"/>
        <v>11</v>
      </c>
      <c r="H540" s="23">
        <f t="shared" si="38"/>
        <v>14</v>
      </c>
    </row>
    <row r="541" spans="1:8" x14ac:dyDescent="0.25">
      <c r="A541" s="22">
        <v>41893.59375</v>
      </c>
      <c r="B541">
        <v>467.2</v>
      </c>
      <c r="C541">
        <v>94.3</v>
      </c>
      <c r="D541">
        <v>10.6</v>
      </c>
      <c r="E541">
        <v>6.3</v>
      </c>
      <c r="G541" s="23">
        <f t="shared" si="37"/>
        <v>11</v>
      </c>
      <c r="H541" s="23">
        <f t="shared" si="38"/>
        <v>14</v>
      </c>
    </row>
    <row r="542" spans="1:8" x14ac:dyDescent="0.25">
      <c r="A542" s="22">
        <v>41893.597222222219</v>
      </c>
      <c r="B542">
        <v>466.3</v>
      </c>
      <c r="C542">
        <v>94.3</v>
      </c>
      <c r="D542">
        <v>10.6</v>
      </c>
      <c r="E542">
        <v>6.4</v>
      </c>
      <c r="G542" s="23">
        <f t="shared" si="37"/>
        <v>11</v>
      </c>
      <c r="H542" s="23">
        <f t="shared" si="38"/>
        <v>14</v>
      </c>
    </row>
    <row r="543" spans="1:8" x14ac:dyDescent="0.25">
      <c r="A543" s="22">
        <v>41893.600694444445</v>
      </c>
      <c r="B543">
        <v>470.1</v>
      </c>
      <c r="C543">
        <v>94.4</v>
      </c>
      <c r="D543">
        <v>10.7</v>
      </c>
      <c r="E543">
        <v>6.4</v>
      </c>
      <c r="G543" s="23">
        <f t="shared" si="37"/>
        <v>11</v>
      </c>
      <c r="H543" s="23">
        <f t="shared" si="38"/>
        <v>14</v>
      </c>
    </row>
    <row r="544" spans="1:8" x14ac:dyDescent="0.25">
      <c r="A544" s="22">
        <v>41893.604166666664</v>
      </c>
      <c r="B544">
        <v>471.7</v>
      </c>
      <c r="C544">
        <v>94.4</v>
      </c>
      <c r="D544">
        <v>10.7</v>
      </c>
      <c r="E544">
        <v>6.5</v>
      </c>
      <c r="G544" s="23">
        <f t="shared" si="37"/>
        <v>11</v>
      </c>
      <c r="H544" s="23">
        <f t="shared" si="38"/>
        <v>14</v>
      </c>
    </row>
    <row r="545" spans="1:8" x14ac:dyDescent="0.25">
      <c r="A545" s="22">
        <v>41893.607638888891</v>
      </c>
      <c r="B545">
        <v>472.8</v>
      </c>
      <c r="C545">
        <v>94.4</v>
      </c>
      <c r="D545">
        <v>10.8</v>
      </c>
      <c r="E545">
        <v>6.5</v>
      </c>
      <c r="G545" s="23">
        <f t="shared" si="37"/>
        <v>11</v>
      </c>
      <c r="H545" s="23">
        <f t="shared" si="38"/>
        <v>14</v>
      </c>
    </row>
    <row r="546" spans="1:8" x14ac:dyDescent="0.25">
      <c r="A546" s="22">
        <v>41893.611111111109</v>
      </c>
      <c r="B546">
        <v>472.8</v>
      </c>
      <c r="C546">
        <v>94.3</v>
      </c>
      <c r="D546">
        <v>10.8</v>
      </c>
      <c r="E546">
        <v>6.5</v>
      </c>
      <c r="G546" s="23">
        <f t="shared" si="37"/>
        <v>11</v>
      </c>
      <c r="H546" s="23">
        <f t="shared" si="38"/>
        <v>14</v>
      </c>
    </row>
    <row r="547" spans="1:8" x14ac:dyDescent="0.25">
      <c r="A547" s="22">
        <v>41893.614583333336</v>
      </c>
      <c r="B547">
        <v>471.3</v>
      </c>
      <c r="C547">
        <v>94.3</v>
      </c>
      <c r="D547">
        <v>10.9</v>
      </c>
      <c r="E547">
        <v>6.6</v>
      </c>
      <c r="G547" s="23">
        <f t="shared" si="37"/>
        <v>11</v>
      </c>
      <c r="H547" s="23">
        <f t="shared" si="38"/>
        <v>14</v>
      </c>
    </row>
    <row r="548" spans="1:8" x14ac:dyDescent="0.25">
      <c r="A548" s="22">
        <v>41893.618055555555</v>
      </c>
      <c r="B548">
        <v>471.3</v>
      </c>
      <c r="C548">
        <v>94.4</v>
      </c>
      <c r="D548">
        <v>10.9</v>
      </c>
      <c r="E548">
        <v>6.6</v>
      </c>
      <c r="G548" s="23">
        <f t="shared" si="37"/>
        <v>11</v>
      </c>
      <c r="H548" s="23">
        <f t="shared" si="38"/>
        <v>14</v>
      </c>
    </row>
    <row r="549" spans="1:8" x14ac:dyDescent="0.25">
      <c r="A549" s="22">
        <v>41893.621527777781</v>
      </c>
      <c r="B549">
        <v>470.1</v>
      </c>
      <c r="C549">
        <v>94.4</v>
      </c>
      <c r="D549">
        <v>10.9</v>
      </c>
      <c r="E549">
        <v>6.6</v>
      </c>
      <c r="G549" s="23">
        <f t="shared" si="37"/>
        <v>11</v>
      </c>
      <c r="H549" s="23">
        <f t="shared" si="38"/>
        <v>14</v>
      </c>
    </row>
    <row r="550" spans="1:8" x14ac:dyDescent="0.25">
      <c r="A550" s="22">
        <v>41893.625</v>
      </c>
      <c r="B550">
        <v>465.2</v>
      </c>
      <c r="C550">
        <v>94.3</v>
      </c>
      <c r="D550">
        <v>11</v>
      </c>
      <c r="E550">
        <v>6.7</v>
      </c>
      <c r="G550" s="23">
        <f t="shared" si="37"/>
        <v>11</v>
      </c>
      <c r="H550" s="23">
        <f t="shared" si="38"/>
        <v>15</v>
      </c>
    </row>
    <row r="551" spans="1:8" x14ac:dyDescent="0.25">
      <c r="A551" s="22">
        <v>41893.628472222219</v>
      </c>
      <c r="B551">
        <v>465.8</v>
      </c>
      <c r="C551">
        <v>94.4</v>
      </c>
      <c r="D551">
        <v>11</v>
      </c>
      <c r="E551">
        <v>6.8</v>
      </c>
      <c r="G551" s="23">
        <f t="shared" si="37"/>
        <v>11</v>
      </c>
      <c r="H551" s="23">
        <f t="shared" si="38"/>
        <v>15</v>
      </c>
    </row>
    <row r="552" spans="1:8" x14ac:dyDescent="0.25">
      <c r="A552" s="22">
        <v>41893.631944444445</v>
      </c>
      <c r="B552">
        <v>470</v>
      </c>
      <c r="C552">
        <v>94.4</v>
      </c>
      <c r="D552">
        <v>11.1</v>
      </c>
      <c r="E552">
        <v>6.8</v>
      </c>
      <c r="G552" s="23">
        <f t="shared" si="37"/>
        <v>11</v>
      </c>
      <c r="H552" s="23">
        <f t="shared" si="38"/>
        <v>15</v>
      </c>
    </row>
    <row r="553" spans="1:8" x14ac:dyDescent="0.25">
      <c r="A553" s="22">
        <v>41893.635416666664</v>
      </c>
      <c r="B553">
        <v>470.5</v>
      </c>
      <c r="C553">
        <v>94.4</v>
      </c>
      <c r="D553">
        <v>11.1</v>
      </c>
      <c r="E553">
        <v>6.8</v>
      </c>
      <c r="G553" s="23">
        <f t="shared" si="37"/>
        <v>11</v>
      </c>
      <c r="H553" s="23">
        <f t="shared" si="38"/>
        <v>15</v>
      </c>
    </row>
    <row r="554" spans="1:8" x14ac:dyDescent="0.25">
      <c r="A554" s="22">
        <v>41893.638888888891</v>
      </c>
      <c r="B554">
        <v>474.5</v>
      </c>
      <c r="C554">
        <v>94.4</v>
      </c>
      <c r="D554">
        <v>11.1</v>
      </c>
      <c r="E554">
        <v>6.8</v>
      </c>
      <c r="G554" s="23">
        <f t="shared" si="37"/>
        <v>11</v>
      </c>
      <c r="H554" s="23">
        <f t="shared" si="38"/>
        <v>15</v>
      </c>
    </row>
    <row r="555" spans="1:8" x14ac:dyDescent="0.25">
      <c r="A555" s="22">
        <v>41893.642361111109</v>
      </c>
      <c r="B555">
        <v>476.4</v>
      </c>
      <c r="C555">
        <v>94.4</v>
      </c>
      <c r="D555">
        <v>11.2</v>
      </c>
      <c r="E555">
        <v>6.8</v>
      </c>
      <c r="G555" s="23">
        <f t="shared" si="37"/>
        <v>11</v>
      </c>
      <c r="H555" s="23">
        <f t="shared" si="38"/>
        <v>15</v>
      </c>
    </row>
    <row r="556" spans="1:8" x14ac:dyDescent="0.25">
      <c r="A556" s="22">
        <v>41893.645833333336</v>
      </c>
      <c r="B556">
        <v>478.3</v>
      </c>
      <c r="C556">
        <v>94.4</v>
      </c>
      <c r="D556">
        <v>11.2</v>
      </c>
      <c r="E556">
        <v>6.8</v>
      </c>
      <c r="G556" s="23">
        <f t="shared" si="37"/>
        <v>11</v>
      </c>
      <c r="H556" s="23">
        <f t="shared" si="38"/>
        <v>15</v>
      </c>
    </row>
    <row r="557" spans="1:8" x14ac:dyDescent="0.25">
      <c r="A557" s="22">
        <v>41893.649305555555</v>
      </c>
      <c r="B557">
        <v>469.9</v>
      </c>
      <c r="C557">
        <v>94.4</v>
      </c>
      <c r="D557">
        <v>11</v>
      </c>
      <c r="E557">
        <v>6.7</v>
      </c>
      <c r="G557" s="23">
        <f t="shared" si="37"/>
        <v>11</v>
      </c>
      <c r="H557" s="23">
        <f t="shared" si="38"/>
        <v>15</v>
      </c>
    </row>
    <row r="558" spans="1:8" x14ac:dyDescent="0.25">
      <c r="A558" s="22">
        <v>41893.652777777781</v>
      </c>
      <c r="B558">
        <v>469.4</v>
      </c>
      <c r="C558">
        <v>94.4</v>
      </c>
      <c r="D558">
        <v>10.7</v>
      </c>
      <c r="E558">
        <v>6.4</v>
      </c>
      <c r="G558" s="23">
        <f t="shared" si="37"/>
        <v>11</v>
      </c>
      <c r="H558" s="23">
        <f t="shared" si="38"/>
        <v>15</v>
      </c>
    </row>
    <row r="559" spans="1:8" x14ac:dyDescent="0.25">
      <c r="A559" s="22">
        <v>41893.65625</v>
      </c>
      <c r="B559">
        <v>469.6</v>
      </c>
      <c r="C559">
        <v>94.3</v>
      </c>
      <c r="D559">
        <v>10.6</v>
      </c>
      <c r="E559">
        <v>6.3</v>
      </c>
      <c r="G559" s="23">
        <f t="shared" si="37"/>
        <v>11</v>
      </c>
      <c r="H559" s="23">
        <f t="shared" si="38"/>
        <v>15</v>
      </c>
    </row>
    <row r="560" spans="1:8" x14ac:dyDescent="0.25">
      <c r="A560" s="22">
        <v>41893.659722222219</v>
      </c>
      <c r="B560">
        <v>468.8</v>
      </c>
      <c r="C560">
        <v>94.2</v>
      </c>
      <c r="D560">
        <v>10.6</v>
      </c>
      <c r="E560">
        <v>6.3</v>
      </c>
      <c r="G560" s="23">
        <f t="shared" si="37"/>
        <v>11</v>
      </c>
      <c r="H560" s="23">
        <f t="shared" si="38"/>
        <v>15</v>
      </c>
    </row>
    <row r="561" spans="1:8" x14ac:dyDescent="0.25">
      <c r="A561" s="22">
        <v>41893.663194444445</v>
      </c>
      <c r="B561">
        <v>468.3</v>
      </c>
      <c r="C561">
        <v>94.2</v>
      </c>
      <c r="D561">
        <v>10.5</v>
      </c>
      <c r="E561">
        <v>6.2</v>
      </c>
      <c r="G561" s="23">
        <f t="shared" si="37"/>
        <v>11</v>
      </c>
      <c r="H561" s="23">
        <f t="shared" si="38"/>
        <v>15</v>
      </c>
    </row>
    <row r="562" spans="1:8" x14ac:dyDescent="0.25">
      <c r="A562" s="22">
        <v>41893.666666666664</v>
      </c>
      <c r="B562">
        <v>470.2</v>
      </c>
      <c r="C562">
        <v>94.3</v>
      </c>
      <c r="D562">
        <v>10.4</v>
      </c>
      <c r="E562">
        <v>6.1</v>
      </c>
      <c r="G562" s="23">
        <f t="shared" si="37"/>
        <v>11</v>
      </c>
      <c r="H562" s="23">
        <f t="shared" si="38"/>
        <v>16</v>
      </c>
    </row>
    <row r="563" spans="1:8" x14ac:dyDescent="0.25">
      <c r="A563" s="22">
        <v>41893.670138888891</v>
      </c>
      <c r="B563">
        <v>468.2</v>
      </c>
      <c r="C563">
        <v>94.4</v>
      </c>
      <c r="D563">
        <v>10.3</v>
      </c>
      <c r="E563">
        <v>6</v>
      </c>
      <c r="G563" s="23">
        <f t="shared" si="37"/>
        <v>11</v>
      </c>
      <c r="H563" s="23">
        <f t="shared" si="38"/>
        <v>16</v>
      </c>
    </row>
    <row r="564" spans="1:8" x14ac:dyDescent="0.25">
      <c r="A564" s="22">
        <v>41893.673611111109</v>
      </c>
      <c r="B564">
        <v>469.1</v>
      </c>
      <c r="C564">
        <v>94.2</v>
      </c>
      <c r="D564">
        <v>10.199999999999999</v>
      </c>
      <c r="E564">
        <v>5.9</v>
      </c>
      <c r="G564" s="23">
        <f t="shared" si="37"/>
        <v>11</v>
      </c>
      <c r="H564" s="23">
        <f t="shared" si="38"/>
        <v>16</v>
      </c>
    </row>
    <row r="565" spans="1:8" x14ac:dyDescent="0.25">
      <c r="A565" s="22">
        <v>41893.677083333336</v>
      </c>
      <c r="B565">
        <v>469.1</v>
      </c>
      <c r="C565">
        <v>94.2</v>
      </c>
      <c r="D565">
        <v>10.1</v>
      </c>
      <c r="E565">
        <v>5.8</v>
      </c>
      <c r="G565" s="23">
        <f t="shared" si="37"/>
        <v>11</v>
      </c>
      <c r="H565" s="23">
        <f t="shared" si="38"/>
        <v>16</v>
      </c>
    </row>
    <row r="566" spans="1:8" x14ac:dyDescent="0.25">
      <c r="A566" s="22">
        <v>41893.680555555555</v>
      </c>
      <c r="B566">
        <v>467</v>
      </c>
      <c r="C566">
        <v>94.3</v>
      </c>
      <c r="D566">
        <v>10.1</v>
      </c>
      <c r="E566">
        <v>5.8</v>
      </c>
      <c r="G566" s="23">
        <f t="shared" si="37"/>
        <v>11</v>
      </c>
      <c r="H566" s="23">
        <f t="shared" si="38"/>
        <v>16</v>
      </c>
    </row>
    <row r="567" spans="1:8" x14ac:dyDescent="0.25">
      <c r="A567" s="22">
        <v>41893.684027777781</v>
      </c>
      <c r="B567">
        <v>462.4</v>
      </c>
      <c r="C567">
        <v>94.3</v>
      </c>
      <c r="D567">
        <v>10</v>
      </c>
      <c r="E567">
        <v>5.8</v>
      </c>
      <c r="G567" s="23">
        <f t="shared" si="37"/>
        <v>11</v>
      </c>
      <c r="H567" s="23">
        <f t="shared" si="38"/>
        <v>16</v>
      </c>
    </row>
    <row r="568" spans="1:8" x14ac:dyDescent="0.25">
      <c r="A568" s="22">
        <v>41893.6875</v>
      </c>
      <c r="B568">
        <v>452.5</v>
      </c>
      <c r="C568">
        <v>94.2</v>
      </c>
      <c r="D568">
        <v>9.9</v>
      </c>
      <c r="E568">
        <v>5.8</v>
      </c>
      <c r="G568" s="23">
        <f t="shared" si="37"/>
        <v>11</v>
      </c>
      <c r="H568" s="23">
        <f t="shared" si="38"/>
        <v>16</v>
      </c>
    </row>
    <row r="569" spans="1:8" x14ac:dyDescent="0.25">
      <c r="A569" s="22">
        <v>41893.690972222219</v>
      </c>
      <c r="B569">
        <v>442.9</v>
      </c>
      <c r="C569">
        <v>94.2</v>
      </c>
      <c r="D569">
        <v>9.8000000000000007</v>
      </c>
      <c r="E569">
        <v>5.8</v>
      </c>
      <c r="G569" s="23">
        <f t="shared" si="37"/>
        <v>11</v>
      </c>
      <c r="H569" s="23">
        <f t="shared" si="38"/>
        <v>16</v>
      </c>
    </row>
    <row r="570" spans="1:8" x14ac:dyDescent="0.25">
      <c r="A570" s="22">
        <v>41893.694444444445</v>
      </c>
      <c r="B570">
        <v>438.2</v>
      </c>
      <c r="C570">
        <v>94.2</v>
      </c>
      <c r="D570">
        <v>9.8000000000000007</v>
      </c>
      <c r="E570">
        <v>5.8</v>
      </c>
      <c r="G570" s="23">
        <f t="shared" si="37"/>
        <v>11</v>
      </c>
      <c r="H570" s="23">
        <f t="shared" si="38"/>
        <v>16</v>
      </c>
    </row>
    <row r="571" spans="1:8" x14ac:dyDescent="0.25">
      <c r="A571" s="22">
        <v>41893.697916666664</v>
      </c>
      <c r="B571">
        <v>434.3</v>
      </c>
      <c r="C571">
        <v>94.3</v>
      </c>
      <c r="D571">
        <v>9.6999999999999993</v>
      </c>
      <c r="E571">
        <v>5.8</v>
      </c>
      <c r="G571" s="23">
        <f t="shared" si="37"/>
        <v>11</v>
      </c>
      <c r="H571" s="23">
        <f t="shared" si="38"/>
        <v>16</v>
      </c>
    </row>
    <row r="572" spans="1:8" x14ac:dyDescent="0.25">
      <c r="A572" s="22">
        <v>41893.701388888891</v>
      </c>
      <c r="B572">
        <v>430.2</v>
      </c>
      <c r="C572">
        <v>94.2</v>
      </c>
      <c r="D572">
        <v>9.6999999999999993</v>
      </c>
      <c r="E572">
        <v>5.8</v>
      </c>
      <c r="G572" s="23">
        <f t="shared" si="37"/>
        <v>11</v>
      </c>
      <c r="H572" s="23">
        <f t="shared" si="38"/>
        <v>16</v>
      </c>
    </row>
    <row r="573" spans="1:8" x14ac:dyDescent="0.25">
      <c r="A573" s="22">
        <v>41893.704861111109</v>
      </c>
      <c r="B573">
        <v>429.2</v>
      </c>
      <c r="C573">
        <v>94.3</v>
      </c>
      <c r="D573">
        <v>9.6999999999999993</v>
      </c>
      <c r="E573">
        <v>5.8</v>
      </c>
      <c r="G573" s="23">
        <f t="shared" si="37"/>
        <v>11</v>
      </c>
      <c r="H573" s="23">
        <f t="shared" si="38"/>
        <v>16</v>
      </c>
    </row>
    <row r="574" spans="1:8" x14ac:dyDescent="0.25">
      <c r="A574" s="22">
        <v>41893.708333333336</v>
      </c>
      <c r="B574">
        <v>428.9</v>
      </c>
      <c r="C574">
        <v>94.3</v>
      </c>
      <c r="D574">
        <v>9.6999999999999993</v>
      </c>
      <c r="E574">
        <v>5.8</v>
      </c>
      <c r="G574" s="23">
        <f t="shared" si="37"/>
        <v>11</v>
      </c>
      <c r="H574" s="23">
        <f t="shared" si="38"/>
        <v>17</v>
      </c>
    </row>
    <row r="575" spans="1:8" x14ac:dyDescent="0.25">
      <c r="A575" s="22">
        <v>41893.711805555555</v>
      </c>
      <c r="B575">
        <v>425.7</v>
      </c>
      <c r="C575">
        <v>94.3</v>
      </c>
      <c r="D575">
        <v>9.6999999999999993</v>
      </c>
      <c r="E575">
        <v>5.8</v>
      </c>
      <c r="G575" s="23">
        <f t="shared" si="37"/>
        <v>11</v>
      </c>
      <c r="H575" s="23">
        <f t="shared" si="38"/>
        <v>17</v>
      </c>
    </row>
    <row r="576" spans="1:8" x14ac:dyDescent="0.25">
      <c r="A576" s="22">
        <v>41893.715277777781</v>
      </c>
      <c r="B576">
        <v>422.2</v>
      </c>
      <c r="C576">
        <v>94.3</v>
      </c>
      <c r="D576">
        <v>9.6</v>
      </c>
      <c r="E576">
        <v>5.8</v>
      </c>
      <c r="G576" s="23">
        <f t="shared" si="37"/>
        <v>11</v>
      </c>
      <c r="H576" s="23">
        <f t="shared" si="38"/>
        <v>17</v>
      </c>
    </row>
    <row r="577" spans="1:8" x14ac:dyDescent="0.25">
      <c r="A577" s="22">
        <v>41893.71875</v>
      </c>
      <c r="B577">
        <v>419.2</v>
      </c>
      <c r="C577">
        <v>94.2</v>
      </c>
      <c r="D577">
        <v>9.6</v>
      </c>
      <c r="E577">
        <v>5.8</v>
      </c>
      <c r="G577" s="23">
        <f t="shared" si="37"/>
        <v>11</v>
      </c>
      <c r="H577" s="23">
        <f t="shared" si="38"/>
        <v>17</v>
      </c>
    </row>
    <row r="578" spans="1:8" x14ac:dyDescent="0.25">
      <c r="A578" s="22">
        <v>41893.722222222219</v>
      </c>
      <c r="B578">
        <v>416.7</v>
      </c>
      <c r="C578">
        <v>94.2</v>
      </c>
      <c r="D578">
        <v>9.6</v>
      </c>
      <c r="E578">
        <v>5.8</v>
      </c>
      <c r="G578" s="23">
        <f t="shared" si="37"/>
        <v>11</v>
      </c>
      <c r="H578" s="23">
        <f t="shared" si="38"/>
        <v>17</v>
      </c>
    </row>
    <row r="579" spans="1:8" x14ac:dyDescent="0.25">
      <c r="A579" s="22">
        <v>41893.725694444445</v>
      </c>
      <c r="B579">
        <v>416.4</v>
      </c>
      <c r="C579">
        <v>94.2</v>
      </c>
      <c r="D579">
        <v>9.6</v>
      </c>
      <c r="E579">
        <v>5.8</v>
      </c>
      <c r="G579" s="23">
        <f t="shared" si="37"/>
        <v>11</v>
      </c>
      <c r="H579" s="23">
        <f t="shared" si="38"/>
        <v>17</v>
      </c>
    </row>
    <row r="580" spans="1:8" x14ac:dyDescent="0.25">
      <c r="A580" s="22">
        <v>41893.729166666664</v>
      </c>
      <c r="B580">
        <v>416.4</v>
      </c>
      <c r="C580">
        <v>94.2</v>
      </c>
      <c r="D580">
        <v>9.6</v>
      </c>
      <c r="E580">
        <v>5.8</v>
      </c>
      <c r="G580" s="23">
        <f t="shared" si="37"/>
        <v>11</v>
      </c>
      <c r="H580" s="23">
        <f t="shared" si="38"/>
        <v>17</v>
      </c>
    </row>
    <row r="581" spans="1:8" x14ac:dyDescent="0.25">
      <c r="A581" s="22">
        <v>41893.732638888891</v>
      </c>
      <c r="B581">
        <v>412.8</v>
      </c>
      <c r="C581">
        <v>94.1</v>
      </c>
      <c r="D581">
        <v>9.5</v>
      </c>
      <c r="E581">
        <v>5.8</v>
      </c>
      <c r="G581" s="23">
        <f t="shared" si="37"/>
        <v>11</v>
      </c>
      <c r="H581" s="23">
        <f t="shared" si="38"/>
        <v>17</v>
      </c>
    </row>
    <row r="582" spans="1:8" x14ac:dyDescent="0.25">
      <c r="A582" s="22">
        <v>41893.736111111109</v>
      </c>
      <c r="B582">
        <v>411.1</v>
      </c>
      <c r="C582">
        <v>94.1</v>
      </c>
      <c r="D582">
        <v>9.5</v>
      </c>
      <c r="E582">
        <v>5.8</v>
      </c>
      <c r="G582" s="23">
        <f t="shared" ref="G582:G645" si="39">+DAY(A582)</f>
        <v>11</v>
      </c>
      <c r="H582" s="23">
        <f t="shared" ref="H582:H645" si="40">+HOUR(A582)</f>
        <v>17</v>
      </c>
    </row>
    <row r="583" spans="1:8" x14ac:dyDescent="0.25">
      <c r="A583" s="22">
        <v>41893.739583333336</v>
      </c>
      <c r="B583">
        <v>411.1</v>
      </c>
      <c r="C583">
        <v>94.1</v>
      </c>
      <c r="D583">
        <v>9.5</v>
      </c>
      <c r="E583">
        <v>5.8</v>
      </c>
      <c r="G583" s="23">
        <f t="shared" si="39"/>
        <v>11</v>
      </c>
      <c r="H583" s="23">
        <f t="shared" si="40"/>
        <v>17</v>
      </c>
    </row>
    <row r="584" spans="1:8" x14ac:dyDescent="0.25">
      <c r="A584" s="22">
        <v>41893.743055555555</v>
      </c>
      <c r="B584">
        <v>447.1</v>
      </c>
      <c r="C584">
        <v>94.3</v>
      </c>
      <c r="D584">
        <v>9.9</v>
      </c>
      <c r="E584">
        <v>5.8</v>
      </c>
      <c r="G584" s="23">
        <f t="shared" si="39"/>
        <v>11</v>
      </c>
      <c r="H584" s="23">
        <f t="shared" si="40"/>
        <v>17</v>
      </c>
    </row>
    <row r="585" spans="1:8" x14ac:dyDescent="0.25">
      <c r="A585" s="22">
        <v>41893.746527777781</v>
      </c>
      <c r="B585">
        <v>488.7</v>
      </c>
      <c r="C585">
        <v>94.3</v>
      </c>
      <c r="D585">
        <v>10.5</v>
      </c>
      <c r="E585">
        <v>6</v>
      </c>
      <c r="G585" s="23">
        <f t="shared" si="39"/>
        <v>11</v>
      </c>
      <c r="H585" s="23">
        <f t="shared" si="40"/>
        <v>17</v>
      </c>
    </row>
    <row r="586" spans="1:8" x14ac:dyDescent="0.25">
      <c r="A586" s="22">
        <v>41893.75</v>
      </c>
      <c r="B586">
        <v>482</v>
      </c>
      <c r="C586">
        <v>94.3</v>
      </c>
      <c r="D586">
        <v>10.4</v>
      </c>
      <c r="E586">
        <v>6.1</v>
      </c>
      <c r="G586" s="23">
        <f t="shared" si="39"/>
        <v>11</v>
      </c>
      <c r="H586" s="23">
        <f t="shared" si="40"/>
        <v>18</v>
      </c>
    </row>
    <row r="587" spans="1:8" x14ac:dyDescent="0.25">
      <c r="A587" s="22">
        <v>41893.753472222219</v>
      </c>
      <c r="B587">
        <v>481.6</v>
      </c>
      <c r="C587">
        <v>94.2</v>
      </c>
      <c r="D587">
        <v>10.4</v>
      </c>
      <c r="E587">
        <v>6</v>
      </c>
      <c r="G587" s="23">
        <f t="shared" si="39"/>
        <v>11</v>
      </c>
      <c r="H587" s="23">
        <f t="shared" si="40"/>
        <v>18</v>
      </c>
    </row>
    <row r="588" spans="1:8" x14ac:dyDescent="0.25">
      <c r="A588" s="22">
        <v>41893.756944444445</v>
      </c>
      <c r="B588">
        <v>482.9</v>
      </c>
      <c r="C588">
        <v>94.3</v>
      </c>
      <c r="D588">
        <v>10.4</v>
      </c>
      <c r="E588">
        <v>6</v>
      </c>
      <c r="G588" s="23">
        <f t="shared" si="39"/>
        <v>11</v>
      </c>
      <c r="H588" s="23">
        <f t="shared" si="40"/>
        <v>18</v>
      </c>
    </row>
    <row r="589" spans="1:8" x14ac:dyDescent="0.25">
      <c r="A589" s="22">
        <v>41893.760416666664</v>
      </c>
      <c r="B589">
        <v>482.3</v>
      </c>
      <c r="C589">
        <v>94.3</v>
      </c>
      <c r="D589">
        <v>10.4</v>
      </c>
      <c r="E589">
        <v>6</v>
      </c>
      <c r="G589" s="23">
        <f t="shared" si="39"/>
        <v>11</v>
      </c>
      <c r="H589" s="23">
        <f t="shared" si="40"/>
        <v>18</v>
      </c>
    </row>
    <row r="590" spans="1:8" x14ac:dyDescent="0.25">
      <c r="A590" s="22">
        <v>41893.763888888891</v>
      </c>
      <c r="B590">
        <v>481.6</v>
      </c>
      <c r="C590">
        <v>94.3</v>
      </c>
      <c r="D590">
        <v>10.4</v>
      </c>
      <c r="E590">
        <v>6.1</v>
      </c>
      <c r="G590" s="23">
        <f t="shared" si="39"/>
        <v>11</v>
      </c>
      <c r="H590" s="23">
        <f t="shared" si="40"/>
        <v>18</v>
      </c>
    </row>
    <row r="591" spans="1:8" x14ac:dyDescent="0.25">
      <c r="A591" s="22">
        <v>41893.767361111109</v>
      </c>
      <c r="B591">
        <v>485.6</v>
      </c>
      <c r="C591">
        <v>94.3</v>
      </c>
      <c r="D591">
        <v>10.6</v>
      </c>
      <c r="E591">
        <v>6.1</v>
      </c>
      <c r="G591" s="23">
        <f t="shared" si="39"/>
        <v>11</v>
      </c>
      <c r="H591" s="23">
        <f t="shared" si="40"/>
        <v>18</v>
      </c>
    </row>
    <row r="592" spans="1:8" x14ac:dyDescent="0.25">
      <c r="A592" s="22">
        <v>41893.770833333336</v>
      </c>
      <c r="B592">
        <v>484.9</v>
      </c>
      <c r="C592">
        <v>94.4</v>
      </c>
      <c r="D592">
        <v>10.8</v>
      </c>
      <c r="E592">
        <v>6.4</v>
      </c>
      <c r="G592" s="23">
        <f t="shared" si="39"/>
        <v>11</v>
      </c>
      <c r="H592" s="23">
        <f t="shared" si="40"/>
        <v>18</v>
      </c>
    </row>
    <row r="593" spans="1:8" x14ac:dyDescent="0.25">
      <c r="A593" s="22">
        <v>41893.774305555555</v>
      </c>
      <c r="B593">
        <v>481.7</v>
      </c>
      <c r="C593">
        <v>94.4</v>
      </c>
      <c r="D593">
        <v>10.7</v>
      </c>
      <c r="E593">
        <v>6.3</v>
      </c>
      <c r="G593" s="23">
        <f t="shared" si="39"/>
        <v>11</v>
      </c>
      <c r="H593" s="23">
        <f t="shared" si="40"/>
        <v>18</v>
      </c>
    </row>
    <row r="594" spans="1:8" x14ac:dyDescent="0.25">
      <c r="A594" s="22">
        <v>41893.777777777781</v>
      </c>
      <c r="B594">
        <v>481.3</v>
      </c>
      <c r="C594">
        <v>94.4</v>
      </c>
      <c r="D594">
        <v>10.7</v>
      </c>
      <c r="E594">
        <v>6.3</v>
      </c>
      <c r="G594" s="23">
        <f t="shared" si="39"/>
        <v>11</v>
      </c>
      <c r="H594" s="23">
        <f t="shared" si="40"/>
        <v>18</v>
      </c>
    </row>
    <row r="595" spans="1:8" x14ac:dyDescent="0.25">
      <c r="A595" s="22">
        <v>41893.78125</v>
      </c>
      <c r="B595">
        <v>480.8</v>
      </c>
      <c r="C595">
        <v>94.3</v>
      </c>
      <c r="D595">
        <v>10.7</v>
      </c>
      <c r="E595">
        <v>6.3</v>
      </c>
      <c r="G595" s="23">
        <f t="shared" si="39"/>
        <v>11</v>
      </c>
      <c r="H595" s="23">
        <f t="shared" si="40"/>
        <v>18</v>
      </c>
    </row>
    <row r="596" spans="1:8" x14ac:dyDescent="0.25">
      <c r="A596" s="22">
        <v>41893.784722222219</v>
      </c>
      <c r="B596">
        <v>482</v>
      </c>
      <c r="C596">
        <v>94.4</v>
      </c>
      <c r="D596">
        <v>10.7</v>
      </c>
      <c r="E596">
        <v>6.3</v>
      </c>
      <c r="G596" s="23">
        <f t="shared" si="39"/>
        <v>11</v>
      </c>
      <c r="H596" s="23">
        <f t="shared" si="40"/>
        <v>18</v>
      </c>
    </row>
    <row r="597" spans="1:8" x14ac:dyDescent="0.25">
      <c r="A597" s="22">
        <v>41893.788194444445</v>
      </c>
      <c r="B597">
        <v>483.3</v>
      </c>
      <c r="C597">
        <v>94.4</v>
      </c>
      <c r="D597">
        <v>10.7</v>
      </c>
      <c r="E597">
        <v>6.3</v>
      </c>
      <c r="G597" s="23">
        <f t="shared" si="39"/>
        <v>11</v>
      </c>
      <c r="H597" s="23">
        <f t="shared" si="40"/>
        <v>18</v>
      </c>
    </row>
    <row r="598" spans="1:8" x14ac:dyDescent="0.25">
      <c r="A598" s="22">
        <v>41893.791666666664</v>
      </c>
      <c r="B598">
        <v>484.4</v>
      </c>
      <c r="C598">
        <v>94.4</v>
      </c>
      <c r="D598">
        <v>10.7</v>
      </c>
      <c r="E598">
        <v>6.3</v>
      </c>
      <c r="G598" s="23">
        <f t="shared" si="39"/>
        <v>11</v>
      </c>
      <c r="H598" s="23">
        <f t="shared" si="40"/>
        <v>19</v>
      </c>
    </row>
    <row r="599" spans="1:8" x14ac:dyDescent="0.25">
      <c r="A599" s="22">
        <v>41893.795138888891</v>
      </c>
      <c r="B599">
        <v>484.5</v>
      </c>
      <c r="C599">
        <v>94.4</v>
      </c>
      <c r="D599">
        <v>10.7</v>
      </c>
      <c r="E599">
        <v>6.3</v>
      </c>
      <c r="G599" s="23">
        <f t="shared" si="39"/>
        <v>11</v>
      </c>
      <c r="H599" s="23">
        <f t="shared" si="40"/>
        <v>19</v>
      </c>
    </row>
    <row r="600" spans="1:8" x14ac:dyDescent="0.25">
      <c r="A600" s="22">
        <v>41893.798611111109</v>
      </c>
      <c r="B600">
        <v>482.3</v>
      </c>
      <c r="C600">
        <v>94.4</v>
      </c>
      <c r="D600">
        <v>10.7</v>
      </c>
      <c r="E600">
        <v>6.3</v>
      </c>
      <c r="G600" s="23">
        <f t="shared" si="39"/>
        <v>11</v>
      </c>
      <c r="H600" s="23">
        <f t="shared" si="40"/>
        <v>19</v>
      </c>
    </row>
    <row r="601" spans="1:8" x14ac:dyDescent="0.25">
      <c r="A601" s="22">
        <v>41893.802083333336</v>
      </c>
      <c r="B601">
        <v>481.3</v>
      </c>
      <c r="C601">
        <v>94.4</v>
      </c>
      <c r="D601">
        <v>10.7</v>
      </c>
      <c r="E601">
        <v>6.3</v>
      </c>
      <c r="G601" s="23">
        <f t="shared" si="39"/>
        <v>11</v>
      </c>
      <c r="H601" s="23">
        <f t="shared" si="40"/>
        <v>19</v>
      </c>
    </row>
    <row r="602" spans="1:8" x14ac:dyDescent="0.25">
      <c r="A602" s="22">
        <v>41893.805555555555</v>
      </c>
      <c r="B602">
        <v>484.4</v>
      </c>
      <c r="C602">
        <v>94.4</v>
      </c>
      <c r="D602">
        <v>10.7</v>
      </c>
      <c r="E602">
        <v>6.3</v>
      </c>
      <c r="G602" s="23">
        <f t="shared" si="39"/>
        <v>11</v>
      </c>
      <c r="H602" s="23">
        <f t="shared" si="40"/>
        <v>19</v>
      </c>
    </row>
    <row r="603" spans="1:8" x14ac:dyDescent="0.25">
      <c r="A603" s="22">
        <v>41893.809027777781</v>
      </c>
      <c r="B603">
        <v>484.3</v>
      </c>
      <c r="C603">
        <v>94.3</v>
      </c>
      <c r="D603">
        <v>10.8</v>
      </c>
      <c r="E603">
        <v>6.4</v>
      </c>
      <c r="G603" s="23">
        <f t="shared" si="39"/>
        <v>11</v>
      </c>
      <c r="H603" s="23">
        <f t="shared" si="40"/>
        <v>19</v>
      </c>
    </row>
    <row r="604" spans="1:8" x14ac:dyDescent="0.25">
      <c r="A604" s="22">
        <v>41893.8125</v>
      </c>
      <c r="B604">
        <v>487.2</v>
      </c>
      <c r="C604">
        <v>94.3</v>
      </c>
      <c r="D604">
        <v>10.8</v>
      </c>
      <c r="E604">
        <v>6.3</v>
      </c>
      <c r="G604" s="23">
        <f t="shared" si="39"/>
        <v>11</v>
      </c>
      <c r="H604" s="23">
        <f t="shared" si="40"/>
        <v>19</v>
      </c>
    </row>
    <row r="605" spans="1:8" x14ac:dyDescent="0.25">
      <c r="A605" s="22">
        <v>41893.815972222219</v>
      </c>
      <c r="B605">
        <v>487</v>
      </c>
      <c r="C605">
        <v>94.4</v>
      </c>
      <c r="D605">
        <v>10.7</v>
      </c>
      <c r="E605">
        <v>6.3</v>
      </c>
      <c r="G605" s="23">
        <f t="shared" si="39"/>
        <v>11</v>
      </c>
      <c r="H605" s="23">
        <f t="shared" si="40"/>
        <v>19</v>
      </c>
    </row>
    <row r="606" spans="1:8" x14ac:dyDescent="0.25">
      <c r="A606" s="22">
        <v>41893.819444444445</v>
      </c>
      <c r="B606">
        <v>485.8</v>
      </c>
      <c r="C606">
        <v>94.3</v>
      </c>
      <c r="D606">
        <v>10.7</v>
      </c>
      <c r="E606">
        <v>6.3</v>
      </c>
      <c r="G606" s="23">
        <f t="shared" si="39"/>
        <v>11</v>
      </c>
      <c r="H606" s="23">
        <f t="shared" si="40"/>
        <v>19</v>
      </c>
    </row>
    <row r="607" spans="1:8" x14ac:dyDescent="0.25">
      <c r="A607" s="22">
        <v>41893.822916666664</v>
      </c>
      <c r="B607">
        <v>487</v>
      </c>
      <c r="C607">
        <v>94.4</v>
      </c>
      <c r="D607">
        <v>10.7</v>
      </c>
      <c r="E607">
        <v>6.3</v>
      </c>
      <c r="G607" s="23">
        <f t="shared" si="39"/>
        <v>11</v>
      </c>
      <c r="H607" s="23">
        <f t="shared" si="40"/>
        <v>19</v>
      </c>
    </row>
    <row r="608" spans="1:8" x14ac:dyDescent="0.25">
      <c r="A608" s="22">
        <v>41893.826388888891</v>
      </c>
      <c r="B608">
        <v>484.1</v>
      </c>
      <c r="C608">
        <v>94.3</v>
      </c>
      <c r="D608">
        <v>10.7</v>
      </c>
      <c r="E608">
        <v>6.3</v>
      </c>
      <c r="G608" s="23">
        <f t="shared" si="39"/>
        <v>11</v>
      </c>
      <c r="H608" s="23">
        <f t="shared" si="40"/>
        <v>19</v>
      </c>
    </row>
    <row r="609" spans="1:8" x14ac:dyDescent="0.25">
      <c r="A609" s="22">
        <v>41893.829861111109</v>
      </c>
      <c r="B609">
        <v>482.4</v>
      </c>
      <c r="C609">
        <v>94.3</v>
      </c>
      <c r="D609">
        <v>10.7</v>
      </c>
      <c r="E609">
        <v>6.3</v>
      </c>
      <c r="G609" s="23">
        <f t="shared" si="39"/>
        <v>11</v>
      </c>
      <c r="H609" s="23">
        <f t="shared" si="40"/>
        <v>19</v>
      </c>
    </row>
    <row r="610" spans="1:8" x14ac:dyDescent="0.25">
      <c r="A610" s="22">
        <v>41893.833333333336</v>
      </c>
      <c r="B610">
        <v>484.6</v>
      </c>
      <c r="C610">
        <v>94.4</v>
      </c>
      <c r="D610">
        <v>10.6</v>
      </c>
      <c r="E610">
        <v>6.2</v>
      </c>
      <c r="G610" s="23">
        <f t="shared" si="39"/>
        <v>11</v>
      </c>
      <c r="H610" s="23">
        <f t="shared" si="40"/>
        <v>20</v>
      </c>
    </row>
    <row r="611" spans="1:8" x14ac:dyDescent="0.25">
      <c r="A611" s="22">
        <v>41893.836805555555</v>
      </c>
      <c r="B611">
        <v>485.3</v>
      </c>
      <c r="C611">
        <v>94.4</v>
      </c>
      <c r="D611">
        <v>10.6</v>
      </c>
      <c r="E611">
        <v>6.2</v>
      </c>
      <c r="G611" s="23">
        <f t="shared" si="39"/>
        <v>11</v>
      </c>
      <c r="H611" s="23">
        <f t="shared" si="40"/>
        <v>20</v>
      </c>
    </row>
    <row r="612" spans="1:8" x14ac:dyDescent="0.25">
      <c r="A612" s="22">
        <v>41893.840277777781</v>
      </c>
      <c r="B612">
        <v>487.6</v>
      </c>
      <c r="C612">
        <v>94.3</v>
      </c>
      <c r="D612">
        <v>10.6</v>
      </c>
      <c r="E612">
        <v>6.2</v>
      </c>
      <c r="G612" s="23">
        <f t="shared" si="39"/>
        <v>11</v>
      </c>
      <c r="H612" s="23">
        <f t="shared" si="40"/>
        <v>20</v>
      </c>
    </row>
    <row r="613" spans="1:8" x14ac:dyDescent="0.25">
      <c r="A613" s="22">
        <v>41893.84375</v>
      </c>
      <c r="B613">
        <v>484.9</v>
      </c>
      <c r="C613">
        <v>94.3</v>
      </c>
      <c r="D613">
        <v>10.6</v>
      </c>
      <c r="E613">
        <v>6.2</v>
      </c>
      <c r="G613" s="23">
        <f t="shared" si="39"/>
        <v>11</v>
      </c>
      <c r="H613" s="23">
        <f t="shared" si="40"/>
        <v>20</v>
      </c>
    </row>
    <row r="614" spans="1:8" x14ac:dyDescent="0.25">
      <c r="A614" s="22">
        <v>41893.847222222219</v>
      </c>
      <c r="B614">
        <v>483.4</v>
      </c>
      <c r="C614">
        <v>94.3</v>
      </c>
      <c r="D614">
        <v>10.5</v>
      </c>
      <c r="E614">
        <v>6.1</v>
      </c>
      <c r="G614" s="23">
        <f t="shared" si="39"/>
        <v>11</v>
      </c>
      <c r="H614" s="23">
        <f t="shared" si="40"/>
        <v>20</v>
      </c>
    </row>
    <row r="615" spans="1:8" x14ac:dyDescent="0.25">
      <c r="A615" s="22">
        <v>41893.850694444445</v>
      </c>
      <c r="B615">
        <v>480.3</v>
      </c>
      <c r="C615">
        <v>94.4</v>
      </c>
      <c r="D615">
        <v>10.5</v>
      </c>
      <c r="E615">
        <v>6.2</v>
      </c>
      <c r="G615" s="23">
        <f t="shared" si="39"/>
        <v>11</v>
      </c>
      <c r="H615" s="23">
        <f t="shared" si="40"/>
        <v>20</v>
      </c>
    </row>
    <row r="616" spans="1:8" x14ac:dyDescent="0.25">
      <c r="A616" s="22">
        <v>41893.854166666664</v>
      </c>
      <c r="B616">
        <v>482</v>
      </c>
      <c r="C616">
        <v>94.3</v>
      </c>
      <c r="D616">
        <v>10.5</v>
      </c>
      <c r="E616">
        <v>6.2</v>
      </c>
      <c r="G616" s="23">
        <f t="shared" si="39"/>
        <v>11</v>
      </c>
      <c r="H616" s="23">
        <f t="shared" si="40"/>
        <v>20</v>
      </c>
    </row>
    <row r="617" spans="1:8" x14ac:dyDescent="0.25">
      <c r="A617" s="22">
        <v>41893.857638888891</v>
      </c>
      <c r="B617">
        <v>481.7</v>
      </c>
      <c r="C617">
        <v>94.3</v>
      </c>
      <c r="D617">
        <v>10.5</v>
      </c>
      <c r="E617">
        <v>6.1</v>
      </c>
      <c r="G617" s="23">
        <f t="shared" si="39"/>
        <v>11</v>
      </c>
      <c r="H617" s="23">
        <f t="shared" si="40"/>
        <v>20</v>
      </c>
    </row>
    <row r="618" spans="1:8" x14ac:dyDescent="0.25">
      <c r="A618" s="22">
        <v>41893.861111111109</v>
      </c>
      <c r="B618">
        <v>480.6</v>
      </c>
      <c r="C618">
        <v>94.3</v>
      </c>
      <c r="D618">
        <v>10.5</v>
      </c>
      <c r="E618">
        <v>6.1</v>
      </c>
      <c r="G618" s="23">
        <f t="shared" si="39"/>
        <v>11</v>
      </c>
      <c r="H618" s="23">
        <f t="shared" si="40"/>
        <v>20</v>
      </c>
    </row>
    <row r="619" spans="1:8" x14ac:dyDescent="0.25">
      <c r="A619" s="22">
        <v>41893.864583333336</v>
      </c>
      <c r="B619">
        <v>480.5</v>
      </c>
      <c r="C619">
        <v>94.4</v>
      </c>
      <c r="D619">
        <v>10.5</v>
      </c>
      <c r="E619">
        <v>6.1</v>
      </c>
      <c r="G619" s="23">
        <f t="shared" si="39"/>
        <v>11</v>
      </c>
      <c r="H619" s="23">
        <f t="shared" si="40"/>
        <v>20</v>
      </c>
    </row>
    <row r="620" spans="1:8" x14ac:dyDescent="0.25">
      <c r="A620" s="22">
        <v>41893.868055555555</v>
      </c>
      <c r="B620">
        <v>480</v>
      </c>
      <c r="C620">
        <v>94.4</v>
      </c>
      <c r="D620">
        <v>10.4</v>
      </c>
      <c r="E620">
        <v>6.1</v>
      </c>
      <c r="G620" s="23">
        <f t="shared" si="39"/>
        <v>11</v>
      </c>
      <c r="H620" s="23">
        <f t="shared" si="40"/>
        <v>20</v>
      </c>
    </row>
    <row r="621" spans="1:8" x14ac:dyDescent="0.25">
      <c r="A621" s="22">
        <v>41893.871527777781</v>
      </c>
      <c r="B621">
        <v>481.4</v>
      </c>
      <c r="C621">
        <v>94.3</v>
      </c>
      <c r="D621">
        <v>10.4</v>
      </c>
      <c r="E621">
        <v>6</v>
      </c>
      <c r="G621" s="23">
        <f t="shared" si="39"/>
        <v>11</v>
      </c>
      <c r="H621" s="23">
        <f t="shared" si="40"/>
        <v>20</v>
      </c>
    </row>
    <row r="622" spans="1:8" x14ac:dyDescent="0.25">
      <c r="A622" s="22">
        <v>41893.875</v>
      </c>
      <c r="B622">
        <v>480.3</v>
      </c>
      <c r="C622">
        <v>94.3</v>
      </c>
      <c r="D622">
        <v>10.4</v>
      </c>
      <c r="E622">
        <v>6</v>
      </c>
      <c r="G622" s="23">
        <f t="shared" si="39"/>
        <v>11</v>
      </c>
      <c r="H622" s="23">
        <f t="shared" si="40"/>
        <v>21</v>
      </c>
    </row>
    <row r="623" spans="1:8" x14ac:dyDescent="0.25">
      <c r="A623" s="22">
        <v>41893.878472222219</v>
      </c>
      <c r="B623">
        <v>480.7</v>
      </c>
      <c r="C623">
        <v>94.3</v>
      </c>
      <c r="D623">
        <v>10.4</v>
      </c>
      <c r="E623">
        <v>6</v>
      </c>
      <c r="G623" s="23">
        <f t="shared" si="39"/>
        <v>11</v>
      </c>
      <c r="H623" s="23">
        <f t="shared" si="40"/>
        <v>21</v>
      </c>
    </row>
    <row r="624" spans="1:8" x14ac:dyDescent="0.25">
      <c r="A624" s="22">
        <v>41893.881944444445</v>
      </c>
      <c r="B624">
        <v>483.2</v>
      </c>
      <c r="C624">
        <v>94.4</v>
      </c>
      <c r="D624">
        <v>10.4</v>
      </c>
      <c r="E624">
        <v>6</v>
      </c>
      <c r="G624" s="23">
        <f t="shared" si="39"/>
        <v>11</v>
      </c>
      <c r="H624" s="23">
        <f t="shared" si="40"/>
        <v>21</v>
      </c>
    </row>
    <row r="625" spans="1:8" x14ac:dyDescent="0.25">
      <c r="A625" s="22">
        <v>41893.885416666664</v>
      </c>
      <c r="B625">
        <v>482.1</v>
      </c>
      <c r="C625">
        <v>94.3</v>
      </c>
      <c r="D625">
        <v>10.4</v>
      </c>
      <c r="E625">
        <v>6</v>
      </c>
      <c r="G625" s="23">
        <f t="shared" si="39"/>
        <v>11</v>
      </c>
      <c r="H625" s="23">
        <f t="shared" si="40"/>
        <v>21</v>
      </c>
    </row>
    <row r="626" spans="1:8" x14ac:dyDescent="0.25">
      <c r="A626" s="22">
        <v>41893.888888888891</v>
      </c>
      <c r="B626">
        <v>480.4</v>
      </c>
      <c r="C626">
        <v>94.3</v>
      </c>
      <c r="D626">
        <v>10.4</v>
      </c>
      <c r="E626">
        <v>6.1</v>
      </c>
      <c r="G626" s="23">
        <f t="shared" si="39"/>
        <v>11</v>
      </c>
      <c r="H626" s="23">
        <f t="shared" si="40"/>
        <v>21</v>
      </c>
    </row>
    <row r="627" spans="1:8" x14ac:dyDescent="0.25">
      <c r="A627" s="22">
        <v>41893.892361111109</v>
      </c>
      <c r="B627">
        <v>478.9</v>
      </c>
      <c r="C627">
        <v>94.3</v>
      </c>
      <c r="D627">
        <v>10.4</v>
      </c>
      <c r="E627">
        <v>6.1</v>
      </c>
      <c r="G627" s="23">
        <f t="shared" si="39"/>
        <v>11</v>
      </c>
      <c r="H627" s="23">
        <f t="shared" si="40"/>
        <v>21</v>
      </c>
    </row>
    <row r="628" spans="1:8" x14ac:dyDescent="0.25">
      <c r="A628" s="22">
        <v>41893.895833333336</v>
      </c>
      <c r="B628">
        <v>479.4</v>
      </c>
      <c r="C628">
        <v>94.3</v>
      </c>
      <c r="D628">
        <v>10.4</v>
      </c>
      <c r="E628">
        <v>6.1</v>
      </c>
      <c r="G628" s="23">
        <f t="shared" si="39"/>
        <v>11</v>
      </c>
      <c r="H628" s="23">
        <f t="shared" si="40"/>
        <v>21</v>
      </c>
    </row>
    <row r="629" spans="1:8" x14ac:dyDescent="0.25">
      <c r="A629" s="22">
        <v>41893.899305555555</v>
      </c>
      <c r="B629">
        <v>479.5</v>
      </c>
      <c r="C629">
        <v>94.3</v>
      </c>
      <c r="D629">
        <v>10.4</v>
      </c>
      <c r="E629">
        <v>6.1</v>
      </c>
      <c r="G629" s="23">
        <f t="shared" si="39"/>
        <v>11</v>
      </c>
      <c r="H629" s="23">
        <f t="shared" si="40"/>
        <v>21</v>
      </c>
    </row>
    <row r="630" spans="1:8" x14ac:dyDescent="0.25">
      <c r="A630" s="22">
        <v>41893.902777777781</v>
      </c>
      <c r="B630">
        <v>480.5</v>
      </c>
      <c r="C630">
        <v>94.2</v>
      </c>
      <c r="D630">
        <v>10.4</v>
      </c>
      <c r="E630">
        <v>6.1</v>
      </c>
      <c r="G630" s="23">
        <f t="shared" si="39"/>
        <v>11</v>
      </c>
      <c r="H630" s="23">
        <f t="shared" si="40"/>
        <v>21</v>
      </c>
    </row>
    <row r="631" spans="1:8" x14ac:dyDescent="0.25">
      <c r="A631" s="22">
        <v>41893.90625</v>
      </c>
      <c r="B631">
        <v>479.9</v>
      </c>
      <c r="C631">
        <v>94.3</v>
      </c>
      <c r="D631">
        <v>10.4</v>
      </c>
      <c r="E631">
        <v>6.1</v>
      </c>
      <c r="G631" s="23">
        <f t="shared" si="39"/>
        <v>11</v>
      </c>
      <c r="H631" s="23">
        <f t="shared" si="40"/>
        <v>21</v>
      </c>
    </row>
    <row r="632" spans="1:8" x14ac:dyDescent="0.25">
      <c r="A632" s="22">
        <v>41893.909722222219</v>
      </c>
      <c r="B632">
        <v>482.9</v>
      </c>
      <c r="C632">
        <v>94.4</v>
      </c>
      <c r="D632">
        <v>10.4</v>
      </c>
      <c r="E632">
        <v>6</v>
      </c>
      <c r="G632" s="23">
        <f t="shared" si="39"/>
        <v>11</v>
      </c>
      <c r="H632" s="23">
        <f t="shared" si="40"/>
        <v>21</v>
      </c>
    </row>
    <row r="633" spans="1:8" x14ac:dyDescent="0.25">
      <c r="A633" s="22">
        <v>41893.913194444445</v>
      </c>
      <c r="B633">
        <v>482.4</v>
      </c>
      <c r="C633">
        <v>94.4</v>
      </c>
      <c r="D633">
        <v>10.4</v>
      </c>
      <c r="E633">
        <v>6</v>
      </c>
      <c r="G633" s="23">
        <f t="shared" si="39"/>
        <v>11</v>
      </c>
      <c r="H633" s="23">
        <f t="shared" si="40"/>
        <v>21</v>
      </c>
    </row>
    <row r="634" spans="1:8" x14ac:dyDescent="0.25">
      <c r="A634" s="22">
        <v>41893.916666666664</v>
      </c>
      <c r="B634">
        <v>480.7</v>
      </c>
      <c r="C634">
        <v>94.3</v>
      </c>
      <c r="D634">
        <v>10.4</v>
      </c>
      <c r="E634">
        <v>6.1</v>
      </c>
      <c r="G634" s="23">
        <f t="shared" si="39"/>
        <v>11</v>
      </c>
      <c r="H634" s="23">
        <f t="shared" si="40"/>
        <v>22</v>
      </c>
    </row>
    <row r="635" spans="1:8" x14ac:dyDescent="0.25">
      <c r="A635" s="22">
        <v>41893.920138888891</v>
      </c>
      <c r="B635">
        <v>481.5</v>
      </c>
      <c r="C635">
        <v>94.2</v>
      </c>
      <c r="D635">
        <v>10.5</v>
      </c>
      <c r="E635">
        <v>6.1</v>
      </c>
      <c r="G635" s="23">
        <f t="shared" si="39"/>
        <v>11</v>
      </c>
      <c r="H635" s="23">
        <f t="shared" si="40"/>
        <v>22</v>
      </c>
    </row>
    <row r="636" spans="1:8" x14ac:dyDescent="0.25">
      <c r="A636" s="22">
        <v>41893.923611111109</v>
      </c>
      <c r="B636">
        <v>480.7</v>
      </c>
      <c r="C636">
        <v>94.3</v>
      </c>
      <c r="D636">
        <v>10.5</v>
      </c>
      <c r="E636">
        <v>6.1</v>
      </c>
      <c r="G636" s="23">
        <f t="shared" si="39"/>
        <v>11</v>
      </c>
      <c r="H636" s="23">
        <f t="shared" si="40"/>
        <v>22</v>
      </c>
    </row>
    <row r="637" spans="1:8" x14ac:dyDescent="0.25">
      <c r="A637" s="22">
        <v>41893.927083333336</v>
      </c>
      <c r="B637">
        <v>481.9</v>
      </c>
      <c r="C637">
        <v>94.4</v>
      </c>
      <c r="D637">
        <v>10.4</v>
      </c>
      <c r="E637">
        <v>6.1</v>
      </c>
      <c r="G637" s="23">
        <f t="shared" si="39"/>
        <v>11</v>
      </c>
      <c r="H637" s="23">
        <f t="shared" si="40"/>
        <v>22</v>
      </c>
    </row>
    <row r="638" spans="1:8" x14ac:dyDescent="0.25">
      <c r="A638" s="22">
        <v>41893.930555555555</v>
      </c>
      <c r="B638">
        <v>481.4</v>
      </c>
      <c r="C638">
        <v>94.3</v>
      </c>
      <c r="D638">
        <v>10.4</v>
      </c>
      <c r="E638">
        <v>6</v>
      </c>
      <c r="G638" s="23">
        <f t="shared" si="39"/>
        <v>11</v>
      </c>
      <c r="H638" s="23">
        <f t="shared" si="40"/>
        <v>22</v>
      </c>
    </row>
    <row r="639" spans="1:8" x14ac:dyDescent="0.25">
      <c r="A639" s="22">
        <v>41893.934027777781</v>
      </c>
      <c r="B639">
        <v>481.9</v>
      </c>
      <c r="C639">
        <v>94.3</v>
      </c>
      <c r="D639">
        <v>10.4</v>
      </c>
      <c r="E639">
        <v>6</v>
      </c>
      <c r="G639" s="23">
        <f t="shared" si="39"/>
        <v>11</v>
      </c>
      <c r="H639" s="23">
        <f t="shared" si="40"/>
        <v>22</v>
      </c>
    </row>
    <row r="640" spans="1:8" x14ac:dyDescent="0.25">
      <c r="A640" s="22">
        <v>41893.9375</v>
      </c>
      <c r="B640">
        <v>482.7</v>
      </c>
      <c r="C640">
        <v>94.3</v>
      </c>
      <c r="D640">
        <v>10.4</v>
      </c>
      <c r="E640">
        <v>6</v>
      </c>
      <c r="G640" s="23">
        <f t="shared" si="39"/>
        <v>11</v>
      </c>
      <c r="H640" s="23">
        <f t="shared" si="40"/>
        <v>22</v>
      </c>
    </row>
    <row r="641" spans="1:8" x14ac:dyDescent="0.25">
      <c r="A641" s="22">
        <v>41893.940972222219</v>
      </c>
      <c r="B641">
        <v>485</v>
      </c>
      <c r="C641">
        <v>94.3</v>
      </c>
      <c r="D641">
        <v>10.3</v>
      </c>
      <c r="E641">
        <v>5.9</v>
      </c>
      <c r="G641" s="23">
        <f t="shared" si="39"/>
        <v>11</v>
      </c>
      <c r="H641" s="23">
        <f t="shared" si="40"/>
        <v>22</v>
      </c>
    </row>
    <row r="642" spans="1:8" x14ac:dyDescent="0.25">
      <c r="A642" s="22">
        <v>41893.944444444445</v>
      </c>
      <c r="B642">
        <v>484.1</v>
      </c>
      <c r="C642">
        <v>94.2</v>
      </c>
      <c r="D642">
        <v>10.3</v>
      </c>
      <c r="E642">
        <v>5.9</v>
      </c>
      <c r="G642" s="23">
        <f t="shared" si="39"/>
        <v>11</v>
      </c>
      <c r="H642" s="23">
        <f t="shared" si="40"/>
        <v>22</v>
      </c>
    </row>
    <row r="643" spans="1:8" x14ac:dyDescent="0.25">
      <c r="A643" s="22">
        <v>41893.947916666664</v>
      </c>
      <c r="B643">
        <v>479.2</v>
      </c>
      <c r="C643">
        <v>94.3</v>
      </c>
      <c r="D643">
        <v>10.199999999999999</v>
      </c>
      <c r="E643">
        <v>5.9</v>
      </c>
      <c r="G643" s="23">
        <f t="shared" si="39"/>
        <v>11</v>
      </c>
      <c r="H643" s="23">
        <f t="shared" si="40"/>
        <v>22</v>
      </c>
    </row>
    <row r="644" spans="1:8" x14ac:dyDescent="0.25">
      <c r="A644" s="22">
        <v>41893.951388888891</v>
      </c>
      <c r="B644">
        <v>457.9</v>
      </c>
      <c r="C644">
        <v>94.3</v>
      </c>
      <c r="D644">
        <v>9.9</v>
      </c>
      <c r="E644">
        <v>5.8</v>
      </c>
      <c r="G644" s="23">
        <f t="shared" si="39"/>
        <v>11</v>
      </c>
      <c r="H644" s="23">
        <f t="shared" si="40"/>
        <v>22</v>
      </c>
    </row>
    <row r="645" spans="1:8" x14ac:dyDescent="0.25">
      <c r="A645" s="22">
        <v>41893.954861111109</v>
      </c>
      <c r="B645">
        <v>445.7</v>
      </c>
      <c r="C645">
        <v>94.2</v>
      </c>
      <c r="D645">
        <v>9.8000000000000007</v>
      </c>
      <c r="E645">
        <v>5.8</v>
      </c>
      <c r="G645" s="23">
        <f t="shared" si="39"/>
        <v>11</v>
      </c>
      <c r="H645" s="23">
        <f t="shared" si="40"/>
        <v>22</v>
      </c>
    </row>
    <row r="646" spans="1:8" x14ac:dyDescent="0.25">
      <c r="A646" s="22">
        <v>41893.958333333336</v>
      </c>
      <c r="B646">
        <v>463.9</v>
      </c>
      <c r="C646">
        <v>94.3</v>
      </c>
      <c r="D646">
        <v>10.1</v>
      </c>
      <c r="E646">
        <v>5.8</v>
      </c>
      <c r="G646" s="23">
        <f t="shared" ref="G646:G709" si="41">+DAY(A646)</f>
        <v>11</v>
      </c>
      <c r="H646" s="23">
        <f t="shared" ref="H646:H709" si="42">+HOUR(A646)</f>
        <v>23</v>
      </c>
    </row>
    <row r="647" spans="1:8" x14ac:dyDescent="0.25">
      <c r="A647" s="22">
        <v>41893.961805555555</v>
      </c>
      <c r="B647">
        <v>455.4</v>
      </c>
      <c r="C647">
        <v>94.2</v>
      </c>
      <c r="D647">
        <v>9.9</v>
      </c>
      <c r="E647">
        <v>5.8</v>
      </c>
      <c r="G647" s="23">
        <f t="shared" si="41"/>
        <v>11</v>
      </c>
      <c r="H647" s="23">
        <f t="shared" si="42"/>
        <v>23</v>
      </c>
    </row>
    <row r="648" spans="1:8" x14ac:dyDescent="0.25">
      <c r="A648" s="22">
        <v>41893.965277777781</v>
      </c>
      <c r="B648">
        <v>435.8</v>
      </c>
      <c r="C648">
        <v>94.1</v>
      </c>
      <c r="D648">
        <v>9.6999999999999993</v>
      </c>
      <c r="E648">
        <v>5.8</v>
      </c>
      <c r="G648" s="23">
        <f t="shared" si="41"/>
        <v>11</v>
      </c>
      <c r="H648" s="23">
        <f t="shared" si="42"/>
        <v>23</v>
      </c>
    </row>
    <row r="649" spans="1:8" x14ac:dyDescent="0.25">
      <c r="A649" s="22">
        <v>41893.96875</v>
      </c>
      <c r="B649">
        <v>428.9</v>
      </c>
      <c r="C649">
        <v>94.2</v>
      </c>
      <c r="D649">
        <v>9.6999999999999993</v>
      </c>
      <c r="E649">
        <v>5.8</v>
      </c>
      <c r="G649" s="23">
        <f t="shared" si="41"/>
        <v>11</v>
      </c>
      <c r="H649" s="23">
        <f t="shared" si="42"/>
        <v>23</v>
      </c>
    </row>
    <row r="650" spans="1:8" x14ac:dyDescent="0.25">
      <c r="A650" s="22">
        <v>41893.972222222219</v>
      </c>
      <c r="B650">
        <v>427.4</v>
      </c>
      <c r="C650">
        <v>94.3</v>
      </c>
      <c r="D650">
        <v>9.6999999999999993</v>
      </c>
      <c r="E650">
        <v>5.8</v>
      </c>
      <c r="G650" s="23">
        <f t="shared" si="41"/>
        <v>11</v>
      </c>
      <c r="H650" s="23">
        <f t="shared" si="42"/>
        <v>23</v>
      </c>
    </row>
    <row r="651" spans="1:8" x14ac:dyDescent="0.25">
      <c r="A651" s="22">
        <v>41893.975694444445</v>
      </c>
      <c r="B651">
        <v>423.7</v>
      </c>
      <c r="C651">
        <v>94.3</v>
      </c>
      <c r="D651">
        <v>9.6</v>
      </c>
      <c r="E651">
        <v>5.8</v>
      </c>
      <c r="G651" s="23">
        <f t="shared" si="41"/>
        <v>11</v>
      </c>
      <c r="H651" s="23">
        <f t="shared" si="42"/>
        <v>23</v>
      </c>
    </row>
    <row r="652" spans="1:8" x14ac:dyDescent="0.25">
      <c r="A652" s="22">
        <v>41893.979166666664</v>
      </c>
      <c r="B652">
        <v>421.1</v>
      </c>
      <c r="C652">
        <v>94.2</v>
      </c>
      <c r="D652">
        <v>9.6</v>
      </c>
      <c r="E652">
        <v>5.8</v>
      </c>
      <c r="G652" s="23">
        <f t="shared" si="41"/>
        <v>11</v>
      </c>
      <c r="H652" s="23">
        <f t="shared" si="42"/>
        <v>23</v>
      </c>
    </row>
    <row r="653" spans="1:8" x14ac:dyDescent="0.25">
      <c r="A653" s="22">
        <v>41893.982638888891</v>
      </c>
      <c r="B653">
        <v>419.9</v>
      </c>
      <c r="C653">
        <v>94.2</v>
      </c>
      <c r="D653">
        <v>9.6</v>
      </c>
      <c r="E653">
        <v>5.8</v>
      </c>
      <c r="G653" s="23">
        <f t="shared" si="41"/>
        <v>11</v>
      </c>
      <c r="H653" s="23">
        <f t="shared" si="42"/>
        <v>23</v>
      </c>
    </row>
    <row r="654" spans="1:8" x14ac:dyDescent="0.25">
      <c r="A654" s="22">
        <v>41893.986111111109</v>
      </c>
      <c r="B654">
        <v>423.5</v>
      </c>
      <c r="C654">
        <v>94.3</v>
      </c>
      <c r="D654">
        <v>9.6</v>
      </c>
      <c r="E654">
        <v>5.8</v>
      </c>
      <c r="G654" s="23">
        <f t="shared" si="41"/>
        <v>11</v>
      </c>
      <c r="H654" s="23">
        <f t="shared" si="42"/>
        <v>23</v>
      </c>
    </row>
    <row r="655" spans="1:8" x14ac:dyDescent="0.25">
      <c r="A655" s="22">
        <v>41893.989583333336</v>
      </c>
      <c r="B655">
        <v>424.1</v>
      </c>
      <c r="C655">
        <v>94.2</v>
      </c>
      <c r="D655">
        <v>9.6</v>
      </c>
      <c r="E655">
        <v>5.8</v>
      </c>
      <c r="G655" s="23">
        <f t="shared" si="41"/>
        <v>11</v>
      </c>
      <c r="H655" s="23">
        <f t="shared" si="42"/>
        <v>23</v>
      </c>
    </row>
    <row r="656" spans="1:8" x14ac:dyDescent="0.25">
      <c r="A656" s="22">
        <v>41893.993055555555</v>
      </c>
      <c r="B656">
        <v>423.2</v>
      </c>
      <c r="C656">
        <v>94.2</v>
      </c>
      <c r="D656">
        <v>9.6</v>
      </c>
      <c r="E656">
        <v>5.8</v>
      </c>
      <c r="G656" s="23">
        <f t="shared" si="41"/>
        <v>11</v>
      </c>
      <c r="H656" s="23">
        <f t="shared" si="42"/>
        <v>23</v>
      </c>
    </row>
    <row r="657" spans="1:8" x14ac:dyDescent="0.25">
      <c r="A657" s="22">
        <v>41893.996527777781</v>
      </c>
      <c r="B657">
        <v>420.5</v>
      </c>
      <c r="C657">
        <v>94.2</v>
      </c>
      <c r="D657">
        <v>9.6</v>
      </c>
      <c r="E657">
        <v>5.8</v>
      </c>
      <c r="G657" s="23">
        <f t="shared" si="41"/>
        <v>11</v>
      </c>
      <c r="H657" s="23">
        <f t="shared" si="42"/>
        <v>23</v>
      </c>
    </row>
    <row r="658" spans="1:8" x14ac:dyDescent="0.25">
      <c r="A658" s="22">
        <v>41894</v>
      </c>
      <c r="B658">
        <v>422.2</v>
      </c>
      <c r="C658">
        <v>94.3</v>
      </c>
      <c r="D658">
        <v>9.6</v>
      </c>
      <c r="E658">
        <v>5.8</v>
      </c>
      <c r="G658" s="23">
        <f t="shared" si="41"/>
        <v>12</v>
      </c>
      <c r="H658" s="23">
        <f t="shared" si="42"/>
        <v>0</v>
      </c>
    </row>
    <row r="659" spans="1:8" x14ac:dyDescent="0.25">
      <c r="A659" s="22">
        <v>41894.003472222219</v>
      </c>
      <c r="B659">
        <v>420.6</v>
      </c>
      <c r="C659">
        <v>94.2</v>
      </c>
      <c r="D659">
        <v>9.6</v>
      </c>
      <c r="E659">
        <v>5.8</v>
      </c>
      <c r="G659" s="23">
        <f t="shared" si="41"/>
        <v>12</v>
      </c>
      <c r="H659" s="23">
        <f t="shared" si="42"/>
        <v>0</v>
      </c>
    </row>
    <row r="660" spans="1:8" x14ac:dyDescent="0.25">
      <c r="A660" s="22">
        <v>41894.006944444445</v>
      </c>
      <c r="B660">
        <v>419.2</v>
      </c>
      <c r="C660">
        <v>94.3</v>
      </c>
      <c r="D660">
        <v>9.6</v>
      </c>
      <c r="E660">
        <v>5.8</v>
      </c>
      <c r="G660" s="23">
        <f t="shared" si="41"/>
        <v>12</v>
      </c>
      <c r="H660" s="23">
        <f t="shared" si="42"/>
        <v>0</v>
      </c>
    </row>
    <row r="661" spans="1:8" x14ac:dyDescent="0.25">
      <c r="A661" s="22">
        <v>41894.010416666664</v>
      </c>
      <c r="B661">
        <v>421.2</v>
      </c>
      <c r="C661">
        <v>94.3</v>
      </c>
      <c r="D661">
        <v>9.6</v>
      </c>
      <c r="E661">
        <v>5.8</v>
      </c>
      <c r="G661" s="23">
        <f t="shared" si="41"/>
        <v>12</v>
      </c>
      <c r="H661" s="23">
        <f t="shared" si="42"/>
        <v>0</v>
      </c>
    </row>
    <row r="662" spans="1:8" x14ac:dyDescent="0.25">
      <c r="A662" s="22">
        <v>41894.013888888891</v>
      </c>
      <c r="B662">
        <v>418.2</v>
      </c>
      <c r="C662">
        <v>94.3</v>
      </c>
      <c r="D662">
        <v>9.6</v>
      </c>
      <c r="E662">
        <v>5.8</v>
      </c>
      <c r="G662" s="23">
        <f t="shared" si="41"/>
        <v>12</v>
      </c>
      <c r="H662" s="23">
        <f t="shared" si="42"/>
        <v>0</v>
      </c>
    </row>
    <row r="663" spans="1:8" x14ac:dyDescent="0.25">
      <c r="A663" s="22">
        <v>41894.017361111109</v>
      </c>
      <c r="B663">
        <v>420</v>
      </c>
      <c r="C663">
        <v>94.3</v>
      </c>
      <c r="D663">
        <v>9.6</v>
      </c>
      <c r="E663">
        <v>5.8</v>
      </c>
      <c r="G663" s="23">
        <f t="shared" si="41"/>
        <v>12</v>
      </c>
      <c r="H663" s="23">
        <f t="shared" si="42"/>
        <v>0</v>
      </c>
    </row>
    <row r="664" spans="1:8" x14ac:dyDescent="0.25">
      <c r="A664" s="22">
        <v>41894.020833333336</v>
      </c>
      <c r="B664">
        <v>419.7</v>
      </c>
      <c r="C664">
        <v>94.3</v>
      </c>
      <c r="D664">
        <v>9.6</v>
      </c>
      <c r="E664">
        <v>5.8</v>
      </c>
      <c r="G664" s="23">
        <f t="shared" si="41"/>
        <v>12</v>
      </c>
      <c r="H664" s="23">
        <f t="shared" si="42"/>
        <v>0</v>
      </c>
    </row>
    <row r="665" spans="1:8" x14ac:dyDescent="0.25">
      <c r="A665" s="22">
        <v>41894.024305555555</v>
      </c>
      <c r="B665">
        <v>416.9</v>
      </c>
      <c r="C665">
        <v>94.1</v>
      </c>
      <c r="D665">
        <v>9.6</v>
      </c>
      <c r="E665">
        <v>5.8</v>
      </c>
      <c r="G665" s="23">
        <f t="shared" si="41"/>
        <v>12</v>
      </c>
      <c r="H665" s="23">
        <f t="shared" si="42"/>
        <v>0</v>
      </c>
    </row>
    <row r="666" spans="1:8" x14ac:dyDescent="0.25">
      <c r="A666" s="22">
        <v>41894.027777777781</v>
      </c>
      <c r="B666">
        <v>416.9</v>
      </c>
      <c r="C666">
        <v>94.3</v>
      </c>
      <c r="D666">
        <v>9.6</v>
      </c>
      <c r="E666">
        <v>5.8</v>
      </c>
      <c r="G666" s="23">
        <f t="shared" si="41"/>
        <v>12</v>
      </c>
      <c r="H666" s="23">
        <f t="shared" si="42"/>
        <v>0</v>
      </c>
    </row>
    <row r="667" spans="1:8" x14ac:dyDescent="0.25">
      <c r="A667" s="22">
        <v>41894.03125</v>
      </c>
      <c r="B667">
        <v>418.7</v>
      </c>
      <c r="C667">
        <v>94.3</v>
      </c>
      <c r="D667">
        <v>9.6</v>
      </c>
      <c r="E667">
        <v>5.8</v>
      </c>
      <c r="G667" s="23">
        <f t="shared" si="41"/>
        <v>12</v>
      </c>
      <c r="H667" s="23">
        <f t="shared" si="42"/>
        <v>0</v>
      </c>
    </row>
    <row r="668" spans="1:8" x14ac:dyDescent="0.25">
      <c r="A668" s="22">
        <v>41894.034722222219</v>
      </c>
      <c r="B668">
        <v>417.2</v>
      </c>
      <c r="C668">
        <v>94.4</v>
      </c>
      <c r="D668">
        <v>9.6</v>
      </c>
      <c r="E668">
        <v>5.8</v>
      </c>
      <c r="G668" s="23">
        <f t="shared" si="41"/>
        <v>12</v>
      </c>
      <c r="H668" s="23">
        <f t="shared" si="42"/>
        <v>0</v>
      </c>
    </row>
    <row r="669" spans="1:8" x14ac:dyDescent="0.25">
      <c r="A669" s="22">
        <v>41894.038194444445</v>
      </c>
      <c r="B669">
        <v>412.2</v>
      </c>
      <c r="C669">
        <v>94.3</v>
      </c>
      <c r="D669">
        <v>9.5</v>
      </c>
      <c r="E669">
        <v>5.8</v>
      </c>
      <c r="G669" s="23">
        <f t="shared" si="41"/>
        <v>12</v>
      </c>
      <c r="H669" s="23">
        <f t="shared" si="42"/>
        <v>0</v>
      </c>
    </row>
    <row r="670" spans="1:8" x14ac:dyDescent="0.25">
      <c r="A670" s="22">
        <v>41894.041666666664</v>
      </c>
      <c r="B670">
        <v>411.7</v>
      </c>
      <c r="C670">
        <v>94.2</v>
      </c>
      <c r="D670">
        <v>9.5</v>
      </c>
      <c r="E670">
        <v>5.8</v>
      </c>
      <c r="G670" s="23">
        <f t="shared" si="41"/>
        <v>12</v>
      </c>
      <c r="H670" s="23">
        <f t="shared" si="42"/>
        <v>1</v>
      </c>
    </row>
    <row r="671" spans="1:8" x14ac:dyDescent="0.25">
      <c r="A671" s="22">
        <v>41894.045138888891</v>
      </c>
      <c r="B671">
        <v>415.8</v>
      </c>
      <c r="C671">
        <v>94.4</v>
      </c>
      <c r="D671">
        <v>9.6</v>
      </c>
      <c r="E671">
        <v>5.8</v>
      </c>
      <c r="G671" s="23">
        <f t="shared" si="41"/>
        <v>12</v>
      </c>
      <c r="H671" s="23">
        <f t="shared" si="42"/>
        <v>1</v>
      </c>
    </row>
    <row r="672" spans="1:8" x14ac:dyDescent="0.25">
      <c r="A672" s="22">
        <v>41894.048611111109</v>
      </c>
      <c r="B672">
        <v>415</v>
      </c>
      <c r="C672">
        <v>94.3</v>
      </c>
      <c r="D672">
        <v>9.6</v>
      </c>
      <c r="E672">
        <v>5.8</v>
      </c>
      <c r="G672" s="23">
        <f t="shared" si="41"/>
        <v>12</v>
      </c>
      <c r="H672" s="23">
        <f t="shared" si="42"/>
        <v>1</v>
      </c>
    </row>
    <row r="673" spans="1:8" x14ac:dyDescent="0.25">
      <c r="A673" s="22">
        <v>41894.052083333336</v>
      </c>
      <c r="B673">
        <v>412.3</v>
      </c>
      <c r="C673">
        <v>94.2</v>
      </c>
      <c r="D673">
        <v>9.5</v>
      </c>
      <c r="E673">
        <v>5.8</v>
      </c>
      <c r="G673" s="23">
        <f t="shared" si="41"/>
        <v>12</v>
      </c>
      <c r="H673" s="23">
        <f t="shared" si="42"/>
        <v>1</v>
      </c>
    </row>
    <row r="674" spans="1:8" x14ac:dyDescent="0.25">
      <c r="A674" s="22">
        <v>41894.055555555555</v>
      </c>
      <c r="B674">
        <v>408.3</v>
      </c>
      <c r="C674">
        <v>94.2</v>
      </c>
      <c r="D674">
        <v>9.5</v>
      </c>
      <c r="E674">
        <v>5.8</v>
      </c>
      <c r="G674" s="23">
        <f t="shared" si="41"/>
        <v>12</v>
      </c>
      <c r="H674" s="23">
        <f t="shared" si="42"/>
        <v>1</v>
      </c>
    </row>
    <row r="675" spans="1:8" x14ac:dyDescent="0.25">
      <c r="A675" s="22">
        <v>41894.059027777781</v>
      </c>
      <c r="B675">
        <v>403.1</v>
      </c>
      <c r="C675">
        <v>94.3</v>
      </c>
      <c r="D675">
        <v>9.4</v>
      </c>
      <c r="E675">
        <v>5.8</v>
      </c>
      <c r="G675" s="23">
        <f t="shared" si="41"/>
        <v>12</v>
      </c>
      <c r="H675" s="23">
        <f t="shared" si="42"/>
        <v>1</v>
      </c>
    </row>
    <row r="676" spans="1:8" x14ac:dyDescent="0.25">
      <c r="A676" s="22">
        <v>41894.0625</v>
      </c>
      <c r="B676">
        <v>397.2</v>
      </c>
      <c r="C676">
        <v>94.4</v>
      </c>
      <c r="D676">
        <v>9.4</v>
      </c>
      <c r="E676">
        <v>5.8</v>
      </c>
      <c r="G676" s="23">
        <f t="shared" si="41"/>
        <v>12</v>
      </c>
      <c r="H676" s="23">
        <f t="shared" si="42"/>
        <v>1</v>
      </c>
    </row>
    <row r="677" spans="1:8" x14ac:dyDescent="0.25">
      <c r="A677" s="22">
        <v>41894.065972222219</v>
      </c>
      <c r="B677">
        <v>394.9</v>
      </c>
      <c r="C677">
        <v>94.3</v>
      </c>
      <c r="D677">
        <v>9.4</v>
      </c>
      <c r="E677">
        <v>5.8</v>
      </c>
      <c r="G677" s="23">
        <f t="shared" si="41"/>
        <v>12</v>
      </c>
      <c r="H677" s="23">
        <f t="shared" si="42"/>
        <v>1</v>
      </c>
    </row>
    <row r="678" spans="1:8" x14ac:dyDescent="0.25">
      <c r="A678" s="22">
        <v>41894.069444444445</v>
      </c>
      <c r="B678">
        <v>391.9</v>
      </c>
      <c r="C678">
        <v>94.2</v>
      </c>
      <c r="D678">
        <v>9.3000000000000007</v>
      </c>
      <c r="E678">
        <v>5.8</v>
      </c>
      <c r="G678" s="23">
        <f t="shared" si="41"/>
        <v>12</v>
      </c>
      <c r="H678" s="23">
        <f t="shared" si="42"/>
        <v>1</v>
      </c>
    </row>
    <row r="679" spans="1:8" x14ac:dyDescent="0.25">
      <c r="A679" s="22">
        <v>41894.072916666664</v>
      </c>
      <c r="B679">
        <v>388</v>
      </c>
      <c r="C679">
        <v>94.3</v>
      </c>
      <c r="D679">
        <v>9.3000000000000007</v>
      </c>
      <c r="E679">
        <v>5.8</v>
      </c>
      <c r="G679" s="23">
        <f t="shared" si="41"/>
        <v>12</v>
      </c>
      <c r="H679" s="23">
        <f t="shared" si="42"/>
        <v>1</v>
      </c>
    </row>
    <row r="680" spans="1:8" x14ac:dyDescent="0.25">
      <c r="A680" s="22">
        <v>41894.076388888891</v>
      </c>
      <c r="B680">
        <v>386.3</v>
      </c>
      <c r="C680">
        <v>94.2</v>
      </c>
      <c r="D680">
        <v>9.3000000000000007</v>
      </c>
      <c r="E680">
        <v>5.8</v>
      </c>
      <c r="G680" s="23">
        <f t="shared" si="41"/>
        <v>12</v>
      </c>
      <c r="H680" s="23">
        <f t="shared" si="42"/>
        <v>1</v>
      </c>
    </row>
    <row r="681" spans="1:8" x14ac:dyDescent="0.25">
      <c r="A681" s="22">
        <v>41894.079861111109</v>
      </c>
      <c r="B681">
        <v>386.6</v>
      </c>
      <c r="C681">
        <v>94.3</v>
      </c>
      <c r="D681">
        <v>9.3000000000000007</v>
      </c>
      <c r="E681">
        <v>5.8</v>
      </c>
      <c r="G681" s="23">
        <f t="shared" si="41"/>
        <v>12</v>
      </c>
      <c r="H681" s="23">
        <f t="shared" si="42"/>
        <v>1</v>
      </c>
    </row>
    <row r="682" spans="1:8" x14ac:dyDescent="0.25">
      <c r="A682" s="22">
        <v>41894.083333333336</v>
      </c>
      <c r="B682">
        <v>386</v>
      </c>
      <c r="C682">
        <v>94.2</v>
      </c>
      <c r="D682">
        <v>9.3000000000000007</v>
      </c>
      <c r="E682">
        <v>5.8</v>
      </c>
      <c r="G682" s="23">
        <f t="shared" si="41"/>
        <v>12</v>
      </c>
      <c r="H682" s="23">
        <f t="shared" si="42"/>
        <v>2</v>
      </c>
    </row>
    <row r="683" spans="1:8" x14ac:dyDescent="0.25">
      <c r="A683" s="22">
        <v>41894.086805555555</v>
      </c>
      <c r="B683">
        <v>385.9</v>
      </c>
      <c r="C683">
        <v>94.3</v>
      </c>
      <c r="D683">
        <v>9.3000000000000007</v>
      </c>
      <c r="E683">
        <v>5.8</v>
      </c>
      <c r="G683" s="23">
        <f t="shared" si="41"/>
        <v>12</v>
      </c>
      <c r="H683" s="23">
        <f t="shared" si="42"/>
        <v>2</v>
      </c>
    </row>
    <row r="684" spans="1:8" x14ac:dyDescent="0.25">
      <c r="A684" s="22">
        <v>41894.090277777781</v>
      </c>
      <c r="B684">
        <v>384.7</v>
      </c>
      <c r="C684">
        <v>94.3</v>
      </c>
      <c r="D684">
        <v>9.3000000000000007</v>
      </c>
      <c r="E684">
        <v>5.8</v>
      </c>
      <c r="G684" s="23">
        <f t="shared" si="41"/>
        <v>12</v>
      </c>
      <c r="H684" s="23">
        <f t="shared" si="42"/>
        <v>2</v>
      </c>
    </row>
    <row r="685" spans="1:8" x14ac:dyDescent="0.25">
      <c r="A685" s="22">
        <v>41894.09375</v>
      </c>
      <c r="B685">
        <v>386.3</v>
      </c>
      <c r="C685">
        <v>94.3</v>
      </c>
      <c r="D685">
        <v>9.3000000000000007</v>
      </c>
      <c r="E685">
        <v>5.8</v>
      </c>
      <c r="G685" s="23">
        <f t="shared" si="41"/>
        <v>12</v>
      </c>
      <c r="H685" s="23">
        <f t="shared" si="42"/>
        <v>2</v>
      </c>
    </row>
    <row r="686" spans="1:8" x14ac:dyDescent="0.25">
      <c r="A686" s="22">
        <v>41894.097222222219</v>
      </c>
      <c r="B686">
        <v>388.4</v>
      </c>
      <c r="C686">
        <v>94.3</v>
      </c>
      <c r="D686">
        <v>9.3000000000000007</v>
      </c>
      <c r="E686">
        <v>5.8</v>
      </c>
      <c r="G686" s="23">
        <f t="shared" si="41"/>
        <v>12</v>
      </c>
      <c r="H686" s="23">
        <f t="shared" si="42"/>
        <v>2</v>
      </c>
    </row>
    <row r="687" spans="1:8" x14ac:dyDescent="0.25">
      <c r="A687" s="22">
        <v>41894.100694444445</v>
      </c>
      <c r="B687">
        <v>386.2</v>
      </c>
      <c r="C687">
        <v>94.3</v>
      </c>
      <c r="D687">
        <v>9.3000000000000007</v>
      </c>
      <c r="E687">
        <v>5.8</v>
      </c>
      <c r="G687" s="23">
        <f t="shared" si="41"/>
        <v>12</v>
      </c>
      <c r="H687" s="23">
        <f t="shared" si="42"/>
        <v>2</v>
      </c>
    </row>
    <row r="688" spans="1:8" x14ac:dyDescent="0.25">
      <c r="A688" s="22">
        <v>41894.104166666664</v>
      </c>
      <c r="B688">
        <v>383.6</v>
      </c>
      <c r="C688">
        <v>94.3</v>
      </c>
      <c r="D688">
        <v>9.3000000000000007</v>
      </c>
      <c r="E688">
        <v>5.8</v>
      </c>
      <c r="G688" s="23">
        <f t="shared" si="41"/>
        <v>12</v>
      </c>
      <c r="H688" s="23">
        <f t="shared" si="42"/>
        <v>2</v>
      </c>
    </row>
    <row r="689" spans="1:8" x14ac:dyDescent="0.25">
      <c r="A689" s="22">
        <v>41894.107638888891</v>
      </c>
      <c r="B689">
        <v>380.8</v>
      </c>
      <c r="C689">
        <v>94.4</v>
      </c>
      <c r="D689">
        <v>9.1999999999999993</v>
      </c>
      <c r="E689">
        <v>5.8</v>
      </c>
      <c r="G689" s="23">
        <f t="shared" si="41"/>
        <v>12</v>
      </c>
      <c r="H689" s="23">
        <f t="shared" si="42"/>
        <v>2</v>
      </c>
    </row>
    <row r="690" spans="1:8" x14ac:dyDescent="0.25">
      <c r="A690" s="22">
        <v>41894.111111111109</v>
      </c>
      <c r="B690">
        <v>382.7</v>
      </c>
      <c r="C690">
        <v>94.3</v>
      </c>
      <c r="D690">
        <v>9.3000000000000007</v>
      </c>
      <c r="E690">
        <v>5.8</v>
      </c>
      <c r="G690" s="23">
        <f t="shared" si="41"/>
        <v>12</v>
      </c>
      <c r="H690" s="23">
        <f t="shared" si="42"/>
        <v>2</v>
      </c>
    </row>
    <row r="691" spans="1:8" x14ac:dyDescent="0.25">
      <c r="A691" s="22">
        <v>41894.114583333336</v>
      </c>
      <c r="B691">
        <v>382.9</v>
      </c>
      <c r="C691">
        <v>94.2</v>
      </c>
      <c r="D691">
        <v>9.3000000000000007</v>
      </c>
      <c r="E691">
        <v>5.8</v>
      </c>
      <c r="G691" s="23">
        <f t="shared" si="41"/>
        <v>12</v>
      </c>
      <c r="H691" s="23">
        <f t="shared" si="42"/>
        <v>2</v>
      </c>
    </row>
    <row r="692" spans="1:8" x14ac:dyDescent="0.25">
      <c r="A692" s="22">
        <v>41894.118055555555</v>
      </c>
      <c r="B692">
        <v>384.4</v>
      </c>
      <c r="C692">
        <v>94.2</v>
      </c>
      <c r="D692">
        <v>9.3000000000000007</v>
      </c>
      <c r="E692">
        <v>5.8</v>
      </c>
      <c r="G692" s="23">
        <f t="shared" si="41"/>
        <v>12</v>
      </c>
      <c r="H692" s="23">
        <f t="shared" si="42"/>
        <v>2</v>
      </c>
    </row>
    <row r="693" spans="1:8" x14ac:dyDescent="0.25">
      <c r="A693" s="22">
        <v>41894.121527777781</v>
      </c>
      <c r="B693">
        <v>384.7</v>
      </c>
      <c r="C693">
        <v>94.3</v>
      </c>
      <c r="D693">
        <v>9.3000000000000007</v>
      </c>
      <c r="E693">
        <v>5.8</v>
      </c>
      <c r="G693" s="23">
        <f t="shared" si="41"/>
        <v>12</v>
      </c>
      <c r="H693" s="23">
        <f t="shared" si="42"/>
        <v>2</v>
      </c>
    </row>
    <row r="694" spans="1:8" x14ac:dyDescent="0.25">
      <c r="A694" s="22">
        <v>41894.125</v>
      </c>
      <c r="B694">
        <v>383.3</v>
      </c>
      <c r="C694">
        <v>94.3</v>
      </c>
      <c r="D694">
        <v>9.3000000000000007</v>
      </c>
      <c r="E694">
        <v>5.8</v>
      </c>
      <c r="G694" s="23">
        <f t="shared" si="41"/>
        <v>12</v>
      </c>
      <c r="H694" s="23">
        <f t="shared" si="42"/>
        <v>3</v>
      </c>
    </row>
    <row r="695" spans="1:8" x14ac:dyDescent="0.25">
      <c r="A695" s="22">
        <v>41894.128472222219</v>
      </c>
      <c r="B695">
        <v>381.1</v>
      </c>
      <c r="C695">
        <v>94.3</v>
      </c>
      <c r="D695">
        <v>9.1999999999999993</v>
      </c>
      <c r="E695">
        <v>5.8</v>
      </c>
      <c r="G695" s="23">
        <f t="shared" si="41"/>
        <v>12</v>
      </c>
      <c r="H695" s="23">
        <f t="shared" si="42"/>
        <v>3</v>
      </c>
    </row>
    <row r="696" spans="1:8" x14ac:dyDescent="0.25">
      <c r="A696" s="22">
        <v>41894.131944444445</v>
      </c>
      <c r="B696">
        <v>378.8</v>
      </c>
      <c r="C696">
        <v>94.2</v>
      </c>
      <c r="D696">
        <v>9.1999999999999993</v>
      </c>
      <c r="E696">
        <v>5.8</v>
      </c>
      <c r="G696" s="23">
        <f t="shared" si="41"/>
        <v>12</v>
      </c>
      <c r="H696" s="23">
        <f t="shared" si="42"/>
        <v>3</v>
      </c>
    </row>
    <row r="697" spans="1:8" x14ac:dyDescent="0.25">
      <c r="A697" s="22">
        <v>41894.135416666664</v>
      </c>
      <c r="B697">
        <v>378.5</v>
      </c>
      <c r="C697">
        <v>94.3</v>
      </c>
      <c r="D697">
        <v>9.1999999999999993</v>
      </c>
      <c r="E697">
        <v>5.8</v>
      </c>
      <c r="G697" s="23">
        <f t="shared" si="41"/>
        <v>12</v>
      </c>
      <c r="H697" s="23">
        <f t="shared" si="42"/>
        <v>3</v>
      </c>
    </row>
    <row r="698" spans="1:8" x14ac:dyDescent="0.25">
      <c r="A698" s="22">
        <v>41894.138888888891</v>
      </c>
      <c r="B698">
        <v>381.4</v>
      </c>
      <c r="C698">
        <v>94.3</v>
      </c>
      <c r="D698">
        <v>9.1999999999999993</v>
      </c>
      <c r="E698">
        <v>5.8</v>
      </c>
      <c r="G698" s="23">
        <f t="shared" si="41"/>
        <v>12</v>
      </c>
      <c r="H698" s="23">
        <f t="shared" si="42"/>
        <v>3</v>
      </c>
    </row>
    <row r="699" spans="1:8" x14ac:dyDescent="0.25">
      <c r="A699" s="22">
        <v>41894.142361111109</v>
      </c>
      <c r="B699">
        <v>382.3</v>
      </c>
      <c r="C699">
        <v>94.3</v>
      </c>
      <c r="D699">
        <v>9.3000000000000007</v>
      </c>
      <c r="E699">
        <v>5.8</v>
      </c>
      <c r="G699" s="23">
        <f t="shared" si="41"/>
        <v>12</v>
      </c>
      <c r="H699" s="23">
        <f t="shared" si="42"/>
        <v>3</v>
      </c>
    </row>
    <row r="700" spans="1:8" x14ac:dyDescent="0.25">
      <c r="A700" s="22">
        <v>41894.145833333336</v>
      </c>
      <c r="B700">
        <v>378.9</v>
      </c>
      <c r="C700">
        <v>94.2</v>
      </c>
      <c r="D700">
        <v>9.1999999999999993</v>
      </c>
      <c r="E700">
        <v>5.8</v>
      </c>
      <c r="G700" s="23">
        <f t="shared" si="41"/>
        <v>12</v>
      </c>
      <c r="H700" s="23">
        <f t="shared" si="42"/>
        <v>3</v>
      </c>
    </row>
    <row r="701" spans="1:8" x14ac:dyDescent="0.25">
      <c r="A701" s="22">
        <v>41894.149305555555</v>
      </c>
      <c r="B701">
        <v>377.7</v>
      </c>
      <c r="C701">
        <v>94.2</v>
      </c>
      <c r="D701">
        <v>9.1999999999999993</v>
      </c>
      <c r="E701">
        <v>5.8</v>
      </c>
      <c r="G701" s="23">
        <f t="shared" si="41"/>
        <v>12</v>
      </c>
      <c r="H701" s="23">
        <f t="shared" si="42"/>
        <v>3</v>
      </c>
    </row>
    <row r="702" spans="1:8" x14ac:dyDescent="0.25">
      <c r="A702" s="22">
        <v>41894.152777777781</v>
      </c>
      <c r="B702">
        <v>377.6</v>
      </c>
      <c r="C702">
        <v>94.3</v>
      </c>
      <c r="D702">
        <v>9.1999999999999993</v>
      </c>
      <c r="E702">
        <v>5.8</v>
      </c>
      <c r="G702" s="23">
        <f t="shared" si="41"/>
        <v>12</v>
      </c>
      <c r="H702" s="23">
        <f t="shared" si="42"/>
        <v>3</v>
      </c>
    </row>
    <row r="703" spans="1:8" x14ac:dyDescent="0.25">
      <c r="A703" s="22">
        <v>41894.15625</v>
      </c>
      <c r="B703">
        <v>378</v>
      </c>
      <c r="C703">
        <v>94.3</v>
      </c>
      <c r="D703">
        <v>9.1999999999999993</v>
      </c>
      <c r="E703">
        <v>5.8</v>
      </c>
      <c r="G703" s="23">
        <f t="shared" si="41"/>
        <v>12</v>
      </c>
      <c r="H703" s="23">
        <f t="shared" si="42"/>
        <v>3</v>
      </c>
    </row>
    <row r="704" spans="1:8" x14ac:dyDescent="0.25">
      <c r="A704" s="22">
        <v>41894.159722222219</v>
      </c>
      <c r="B704">
        <v>377.3</v>
      </c>
      <c r="C704">
        <v>94.2</v>
      </c>
      <c r="D704">
        <v>9.1999999999999993</v>
      </c>
      <c r="E704">
        <v>5.8</v>
      </c>
      <c r="G704" s="23">
        <f t="shared" si="41"/>
        <v>12</v>
      </c>
      <c r="H704" s="23">
        <f t="shared" si="42"/>
        <v>3</v>
      </c>
    </row>
    <row r="705" spans="1:8" x14ac:dyDescent="0.25">
      <c r="A705" s="22">
        <v>41894.163194444445</v>
      </c>
      <c r="B705">
        <v>375.6</v>
      </c>
      <c r="C705">
        <v>94.2</v>
      </c>
      <c r="D705">
        <v>9.1999999999999993</v>
      </c>
      <c r="E705">
        <v>5.8</v>
      </c>
      <c r="G705" s="23">
        <f t="shared" si="41"/>
        <v>12</v>
      </c>
      <c r="H705" s="23">
        <f t="shared" si="42"/>
        <v>3</v>
      </c>
    </row>
    <row r="706" spans="1:8" x14ac:dyDescent="0.25">
      <c r="A706" s="22">
        <v>41894.166666666664</v>
      </c>
      <c r="B706">
        <v>373.8</v>
      </c>
      <c r="C706">
        <v>94.2</v>
      </c>
      <c r="D706">
        <v>9.1999999999999993</v>
      </c>
      <c r="E706">
        <v>5.8</v>
      </c>
      <c r="G706" s="23">
        <f t="shared" si="41"/>
        <v>12</v>
      </c>
      <c r="H706" s="23">
        <f t="shared" si="42"/>
        <v>4</v>
      </c>
    </row>
    <row r="707" spans="1:8" x14ac:dyDescent="0.25">
      <c r="A707" s="22">
        <v>41894.170138888891</v>
      </c>
      <c r="B707">
        <v>375.2</v>
      </c>
      <c r="C707">
        <v>94.3</v>
      </c>
      <c r="D707">
        <v>9.1999999999999993</v>
      </c>
      <c r="E707">
        <v>5.8</v>
      </c>
      <c r="G707" s="23">
        <f t="shared" si="41"/>
        <v>12</v>
      </c>
      <c r="H707" s="23">
        <f t="shared" si="42"/>
        <v>4</v>
      </c>
    </row>
    <row r="708" spans="1:8" x14ac:dyDescent="0.25">
      <c r="A708" s="22">
        <v>41894.173611111109</v>
      </c>
      <c r="B708">
        <v>372.5</v>
      </c>
      <c r="C708">
        <v>94.3</v>
      </c>
      <c r="D708">
        <v>9.1999999999999993</v>
      </c>
      <c r="E708">
        <v>5.8</v>
      </c>
      <c r="G708" s="23">
        <f t="shared" si="41"/>
        <v>12</v>
      </c>
      <c r="H708" s="23">
        <f t="shared" si="42"/>
        <v>4</v>
      </c>
    </row>
    <row r="709" spans="1:8" x14ac:dyDescent="0.25">
      <c r="A709" s="22">
        <v>41894.177083333336</v>
      </c>
      <c r="B709">
        <v>368.3</v>
      </c>
      <c r="C709">
        <v>94.2</v>
      </c>
      <c r="D709">
        <v>9.1</v>
      </c>
      <c r="E709">
        <v>5.8</v>
      </c>
      <c r="G709" s="23">
        <f t="shared" si="41"/>
        <v>12</v>
      </c>
      <c r="H709" s="23">
        <f t="shared" si="42"/>
        <v>4</v>
      </c>
    </row>
    <row r="710" spans="1:8" x14ac:dyDescent="0.25">
      <c r="A710" s="22">
        <v>41894.180555555555</v>
      </c>
      <c r="B710">
        <v>369.1</v>
      </c>
      <c r="C710">
        <v>94.2</v>
      </c>
      <c r="D710">
        <v>9.1</v>
      </c>
      <c r="E710">
        <v>5.8</v>
      </c>
      <c r="G710" s="23">
        <f t="shared" ref="G710:G773" si="43">+DAY(A710)</f>
        <v>12</v>
      </c>
      <c r="H710" s="23">
        <f t="shared" ref="H710:H773" si="44">+HOUR(A710)</f>
        <v>4</v>
      </c>
    </row>
    <row r="711" spans="1:8" x14ac:dyDescent="0.25">
      <c r="A711" s="22">
        <v>41894.184027777781</v>
      </c>
      <c r="B711">
        <v>371.5</v>
      </c>
      <c r="C711">
        <v>94.3</v>
      </c>
      <c r="D711">
        <v>9.1999999999999993</v>
      </c>
      <c r="E711">
        <v>5.8</v>
      </c>
      <c r="G711" s="23">
        <f t="shared" si="43"/>
        <v>12</v>
      </c>
      <c r="H711" s="23">
        <f t="shared" si="44"/>
        <v>4</v>
      </c>
    </row>
    <row r="712" spans="1:8" x14ac:dyDescent="0.25">
      <c r="A712" s="22">
        <v>41894.1875</v>
      </c>
      <c r="B712">
        <v>370</v>
      </c>
      <c r="C712">
        <v>94.3</v>
      </c>
      <c r="D712">
        <v>9.1</v>
      </c>
      <c r="E712">
        <v>5.8</v>
      </c>
      <c r="G712" s="23">
        <f t="shared" si="43"/>
        <v>12</v>
      </c>
      <c r="H712" s="23">
        <f t="shared" si="44"/>
        <v>4</v>
      </c>
    </row>
    <row r="713" spans="1:8" x14ac:dyDescent="0.25">
      <c r="A713" s="22">
        <v>41894.190972222219</v>
      </c>
      <c r="B713">
        <v>368.3</v>
      </c>
      <c r="C713">
        <v>94.2</v>
      </c>
      <c r="D713">
        <v>9.1</v>
      </c>
      <c r="E713">
        <v>5.8</v>
      </c>
      <c r="G713" s="23">
        <f t="shared" si="43"/>
        <v>12</v>
      </c>
      <c r="H713" s="23">
        <f t="shared" si="44"/>
        <v>4</v>
      </c>
    </row>
    <row r="714" spans="1:8" x14ac:dyDescent="0.25">
      <c r="A714" s="22">
        <v>41894.194444444445</v>
      </c>
      <c r="B714">
        <v>364.8</v>
      </c>
      <c r="C714">
        <v>94.2</v>
      </c>
      <c r="D714">
        <v>9.1</v>
      </c>
      <c r="E714">
        <v>5.8</v>
      </c>
      <c r="G714" s="23">
        <f t="shared" si="43"/>
        <v>12</v>
      </c>
      <c r="H714" s="23">
        <f t="shared" si="44"/>
        <v>4</v>
      </c>
    </row>
    <row r="715" spans="1:8" x14ac:dyDescent="0.25">
      <c r="A715" s="22">
        <v>41894.197916666664</v>
      </c>
      <c r="B715">
        <v>366.4</v>
      </c>
      <c r="C715">
        <v>94.3</v>
      </c>
      <c r="D715">
        <v>9.1</v>
      </c>
      <c r="E715">
        <v>5.8</v>
      </c>
      <c r="G715" s="23">
        <f t="shared" si="43"/>
        <v>12</v>
      </c>
      <c r="H715" s="23">
        <f t="shared" si="44"/>
        <v>4</v>
      </c>
    </row>
    <row r="716" spans="1:8" x14ac:dyDescent="0.25">
      <c r="A716" s="22">
        <v>41894.201388888891</v>
      </c>
      <c r="B716">
        <v>364.7</v>
      </c>
      <c r="C716">
        <v>94.3</v>
      </c>
      <c r="D716">
        <v>9.1</v>
      </c>
      <c r="E716">
        <v>5.8</v>
      </c>
      <c r="G716" s="23">
        <f t="shared" si="43"/>
        <v>12</v>
      </c>
      <c r="H716" s="23">
        <f t="shared" si="44"/>
        <v>4</v>
      </c>
    </row>
    <row r="717" spans="1:8" x14ac:dyDescent="0.25">
      <c r="A717" s="22">
        <v>41894.204861111109</v>
      </c>
      <c r="B717">
        <v>364.5</v>
      </c>
      <c r="C717">
        <v>94.3</v>
      </c>
      <c r="D717">
        <v>9.1</v>
      </c>
      <c r="E717">
        <v>5.8</v>
      </c>
      <c r="G717" s="23">
        <f t="shared" si="43"/>
        <v>12</v>
      </c>
      <c r="H717" s="23">
        <f t="shared" si="44"/>
        <v>4</v>
      </c>
    </row>
    <row r="718" spans="1:8" x14ac:dyDescent="0.25">
      <c r="A718" s="22">
        <v>41894.208333333336</v>
      </c>
      <c r="B718">
        <v>361.6</v>
      </c>
      <c r="C718">
        <v>94.3</v>
      </c>
      <c r="D718">
        <v>9.1</v>
      </c>
      <c r="E718">
        <v>5.8</v>
      </c>
      <c r="G718" s="23">
        <f t="shared" si="43"/>
        <v>12</v>
      </c>
      <c r="H718" s="23">
        <f t="shared" si="44"/>
        <v>5</v>
      </c>
    </row>
    <row r="719" spans="1:8" x14ac:dyDescent="0.25">
      <c r="A719" s="22">
        <v>41894.211805555555</v>
      </c>
      <c r="B719">
        <v>362.2</v>
      </c>
      <c r="C719">
        <v>94.3</v>
      </c>
      <c r="D719">
        <v>9.1</v>
      </c>
      <c r="E719">
        <v>5.8</v>
      </c>
      <c r="G719" s="23">
        <f t="shared" si="43"/>
        <v>12</v>
      </c>
      <c r="H719" s="23">
        <f t="shared" si="44"/>
        <v>5</v>
      </c>
    </row>
    <row r="720" spans="1:8" x14ac:dyDescent="0.25">
      <c r="A720" s="22">
        <v>41894.215277777781</v>
      </c>
      <c r="B720">
        <v>361.4</v>
      </c>
      <c r="C720">
        <v>94.3</v>
      </c>
      <c r="D720">
        <v>9.1</v>
      </c>
      <c r="E720">
        <v>5.8</v>
      </c>
      <c r="G720" s="23">
        <f t="shared" si="43"/>
        <v>12</v>
      </c>
      <c r="H720" s="23">
        <f t="shared" si="44"/>
        <v>5</v>
      </c>
    </row>
    <row r="721" spans="1:8" x14ac:dyDescent="0.25">
      <c r="A721" s="22">
        <v>41894.21875</v>
      </c>
      <c r="B721">
        <v>359.5</v>
      </c>
      <c r="C721">
        <v>94.2</v>
      </c>
      <c r="D721">
        <v>9</v>
      </c>
      <c r="E721">
        <v>5.8</v>
      </c>
      <c r="G721" s="23">
        <f t="shared" si="43"/>
        <v>12</v>
      </c>
      <c r="H721" s="23">
        <f t="shared" si="44"/>
        <v>5</v>
      </c>
    </row>
    <row r="722" spans="1:8" x14ac:dyDescent="0.25">
      <c r="A722" s="22">
        <v>41894.222222222219</v>
      </c>
      <c r="B722">
        <v>360.8</v>
      </c>
      <c r="C722">
        <v>94.2</v>
      </c>
      <c r="D722">
        <v>9.1</v>
      </c>
      <c r="E722">
        <v>5.8</v>
      </c>
      <c r="G722" s="23">
        <f t="shared" si="43"/>
        <v>12</v>
      </c>
      <c r="H722" s="23">
        <f t="shared" si="44"/>
        <v>5</v>
      </c>
    </row>
    <row r="723" spans="1:8" x14ac:dyDescent="0.25">
      <c r="A723" s="22">
        <v>41894.225694444445</v>
      </c>
      <c r="B723">
        <v>361.2</v>
      </c>
      <c r="C723">
        <v>94.2</v>
      </c>
      <c r="D723">
        <v>9.1</v>
      </c>
      <c r="E723">
        <v>5.8</v>
      </c>
      <c r="G723" s="23">
        <f t="shared" si="43"/>
        <v>12</v>
      </c>
      <c r="H723" s="23">
        <f t="shared" si="44"/>
        <v>5</v>
      </c>
    </row>
    <row r="724" spans="1:8" x14ac:dyDescent="0.25">
      <c r="A724" s="22">
        <v>41894.229166666664</v>
      </c>
      <c r="B724">
        <v>359.3</v>
      </c>
      <c r="C724">
        <v>94.3</v>
      </c>
      <c r="D724">
        <v>9</v>
      </c>
      <c r="E724">
        <v>5.8</v>
      </c>
      <c r="G724" s="23">
        <f t="shared" si="43"/>
        <v>12</v>
      </c>
      <c r="H724" s="23">
        <f t="shared" si="44"/>
        <v>5</v>
      </c>
    </row>
    <row r="725" spans="1:8" x14ac:dyDescent="0.25">
      <c r="A725" s="22">
        <v>41894.232638888891</v>
      </c>
      <c r="B725">
        <v>361.6</v>
      </c>
      <c r="C725">
        <v>94.3</v>
      </c>
      <c r="D725">
        <v>9.1</v>
      </c>
      <c r="E725">
        <v>5.8</v>
      </c>
      <c r="G725" s="23">
        <f t="shared" si="43"/>
        <v>12</v>
      </c>
      <c r="H725" s="23">
        <f t="shared" si="44"/>
        <v>5</v>
      </c>
    </row>
    <row r="726" spans="1:8" x14ac:dyDescent="0.25">
      <c r="A726" s="22">
        <v>41894.236111111109</v>
      </c>
      <c r="B726">
        <v>359.2</v>
      </c>
      <c r="C726">
        <v>94.3</v>
      </c>
      <c r="D726">
        <v>9</v>
      </c>
      <c r="E726">
        <v>5.8</v>
      </c>
      <c r="G726" s="23">
        <f t="shared" si="43"/>
        <v>12</v>
      </c>
      <c r="H726" s="23">
        <f t="shared" si="44"/>
        <v>5</v>
      </c>
    </row>
    <row r="727" spans="1:8" x14ac:dyDescent="0.25">
      <c r="A727" s="22">
        <v>41894.239583333336</v>
      </c>
      <c r="B727">
        <v>360.3</v>
      </c>
      <c r="C727">
        <v>94.2</v>
      </c>
      <c r="D727">
        <v>9</v>
      </c>
      <c r="E727">
        <v>5.8</v>
      </c>
      <c r="G727" s="23">
        <f t="shared" si="43"/>
        <v>12</v>
      </c>
      <c r="H727" s="23">
        <f t="shared" si="44"/>
        <v>5</v>
      </c>
    </row>
    <row r="728" spans="1:8" x14ac:dyDescent="0.25">
      <c r="A728" s="22">
        <v>41894.243055555555</v>
      </c>
      <c r="B728">
        <v>360.2</v>
      </c>
      <c r="C728">
        <v>94.3</v>
      </c>
      <c r="D728">
        <v>9</v>
      </c>
      <c r="E728">
        <v>5.8</v>
      </c>
      <c r="G728" s="23">
        <f t="shared" si="43"/>
        <v>12</v>
      </c>
      <c r="H728" s="23">
        <f t="shared" si="44"/>
        <v>5</v>
      </c>
    </row>
    <row r="729" spans="1:8" x14ac:dyDescent="0.25">
      <c r="A729" s="22">
        <v>41894.246527777781</v>
      </c>
      <c r="B729">
        <v>357.9</v>
      </c>
      <c r="C729">
        <v>94.3</v>
      </c>
      <c r="D729">
        <v>9</v>
      </c>
      <c r="E729">
        <v>5.8</v>
      </c>
      <c r="G729" s="23">
        <f t="shared" si="43"/>
        <v>12</v>
      </c>
      <c r="H729" s="23">
        <f t="shared" si="44"/>
        <v>5</v>
      </c>
    </row>
    <row r="730" spans="1:8" x14ac:dyDescent="0.25">
      <c r="A730" s="22">
        <v>41894.25</v>
      </c>
      <c r="B730">
        <v>354.8</v>
      </c>
      <c r="C730">
        <v>94.3</v>
      </c>
      <c r="D730">
        <v>9</v>
      </c>
      <c r="E730">
        <v>5.8</v>
      </c>
      <c r="G730" s="23">
        <f t="shared" si="43"/>
        <v>12</v>
      </c>
      <c r="H730" s="23">
        <f t="shared" si="44"/>
        <v>6</v>
      </c>
    </row>
    <row r="731" spans="1:8" x14ac:dyDescent="0.25">
      <c r="A731" s="22">
        <v>41894.253472222219</v>
      </c>
      <c r="B731">
        <v>354.9</v>
      </c>
      <c r="C731">
        <v>94.3</v>
      </c>
      <c r="D731">
        <v>9</v>
      </c>
      <c r="E731">
        <v>5.8</v>
      </c>
      <c r="G731" s="23">
        <f t="shared" si="43"/>
        <v>12</v>
      </c>
      <c r="H731" s="23">
        <f t="shared" si="44"/>
        <v>6</v>
      </c>
    </row>
    <row r="732" spans="1:8" x14ac:dyDescent="0.25">
      <c r="A732" s="22">
        <v>41894.256944444445</v>
      </c>
      <c r="B732">
        <v>351.5</v>
      </c>
      <c r="C732">
        <v>94.3</v>
      </c>
      <c r="D732">
        <v>9</v>
      </c>
      <c r="E732">
        <v>5.8</v>
      </c>
      <c r="G732" s="23">
        <f t="shared" si="43"/>
        <v>12</v>
      </c>
      <c r="H732" s="23">
        <f t="shared" si="44"/>
        <v>6</v>
      </c>
    </row>
    <row r="733" spans="1:8" x14ac:dyDescent="0.25">
      <c r="A733" s="22">
        <v>41894.260416666664</v>
      </c>
      <c r="B733">
        <v>355.6</v>
      </c>
      <c r="C733">
        <v>94.3</v>
      </c>
      <c r="D733">
        <v>9</v>
      </c>
      <c r="E733">
        <v>5.8</v>
      </c>
      <c r="G733" s="23">
        <f t="shared" si="43"/>
        <v>12</v>
      </c>
      <c r="H733" s="23">
        <f t="shared" si="44"/>
        <v>6</v>
      </c>
    </row>
    <row r="734" spans="1:8" x14ac:dyDescent="0.25">
      <c r="A734" s="22">
        <v>41894.263888888891</v>
      </c>
      <c r="B734">
        <v>350.9</v>
      </c>
      <c r="C734">
        <v>94.3</v>
      </c>
      <c r="D734">
        <v>9</v>
      </c>
      <c r="E734">
        <v>5.8</v>
      </c>
      <c r="G734" s="23">
        <f t="shared" si="43"/>
        <v>12</v>
      </c>
      <c r="H734" s="23">
        <f t="shared" si="44"/>
        <v>6</v>
      </c>
    </row>
    <row r="735" spans="1:8" x14ac:dyDescent="0.25">
      <c r="A735" s="22">
        <v>41894.267361111109</v>
      </c>
      <c r="B735">
        <v>348.9</v>
      </c>
      <c r="C735">
        <v>94.2</v>
      </c>
      <c r="D735">
        <v>8.9</v>
      </c>
      <c r="E735">
        <v>5.8</v>
      </c>
      <c r="G735" s="23">
        <f t="shared" si="43"/>
        <v>12</v>
      </c>
      <c r="H735" s="23">
        <f t="shared" si="44"/>
        <v>6</v>
      </c>
    </row>
    <row r="736" spans="1:8" x14ac:dyDescent="0.25">
      <c r="A736" s="22">
        <v>41894.270833333336</v>
      </c>
      <c r="B736">
        <v>347.5</v>
      </c>
      <c r="C736">
        <v>94.3</v>
      </c>
      <c r="D736">
        <v>8.9</v>
      </c>
      <c r="E736">
        <v>5.8</v>
      </c>
      <c r="G736" s="23">
        <f t="shared" si="43"/>
        <v>12</v>
      </c>
      <c r="H736" s="23">
        <f t="shared" si="44"/>
        <v>6</v>
      </c>
    </row>
    <row r="737" spans="1:8" x14ac:dyDescent="0.25">
      <c r="A737" s="22">
        <v>41894.274305555555</v>
      </c>
      <c r="B737">
        <v>346.4</v>
      </c>
      <c r="C737">
        <v>94.2</v>
      </c>
      <c r="D737">
        <v>8.9</v>
      </c>
      <c r="E737">
        <v>5.8</v>
      </c>
      <c r="G737" s="23">
        <f t="shared" si="43"/>
        <v>12</v>
      </c>
      <c r="H737" s="23">
        <f t="shared" si="44"/>
        <v>6</v>
      </c>
    </row>
    <row r="738" spans="1:8" x14ac:dyDescent="0.25">
      <c r="A738" s="22">
        <v>41894.277777777781</v>
      </c>
      <c r="B738">
        <v>345.5</v>
      </c>
      <c r="C738">
        <v>94.2</v>
      </c>
      <c r="D738">
        <v>8.9</v>
      </c>
      <c r="E738">
        <v>5.8</v>
      </c>
      <c r="G738" s="23">
        <f t="shared" si="43"/>
        <v>12</v>
      </c>
      <c r="H738" s="23">
        <f t="shared" si="44"/>
        <v>6</v>
      </c>
    </row>
    <row r="739" spans="1:8" x14ac:dyDescent="0.25">
      <c r="A739" s="22">
        <v>41894.28125</v>
      </c>
      <c r="B739">
        <v>346.9</v>
      </c>
      <c r="C739">
        <v>94.2</v>
      </c>
      <c r="D739">
        <v>8.9</v>
      </c>
      <c r="E739">
        <v>5.8</v>
      </c>
      <c r="G739" s="23">
        <f t="shared" si="43"/>
        <v>12</v>
      </c>
      <c r="H739" s="23">
        <f t="shared" si="44"/>
        <v>6</v>
      </c>
    </row>
    <row r="740" spans="1:8" x14ac:dyDescent="0.25">
      <c r="A740" s="22">
        <v>41894.284722222219</v>
      </c>
      <c r="B740">
        <v>346.2</v>
      </c>
      <c r="C740">
        <v>94.2</v>
      </c>
      <c r="D740">
        <v>8.9</v>
      </c>
      <c r="E740">
        <v>5.8</v>
      </c>
      <c r="G740" s="23">
        <f t="shared" si="43"/>
        <v>12</v>
      </c>
      <c r="H740" s="23">
        <f t="shared" si="44"/>
        <v>6</v>
      </c>
    </row>
    <row r="741" spans="1:8" x14ac:dyDescent="0.25">
      <c r="A741" s="22">
        <v>41894.288194444445</v>
      </c>
      <c r="B741">
        <v>344.2</v>
      </c>
      <c r="C741">
        <v>94.3</v>
      </c>
      <c r="D741">
        <v>8.9</v>
      </c>
      <c r="E741">
        <v>5.8</v>
      </c>
      <c r="G741" s="23">
        <f t="shared" si="43"/>
        <v>12</v>
      </c>
      <c r="H741" s="23">
        <f t="shared" si="44"/>
        <v>6</v>
      </c>
    </row>
    <row r="742" spans="1:8" x14ac:dyDescent="0.25">
      <c r="A742" s="22">
        <v>41894.291666666664</v>
      </c>
      <c r="B742">
        <v>345.8</v>
      </c>
      <c r="C742">
        <v>94.2</v>
      </c>
      <c r="D742">
        <v>8.9</v>
      </c>
      <c r="E742">
        <v>5.8</v>
      </c>
      <c r="G742" s="23">
        <f t="shared" si="43"/>
        <v>12</v>
      </c>
      <c r="H742" s="23">
        <f t="shared" si="44"/>
        <v>7</v>
      </c>
    </row>
    <row r="743" spans="1:8" x14ac:dyDescent="0.25">
      <c r="A743" s="22">
        <v>41894.295138888891</v>
      </c>
      <c r="B743">
        <v>346.5</v>
      </c>
      <c r="C743">
        <v>94.2</v>
      </c>
      <c r="D743">
        <v>8.9</v>
      </c>
      <c r="E743">
        <v>5.8</v>
      </c>
      <c r="G743" s="23">
        <f t="shared" si="43"/>
        <v>12</v>
      </c>
      <c r="H743" s="23">
        <f t="shared" si="44"/>
        <v>7</v>
      </c>
    </row>
    <row r="744" spans="1:8" x14ac:dyDescent="0.25">
      <c r="A744" s="22">
        <v>41894.298611111109</v>
      </c>
      <c r="B744">
        <v>341.1</v>
      </c>
      <c r="C744">
        <v>94.2</v>
      </c>
      <c r="D744">
        <v>8.9</v>
      </c>
      <c r="E744">
        <v>5.8</v>
      </c>
      <c r="G744" s="23">
        <f t="shared" si="43"/>
        <v>12</v>
      </c>
      <c r="H744" s="23">
        <f t="shared" si="44"/>
        <v>7</v>
      </c>
    </row>
    <row r="745" spans="1:8" x14ac:dyDescent="0.25">
      <c r="A745" s="22">
        <v>41894.302083333336</v>
      </c>
      <c r="B745">
        <v>379.2</v>
      </c>
      <c r="C745">
        <v>94.2</v>
      </c>
      <c r="D745">
        <v>9.3000000000000007</v>
      </c>
      <c r="E745">
        <v>5.8</v>
      </c>
      <c r="G745" s="23">
        <f t="shared" si="43"/>
        <v>12</v>
      </c>
      <c r="H745" s="23">
        <f t="shared" si="44"/>
        <v>7</v>
      </c>
    </row>
    <row r="746" spans="1:8" x14ac:dyDescent="0.25">
      <c r="A746" s="22">
        <v>41894.305555555555</v>
      </c>
      <c r="B746">
        <v>387.4</v>
      </c>
      <c r="C746">
        <v>94.2</v>
      </c>
      <c r="D746">
        <v>9.3000000000000007</v>
      </c>
      <c r="E746">
        <v>5.8</v>
      </c>
      <c r="G746" s="23">
        <f t="shared" si="43"/>
        <v>12</v>
      </c>
      <c r="H746" s="23">
        <f t="shared" si="44"/>
        <v>7</v>
      </c>
    </row>
    <row r="747" spans="1:8" x14ac:dyDescent="0.25">
      <c r="A747" s="22">
        <v>41894.309027777781</v>
      </c>
      <c r="B747">
        <v>391.2</v>
      </c>
      <c r="C747">
        <v>94.2</v>
      </c>
      <c r="D747">
        <v>9.4</v>
      </c>
      <c r="E747">
        <v>5.8</v>
      </c>
      <c r="G747" s="23">
        <f t="shared" si="43"/>
        <v>12</v>
      </c>
      <c r="H747" s="23">
        <f t="shared" si="44"/>
        <v>7</v>
      </c>
    </row>
    <row r="748" spans="1:8" x14ac:dyDescent="0.25">
      <c r="A748" s="22">
        <v>41894.3125</v>
      </c>
      <c r="B748">
        <v>399.7</v>
      </c>
      <c r="C748">
        <v>94.2</v>
      </c>
      <c r="D748">
        <v>9.4</v>
      </c>
      <c r="E748">
        <v>5.8</v>
      </c>
      <c r="G748" s="23">
        <f t="shared" si="43"/>
        <v>12</v>
      </c>
      <c r="H748" s="23">
        <f t="shared" si="44"/>
        <v>7</v>
      </c>
    </row>
    <row r="749" spans="1:8" x14ac:dyDescent="0.25">
      <c r="A749" s="22">
        <v>41894.315972222219</v>
      </c>
      <c r="B749">
        <v>402.8</v>
      </c>
      <c r="C749">
        <v>94.2</v>
      </c>
      <c r="D749">
        <v>9.5</v>
      </c>
      <c r="E749">
        <v>5.8</v>
      </c>
      <c r="G749" s="23">
        <f t="shared" si="43"/>
        <v>12</v>
      </c>
      <c r="H749" s="23">
        <f t="shared" si="44"/>
        <v>7</v>
      </c>
    </row>
    <row r="750" spans="1:8" x14ac:dyDescent="0.25">
      <c r="A750" s="22">
        <v>41894.319444444445</v>
      </c>
      <c r="B750">
        <v>405.5</v>
      </c>
      <c r="C750">
        <v>94.4</v>
      </c>
      <c r="D750">
        <v>9.5</v>
      </c>
      <c r="E750">
        <v>5.8</v>
      </c>
      <c r="G750" s="23">
        <f t="shared" si="43"/>
        <v>12</v>
      </c>
      <c r="H750" s="23">
        <f t="shared" si="44"/>
        <v>7</v>
      </c>
    </row>
    <row r="751" spans="1:8" x14ac:dyDescent="0.25">
      <c r="A751" s="22">
        <v>41894.322916666664</v>
      </c>
      <c r="B751">
        <v>406.8</v>
      </c>
      <c r="C751">
        <v>94.3</v>
      </c>
      <c r="D751">
        <v>9.5</v>
      </c>
      <c r="E751">
        <v>5.8</v>
      </c>
      <c r="G751" s="23">
        <f t="shared" si="43"/>
        <v>12</v>
      </c>
      <c r="H751" s="23">
        <f t="shared" si="44"/>
        <v>7</v>
      </c>
    </row>
    <row r="752" spans="1:8" x14ac:dyDescent="0.25">
      <c r="A752" s="22">
        <v>41894.326388888891</v>
      </c>
      <c r="B752">
        <v>407.2</v>
      </c>
      <c r="C752">
        <v>94.2</v>
      </c>
      <c r="D752">
        <v>9.5</v>
      </c>
      <c r="E752">
        <v>5.8</v>
      </c>
      <c r="G752" s="23">
        <f t="shared" si="43"/>
        <v>12</v>
      </c>
      <c r="H752" s="23">
        <f t="shared" si="44"/>
        <v>7</v>
      </c>
    </row>
    <row r="753" spans="1:8" x14ac:dyDescent="0.25">
      <c r="A753" s="22">
        <v>41894.329861111109</v>
      </c>
      <c r="B753">
        <v>406</v>
      </c>
      <c r="C753">
        <v>94.2</v>
      </c>
      <c r="D753">
        <v>9.5</v>
      </c>
      <c r="E753">
        <v>5.8</v>
      </c>
      <c r="G753" s="23">
        <f t="shared" si="43"/>
        <v>12</v>
      </c>
      <c r="H753" s="23">
        <f t="shared" si="44"/>
        <v>7</v>
      </c>
    </row>
    <row r="754" spans="1:8" x14ac:dyDescent="0.25">
      <c r="A754" s="22">
        <v>41894.333333333336</v>
      </c>
      <c r="B754">
        <v>408</v>
      </c>
      <c r="C754">
        <v>94.2</v>
      </c>
      <c r="D754">
        <v>9.5</v>
      </c>
      <c r="E754">
        <v>5.8</v>
      </c>
      <c r="G754" s="23">
        <f t="shared" si="43"/>
        <v>12</v>
      </c>
      <c r="H754" s="23">
        <f t="shared" si="44"/>
        <v>8</v>
      </c>
    </row>
    <row r="755" spans="1:8" x14ac:dyDescent="0.25">
      <c r="A755" s="22">
        <v>41894.336805555555</v>
      </c>
      <c r="B755">
        <v>415.2</v>
      </c>
      <c r="C755">
        <v>94.3</v>
      </c>
      <c r="D755">
        <v>9.6</v>
      </c>
      <c r="E755">
        <v>5.8</v>
      </c>
      <c r="G755" s="23">
        <f t="shared" si="43"/>
        <v>12</v>
      </c>
      <c r="H755" s="23">
        <f t="shared" si="44"/>
        <v>8</v>
      </c>
    </row>
    <row r="756" spans="1:8" x14ac:dyDescent="0.25">
      <c r="A756" s="22">
        <v>41894.340277777781</v>
      </c>
      <c r="B756">
        <v>417.3</v>
      </c>
      <c r="C756">
        <v>94.2</v>
      </c>
      <c r="D756">
        <v>9.6</v>
      </c>
      <c r="E756">
        <v>5.8</v>
      </c>
      <c r="G756" s="23">
        <f t="shared" si="43"/>
        <v>12</v>
      </c>
      <c r="H756" s="23">
        <f t="shared" si="44"/>
        <v>8</v>
      </c>
    </row>
    <row r="757" spans="1:8" x14ac:dyDescent="0.25">
      <c r="A757" s="22">
        <v>41894.34375</v>
      </c>
      <c r="B757">
        <v>419.5</v>
      </c>
      <c r="C757">
        <v>94.2</v>
      </c>
      <c r="D757">
        <v>9.6</v>
      </c>
      <c r="E757">
        <v>5.8</v>
      </c>
      <c r="G757" s="23">
        <f t="shared" si="43"/>
        <v>12</v>
      </c>
      <c r="H757" s="23">
        <f t="shared" si="44"/>
        <v>8</v>
      </c>
    </row>
    <row r="758" spans="1:8" x14ac:dyDescent="0.25">
      <c r="A758" s="22">
        <v>41894.347222222219</v>
      </c>
      <c r="B758">
        <v>422.5</v>
      </c>
      <c r="C758">
        <v>94.2</v>
      </c>
      <c r="D758">
        <v>9.6</v>
      </c>
      <c r="E758">
        <v>5.8</v>
      </c>
      <c r="G758" s="23">
        <f t="shared" si="43"/>
        <v>12</v>
      </c>
      <c r="H758" s="23">
        <f t="shared" si="44"/>
        <v>8</v>
      </c>
    </row>
    <row r="759" spans="1:8" x14ac:dyDescent="0.25">
      <c r="A759" s="22">
        <v>41894.350694444445</v>
      </c>
      <c r="B759">
        <v>426.3</v>
      </c>
      <c r="C759">
        <v>94.3</v>
      </c>
      <c r="D759">
        <v>9.6999999999999993</v>
      </c>
      <c r="E759">
        <v>5.8</v>
      </c>
      <c r="G759" s="23">
        <f t="shared" si="43"/>
        <v>12</v>
      </c>
      <c r="H759" s="23">
        <f t="shared" si="44"/>
        <v>8</v>
      </c>
    </row>
    <row r="760" spans="1:8" x14ac:dyDescent="0.25">
      <c r="A760" s="22">
        <v>41894.354166666664</v>
      </c>
      <c r="B760">
        <v>429</v>
      </c>
      <c r="C760">
        <v>94.3</v>
      </c>
      <c r="D760">
        <v>9.6999999999999993</v>
      </c>
      <c r="E760">
        <v>5.8</v>
      </c>
      <c r="G760" s="23">
        <f t="shared" si="43"/>
        <v>12</v>
      </c>
      <c r="H760" s="23">
        <f t="shared" si="44"/>
        <v>8</v>
      </c>
    </row>
    <row r="761" spans="1:8" x14ac:dyDescent="0.25">
      <c r="A761" s="22">
        <v>41894.357638888891</v>
      </c>
      <c r="B761">
        <v>428.3</v>
      </c>
      <c r="C761">
        <v>94.3</v>
      </c>
      <c r="D761">
        <v>9.6999999999999993</v>
      </c>
      <c r="E761">
        <v>5.8</v>
      </c>
      <c r="G761" s="23">
        <f t="shared" si="43"/>
        <v>12</v>
      </c>
      <c r="H761" s="23">
        <f t="shared" si="44"/>
        <v>8</v>
      </c>
    </row>
    <row r="762" spans="1:8" x14ac:dyDescent="0.25">
      <c r="A762" s="22">
        <v>41894.361111111109</v>
      </c>
      <c r="B762">
        <v>429.4</v>
      </c>
      <c r="C762">
        <v>94.3</v>
      </c>
      <c r="D762">
        <v>9.6999999999999993</v>
      </c>
      <c r="E762">
        <v>5.8</v>
      </c>
      <c r="G762" s="23">
        <f t="shared" si="43"/>
        <v>12</v>
      </c>
      <c r="H762" s="23">
        <f t="shared" si="44"/>
        <v>8</v>
      </c>
    </row>
    <row r="763" spans="1:8" x14ac:dyDescent="0.25">
      <c r="A763" s="22">
        <v>41894.364583333336</v>
      </c>
      <c r="B763">
        <v>435.9</v>
      </c>
      <c r="C763">
        <v>94.3</v>
      </c>
      <c r="D763">
        <v>9.8000000000000007</v>
      </c>
      <c r="E763">
        <v>5.8</v>
      </c>
      <c r="G763" s="23">
        <f t="shared" si="43"/>
        <v>12</v>
      </c>
      <c r="H763" s="23">
        <f t="shared" si="44"/>
        <v>8</v>
      </c>
    </row>
    <row r="764" spans="1:8" x14ac:dyDescent="0.25">
      <c r="A764" s="22">
        <v>41894.368055555555</v>
      </c>
      <c r="B764">
        <v>440.8</v>
      </c>
      <c r="C764">
        <v>94.3</v>
      </c>
      <c r="D764">
        <v>9.8000000000000007</v>
      </c>
      <c r="E764">
        <v>5.8</v>
      </c>
      <c r="G764" s="23">
        <f t="shared" si="43"/>
        <v>12</v>
      </c>
      <c r="H764" s="23">
        <f t="shared" si="44"/>
        <v>8</v>
      </c>
    </row>
    <row r="765" spans="1:8" x14ac:dyDescent="0.25">
      <c r="A765" s="22">
        <v>41894.371527777781</v>
      </c>
      <c r="B765">
        <v>442.6</v>
      </c>
      <c r="C765">
        <v>94.2</v>
      </c>
      <c r="D765">
        <v>9.8000000000000007</v>
      </c>
      <c r="E765">
        <v>5.8</v>
      </c>
      <c r="G765" s="23">
        <f t="shared" si="43"/>
        <v>12</v>
      </c>
      <c r="H765" s="23">
        <f t="shared" si="44"/>
        <v>8</v>
      </c>
    </row>
    <row r="766" spans="1:8" x14ac:dyDescent="0.25">
      <c r="A766" s="22">
        <v>41894.375</v>
      </c>
      <c r="B766">
        <v>443.8</v>
      </c>
      <c r="C766">
        <v>94.2</v>
      </c>
      <c r="D766">
        <v>9.8000000000000007</v>
      </c>
      <c r="E766">
        <v>5.8</v>
      </c>
      <c r="G766" s="23">
        <f t="shared" si="43"/>
        <v>12</v>
      </c>
      <c r="H766" s="23">
        <f t="shared" si="44"/>
        <v>9</v>
      </c>
    </row>
    <row r="767" spans="1:8" x14ac:dyDescent="0.25">
      <c r="A767" s="22">
        <v>41894.378472222219</v>
      </c>
      <c r="B767">
        <v>449.3</v>
      </c>
      <c r="C767">
        <v>94.2</v>
      </c>
      <c r="D767">
        <v>9.9</v>
      </c>
      <c r="E767">
        <v>5.8</v>
      </c>
      <c r="G767" s="23">
        <f t="shared" si="43"/>
        <v>12</v>
      </c>
      <c r="H767" s="23">
        <f t="shared" si="44"/>
        <v>9</v>
      </c>
    </row>
    <row r="768" spans="1:8" x14ac:dyDescent="0.25">
      <c r="A768" s="22">
        <v>41894.381944444445</v>
      </c>
      <c r="B768">
        <v>449.7</v>
      </c>
      <c r="C768">
        <v>94.2</v>
      </c>
      <c r="D768">
        <v>9.9</v>
      </c>
      <c r="E768">
        <v>5.8</v>
      </c>
      <c r="G768" s="23">
        <f t="shared" si="43"/>
        <v>12</v>
      </c>
      <c r="H768" s="23">
        <f t="shared" si="44"/>
        <v>9</v>
      </c>
    </row>
    <row r="769" spans="1:8" x14ac:dyDescent="0.25">
      <c r="A769" s="22">
        <v>41894.385416666664</v>
      </c>
      <c r="B769">
        <v>450.1</v>
      </c>
      <c r="C769">
        <v>94.2</v>
      </c>
      <c r="D769">
        <v>9.9</v>
      </c>
      <c r="E769">
        <v>5.8</v>
      </c>
      <c r="G769" s="23">
        <f t="shared" si="43"/>
        <v>12</v>
      </c>
      <c r="H769" s="23">
        <f t="shared" si="44"/>
        <v>9</v>
      </c>
    </row>
    <row r="770" spans="1:8" x14ac:dyDescent="0.25">
      <c r="A770" s="22">
        <v>41894.388888888891</v>
      </c>
      <c r="B770">
        <v>454</v>
      </c>
      <c r="C770">
        <v>94.2</v>
      </c>
      <c r="D770">
        <v>9.9</v>
      </c>
      <c r="E770">
        <v>5.8</v>
      </c>
      <c r="G770" s="23">
        <f t="shared" si="43"/>
        <v>12</v>
      </c>
      <c r="H770" s="23">
        <f t="shared" si="44"/>
        <v>9</v>
      </c>
    </row>
    <row r="771" spans="1:8" x14ac:dyDescent="0.25">
      <c r="A771" s="22">
        <v>41894.392361111109</v>
      </c>
      <c r="B771">
        <v>457.8</v>
      </c>
      <c r="C771">
        <v>94.2</v>
      </c>
      <c r="D771">
        <v>10</v>
      </c>
      <c r="E771">
        <v>5.8</v>
      </c>
      <c r="G771" s="23">
        <f t="shared" si="43"/>
        <v>12</v>
      </c>
      <c r="H771" s="23">
        <f t="shared" si="44"/>
        <v>9</v>
      </c>
    </row>
    <row r="772" spans="1:8" x14ac:dyDescent="0.25">
      <c r="A772" s="22">
        <v>41894.395833333336</v>
      </c>
      <c r="B772">
        <v>456.5</v>
      </c>
      <c r="C772">
        <v>94.3</v>
      </c>
      <c r="D772">
        <v>10</v>
      </c>
      <c r="E772">
        <v>5.8</v>
      </c>
      <c r="G772" s="23">
        <f t="shared" si="43"/>
        <v>12</v>
      </c>
      <c r="H772" s="23">
        <f t="shared" si="44"/>
        <v>9</v>
      </c>
    </row>
    <row r="773" spans="1:8" x14ac:dyDescent="0.25">
      <c r="A773" s="22">
        <v>41894.399305555555</v>
      </c>
      <c r="B773">
        <v>453.7</v>
      </c>
      <c r="C773">
        <v>94.2</v>
      </c>
      <c r="D773">
        <v>9.9</v>
      </c>
      <c r="E773">
        <v>5.8</v>
      </c>
      <c r="G773" s="23">
        <f t="shared" si="43"/>
        <v>12</v>
      </c>
      <c r="H773" s="23">
        <f t="shared" si="44"/>
        <v>9</v>
      </c>
    </row>
    <row r="774" spans="1:8" x14ac:dyDescent="0.25">
      <c r="A774" s="22">
        <v>41894.402777777781</v>
      </c>
      <c r="B774">
        <v>454.9</v>
      </c>
      <c r="C774">
        <v>94.2</v>
      </c>
      <c r="D774">
        <v>9.9</v>
      </c>
      <c r="E774">
        <v>5.8</v>
      </c>
      <c r="G774" s="23">
        <f t="shared" ref="G774:G837" si="45">+DAY(A774)</f>
        <v>12</v>
      </c>
      <c r="H774" s="23">
        <f t="shared" ref="H774:H837" si="46">+HOUR(A774)</f>
        <v>9</v>
      </c>
    </row>
    <row r="775" spans="1:8" x14ac:dyDescent="0.25">
      <c r="A775" s="22">
        <v>41894.40625</v>
      </c>
      <c r="B775">
        <v>456.8</v>
      </c>
      <c r="C775">
        <v>94.2</v>
      </c>
      <c r="D775">
        <v>10</v>
      </c>
      <c r="E775">
        <v>5.8</v>
      </c>
      <c r="G775" s="23">
        <f t="shared" si="45"/>
        <v>12</v>
      </c>
      <c r="H775" s="23">
        <f t="shared" si="46"/>
        <v>9</v>
      </c>
    </row>
    <row r="776" spans="1:8" x14ac:dyDescent="0.25">
      <c r="A776" s="22">
        <v>41894.409722222219</v>
      </c>
      <c r="B776">
        <v>457.7</v>
      </c>
      <c r="C776">
        <v>94.3</v>
      </c>
      <c r="D776">
        <v>10</v>
      </c>
      <c r="E776">
        <v>5.8</v>
      </c>
      <c r="G776" s="23">
        <f t="shared" si="45"/>
        <v>12</v>
      </c>
      <c r="H776" s="23">
        <f t="shared" si="46"/>
        <v>9</v>
      </c>
    </row>
    <row r="777" spans="1:8" x14ac:dyDescent="0.25">
      <c r="A777" s="22">
        <v>41894.413194444445</v>
      </c>
      <c r="B777">
        <v>457.3</v>
      </c>
      <c r="C777">
        <v>94.2</v>
      </c>
      <c r="D777">
        <v>10</v>
      </c>
      <c r="E777">
        <v>5.8</v>
      </c>
      <c r="G777" s="23">
        <f t="shared" si="45"/>
        <v>12</v>
      </c>
      <c r="H777" s="23">
        <f t="shared" si="46"/>
        <v>9</v>
      </c>
    </row>
    <row r="778" spans="1:8" x14ac:dyDescent="0.25">
      <c r="A778" s="22">
        <v>41894.416666666664</v>
      </c>
      <c r="B778">
        <v>456.2</v>
      </c>
      <c r="C778">
        <v>94.2</v>
      </c>
      <c r="D778">
        <v>9.9</v>
      </c>
      <c r="E778">
        <v>5.8</v>
      </c>
      <c r="G778" s="23">
        <f t="shared" si="45"/>
        <v>12</v>
      </c>
      <c r="H778" s="23">
        <f t="shared" si="46"/>
        <v>10</v>
      </c>
    </row>
    <row r="779" spans="1:8" x14ac:dyDescent="0.25">
      <c r="A779" s="22">
        <v>41894.420138888891</v>
      </c>
      <c r="B779">
        <v>453.8</v>
      </c>
      <c r="C779">
        <v>94.2</v>
      </c>
      <c r="D779">
        <v>9.9</v>
      </c>
      <c r="E779">
        <v>5.8</v>
      </c>
      <c r="G779" s="23">
        <f t="shared" si="45"/>
        <v>12</v>
      </c>
      <c r="H779" s="23">
        <f t="shared" si="46"/>
        <v>10</v>
      </c>
    </row>
    <row r="780" spans="1:8" x14ac:dyDescent="0.25">
      <c r="A780" s="22">
        <v>41894.423611111109</v>
      </c>
      <c r="B780">
        <v>454.2</v>
      </c>
      <c r="C780">
        <v>94.3</v>
      </c>
      <c r="D780">
        <v>9.9</v>
      </c>
      <c r="E780">
        <v>5.8</v>
      </c>
      <c r="G780" s="23">
        <f t="shared" si="45"/>
        <v>12</v>
      </c>
      <c r="H780" s="23">
        <f t="shared" si="46"/>
        <v>10</v>
      </c>
    </row>
    <row r="781" spans="1:8" x14ac:dyDescent="0.25">
      <c r="A781" s="22">
        <v>41894.427083333336</v>
      </c>
      <c r="B781">
        <v>453.6</v>
      </c>
      <c r="C781">
        <v>94.3</v>
      </c>
      <c r="D781">
        <v>9.9</v>
      </c>
      <c r="E781">
        <v>5.8</v>
      </c>
      <c r="G781" s="23">
        <f t="shared" si="45"/>
        <v>12</v>
      </c>
      <c r="H781" s="23">
        <f t="shared" si="46"/>
        <v>10</v>
      </c>
    </row>
    <row r="782" spans="1:8" x14ac:dyDescent="0.25">
      <c r="A782" s="22">
        <v>41894.430555555555</v>
      </c>
      <c r="B782">
        <v>454.1</v>
      </c>
      <c r="C782">
        <v>94.2</v>
      </c>
      <c r="D782">
        <v>9.9</v>
      </c>
      <c r="E782">
        <v>5.8</v>
      </c>
      <c r="G782" s="23">
        <f t="shared" si="45"/>
        <v>12</v>
      </c>
      <c r="H782" s="23">
        <f t="shared" si="46"/>
        <v>10</v>
      </c>
    </row>
    <row r="783" spans="1:8" x14ac:dyDescent="0.25">
      <c r="A783" s="22">
        <v>41894.434027777781</v>
      </c>
      <c r="B783">
        <v>457.7</v>
      </c>
      <c r="C783">
        <v>94.2</v>
      </c>
      <c r="D783">
        <v>10</v>
      </c>
      <c r="E783">
        <v>5.8</v>
      </c>
      <c r="G783" s="23">
        <f t="shared" si="45"/>
        <v>12</v>
      </c>
      <c r="H783" s="23">
        <f t="shared" si="46"/>
        <v>10</v>
      </c>
    </row>
    <row r="784" spans="1:8" x14ac:dyDescent="0.25">
      <c r="A784" s="22">
        <v>41894.4375</v>
      </c>
      <c r="B784">
        <v>458.4</v>
      </c>
      <c r="C784">
        <v>94.3</v>
      </c>
      <c r="D784">
        <v>10</v>
      </c>
      <c r="E784">
        <v>5.8</v>
      </c>
      <c r="G784" s="23">
        <f t="shared" si="45"/>
        <v>12</v>
      </c>
      <c r="H784" s="23">
        <f t="shared" si="46"/>
        <v>10</v>
      </c>
    </row>
    <row r="785" spans="1:8" x14ac:dyDescent="0.25">
      <c r="A785" s="22">
        <v>41894.440972222219</v>
      </c>
      <c r="B785">
        <v>459.8</v>
      </c>
      <c r="C785">
        <v>94.3</v>
      </c>
      <c r="D785">
        <v>10</v>
      </c>
      <c r="E785">
        <v>5.8</v>
      </c>
      <c r="G785" s="23">
        <f t="shared" si="45"/>
        <v>12</v>
      </c>
      <c r="H785" s="23">
        <f t="shared" si="46"/>
        <v>10</v>
      </c>
    </row>
    <row r="786" spans="1:8" x14ac:dyDescent="0.25">
      <c r="A786" s="22">
        <v>41894.444444444445</v>
      </c>
      <c r="B786">
        <v>463.8</v>
      </c>
      <c r="C786">
        <v>94.3</v>
      </c>
      <c r="D786">
        <v>10</v>
      </c>
      <c r="E786">
        <v>5.8</v>
      </c>
      <c r="G786" s="23">
        <f t="shared" si="45"/>
        <v>12</v>
      </c>
      <c r="H786" s="23">
        <f t="shared" si="46"/>
        <v>10</v>
      </c>
    </row>
    <row r="787" spans="1:8" x14ac:dyDescent="0.25">
      <c r="A787" s="22">
        <v>41894.447916666664</v>
      </c>
      <c r="B787">
        <v>464.5</v>
      </c>
      <c r="C787">
        <v>94.2</v>
      </c>
      <c r="D787">
        <v>10</v>
      </c>
      <c r="E787">
        <v>5.8</v>
      </c>
      <c r="G787" s="23">
        <f t="shared" si="45"/>
        <v>12</v>
      </c>
      <c r="H787" s="23">
        <f t="shared" si="46"/>
        <v>10</v>
      </c>
    </row>
    <row r="788" spans="1:8" x14ac:dyDescent="0.25">
      <c r="A788" s="22">
        <v>41894.451388888891</v>
      </c>
      <c r="B788">
        <v>462.2</v>
      </c>
      <c r="C788">
        <v>94.2</v>
      </c>
      <c r="D788">
        <v>10</v>
      </c>
      <c r="E788">
        <v>5.8</v>
      </c>
      <c r="G788" s="23">
        <f t="shared" si="45"/>
        <v>12</v>
      </c>
      <c r="H788" s="23">
        <f t="shared" si="46"/>
        <v>10</v>
      </c>
    </row>
    <row r="789" spans="1:8" x14ac:dyDescent="0.25">
      <c r="A789" s="22">
        <v>41894.454861111109</v>
      </c>
      <c r="B789">
        <v>430.3</v>
      </c>
      <c r="C789">
        <v>94.2</v>
      </c>
      <c r="D789">
        <v>9.6</v>
      </c>
      <c r="E789">
        <v>5.7</v>
      </c>
      <c r="G789" s="23">
        <f t="shared" si="45"/>
        <v>12</v>
      </c>
      <c r="H789" s="23">
        <f t="shared" si="46"/>
        <v>10</v>
      </c>
    </row>
    <row r="790" spans="1:8" x14ac:dyDescent="0.25">
      <c r="A790" s="22">
        <v>41894.458333333336</v>
      </c>
      <c r="B790">
        <v>419</v>
      </c>
      <c r="C790">
        <v>94.2</v>
      </c>
      <c r="D790">
        <v>9.6</v>
      </c>
      <c r="E790">
        <v>5.8</v>
      </c>
      <c r="G790" s="23">
        <f t="shared" si="45"/>
        <v>12</v>
      </c>
      <c r="H790" s="23">
        <f t="shared" si="46"/>
        <v>11</v>
      </c>
    </row>
    <row r="791" spans="1:8" x14ac:dyDescent="0.25">
      <c r="A791" s="22">
        <v>41894.461805555555</v>
      </c>
      <c r="B791">
        <v>414.6</v>
      </c>
      <c r="C791">
        <v>94.2</v>
      </c>
      <c r="D791">
        <v>9.6</v>
      </c>
      <c r="E791">
        <v>5.8</v>
      </c>
      <c r="G791" s="23">
        <f t="shared" si="45"/>
        <v>12</v>
      </c>
      <c r="H791" s="23">
        <f t="shared" si="46"/>
        <v>11</v>
      </c>
    </row>
    <row r="792" spans="1:8" x14ac:dyDescent="0.25">
      <c r="A792" s="22">
        <v>41894.465277777781</v>
      </c>
      <c r="B792">
        <v>409</v>
      </c>
      <c r="C792">
        <v>94.2</v>
      </c>
      <c r="D792">
        <v>9.5</v>
      </c>
      <c r="E792">
        <v>5.8</v>
      </c>
      <c r="G792" s="23">
        <f t="shared" si="45"/>
        <v>12</v>
      </c>
      <c r="H792" s="23">
        <f t="shared" si="46"/>
        <v>11</v>
      </c>
    </row>
    <row r="793" spans="1:8" x14ac:dyDescent="0.25">
      <c r="A793" s="22">
        <v>41894.46875</v>
      </c>
      <c r="B793">
        <v>404.5</v>
      </c>
      <c r="C793">
        <v>94.2</v>
      </c>
      <c r="D793">
        <v>9.4</v>
      </c>
      <c r="E793">
        <v>5.8</v>
      </c>
      <c r="G793" s="23">
        <f t="shared" si="45"/>
        <v>12</v>
      </c>
      <c r="H793" s="23">
        <f t="shared" si="46"/>
        <v>11</v>
      </c>
    </row>
    <row r="794" spans="1:8" x14ac:dyDescent="0.25">
      <c r="A794" s="22">
        <v>41894.472222222219</v>
      </c>
      <c r="B794">
        <v>401</v>
      </c>
      <c r="C794">
        <v>94.3</v>
      </c>
      <c r="D794">
        <v>9.4</v>
      </c>
      <c r="E794">
        <v>5.8</v>
      </c>
      <c r="G794" s="23">
        <f t="shared" si="45"/>
        <v>12</v>
      </c>
      <c r="H794" s="23">
        <f t="shared" si="46"/>
        <v>11</v>
      </c>
    </row>
    <row r="795" spans="1:8" x14ac:dyDescent="0.25">
      <c r="A795" s="22">
        <v>41894.475694444445</v>
      </c>
      <c r="B795">
        <v>396.6</v>
      </c>
      <c r="C795">
        <v>94.2</v>
      </c>
      <c r="D795">
        <v>9.4</v>
      </c>
      <c r="E795">
        <v>5.8</v>
      </c>
      <c r="G795" s="23">
        <f t="shared" si="45"/>
        <v>12</v>
      </c>
      <c r="H795" s="23">
        <f t="shared" si="46"/>
        <v>11</v>
      </c>
    </row>
    <row r="796" spans="1:8" x14ac:dyDescent="0.25">
      <c r="A796" s="22">
        <v>41894.479166666664</v>
      </c>
      <c r="B796">
        <v>396</v>
      </c>
      <c r="C796">
        <v>94.1</v>
      </c>
      <c r="D796">
        <v>9.4</v>
      </c>
      <c r="E796">
        <v>5.8</v>
      </c>
      <c r="G796" s="23">
        <f t="shared" si="45"/>
        <v>12</v>
      </c>
      <c r="H796" s="23">
        <f t="shared" si="46"/>
        <v>11</v>
      </c>
    </row>
    <row r="797" spans="1:8" x14ac:dyDescent="0.25">
      <c r="A797" s="22">
        <v>41894.482638888891</v>
      </c>
      <c r="B797">
        <v>399.2</v>
      </c>
      <c r="C797">
        <v>94.2</v>
      </c>
      <c r="D797">
        <v>9.4</v>
      </c>
      <c r="E797">
        <v>5.8</v>
      </c>
      <c r="G797" s="23">
        <f t="shared" si="45"/>
        <v>12</v>
      </c>
      <c r="H797" s="23">
        <f t="shared" si="46"/>
        <v>11</v>
      </c>
    </row>
    <row r="798" spans="1:8" x14ac:dyDescent="0.25">
      <c r="A798" s="22">
        <v>41894.486111111109</v>
      </c>
      <c r="B798">
        <v>401.2</v>
      </c>
      <c r="C798">
        <v>94.2</v>
      </c>
      <c r="D798">
        <v>9.4</v>
      </c>
      <c r="E798">
        <v>5.8</v>
      </c>
      <c r="G798" s="23">
        <f t="shared" si="45"/>
        <v>12</v>
      </c>
      <c r="H798" s="23">
        <f t="shared" si="46"/>
        <v>11</v>
      </c>
    </row>
    <row r="799" spans="1:8" x14ac:dyDescent="0.25">
      <c r="A799" s="22">
        <v>41894.489583333336</v>
      </c>
      <c r="B799">
        <v>405.1</v>
      </c>
      <c r="C799">
        <v>94.3</v>
      </c>
      <c r="D799">
        <v>9.5</v>
      </c>
      <c r="E799">
        <v>5.8</v>
      </c>
      <c r="G799" s="23">
        <f t="shared" si="45"/>
        <v>12</v>
      </c>
      <c r="H799" s="23">
        <f t="shared" si="46"/>
        <v>11</v>
      </c>
    </row>
    <row r="800" spans="1:8" x14ac:dyDescent="0.25">
      <c r="A800" s="22">
        <v>41894.493055555555</v>
      </c>
      <c r="B800">
        <v>407</v>
      </c>
      <c r="C800">
        <v>94.1</v>
      </c>
      <c r="D800">
        <v>9.5</v>
      </c>
      <c r="E800">
        <v>5.8</v>
      </c>
      <c r="G800" s="23">
        <f t="shared" si="45"/>
        <v>12</v>
      </c>
      <c r="H800" s="23">
        <f t="shared" si="46"/>
        <v>11</v>
      </c>
    </row>
    <row r="801" spans="1:8" x14ac:dyDescent="0.25">
      <c r="A801" s="22">
        <v>41894.496527777781</v>
      </c>
      <c r="B801">
        <v>407.5</v>
      </c>
      <c r="C801">
        <v>94.2</v>
      </c>
      <c r="D801">
        <v>9.5</v>
      </c>
      <c r="E801">
        <v>5.8</v>
      </c>
      <c r="G801" s="23">
        <f t="shared" si="45"/>
        <v>12</v>
      </c>
      <c r="H801" s="23">
        <f t="shared" si="46"/>
        <v>11</v>
      </c>
    </row>
    <row r="802" spans="1:8" x14ac:dyDescent="0.25">
      <c r="A802" s="22">
        <v>41894.5</v>
      </c>
      <c r="B802">
        <v>409.8</v>
      </c>
      <c r="C802">
        <v>94.2</v>
      </c>
      <c r="D802">
        <v>9.5</v>
      </c>
      <c r="E802">
        <v>5.8</v>
      </c>
      <c r="G802" s="23">
        <f t="shared" si="45"/>
        <v>12</v>
      </c>
      <c r="H802" s="23">
        <f t="shared" si="46"/>
        <v>12</v>
      </c>
    </row>
    <row r="803" spans="1:8" x14ac:dyDescent="0.25">
      <c r="A803" s="22">
        <v>41894.503472222219</v>
      </c>
      <c r="B803">
        <v>409.1</v>
      </c>
      <c r="C803">
        <v>94.2</v>
      </c>
      <c r="D803">
        <v>9.5</v>
      </c>
      <c r="E803">
        <v>5.8</v>
      </c>
      <c r="G803" s="23">
        <f t="shared" si="45"/>
        <v>12</v>
      </c>
      <c r="H803" s="23">
        <f t="shared" si="46"/>
        <v>12</v>
      </c>
    </row>
    <row r="804" spans="1:8" x14ac:dyDescent="0.25">
      <c r="A804" s="22">
        <v>41894.506944444445</v>
      </c>
      <c r="B804">
        <v>412.8</v>
      </c>
      <c r="C804">
        <v>94.3</v>
      </c>
      <c r="D804">
        <v>9.5</v>
      </c>
      <c r="E804">
        <v>5.8</v>
      </c>
      <c r="G804" s="23">
        <f t="shared" si="45"/>
        <v>12</v>
      </c>
      <c r="H804" s="23">
        <f t="shared" si="46"/>
        <v>12</v>
      </c>
    </row>
    <row r="805" spans="1:8" x14ac:dyDescent="0.25">
      <c r="A805" s="22">
        <v>41894.510416666664</v>
      </c>
      <c r="B805">
        <v>414.3</v>
      </c>
      <c r="C805">
        <v>94.3</v>
      </c>
      <c r="D805">
        <v>9.6</v>
      </c>
      <c r="E805">
        <v>5.8</v>
      </c>
      <c r="G805" s="23">
        <f t="shared" si="45"/>
        <v>12</v>
      </c>
      <c r="H805" s="23">
        <f t="shared" si="46"/>
        <v>12</v>
      </c>
    </row>
    <row r="806" spans="1:8" x14ac:dyDescent="0.25">
      <c r="A806" s="22">
        <v>41894.513888888891</v>
      </c>
      <c r="B806">
        <v>413.6</v>
      </c>
      <c r="C806">
        <v>94.2</v>
      </c>
      <c r="D806">
        <v>9.5</v>
      </c>
      <c r="E806">
        <v>5.8</v>
      </c>
      <c r="G806" s="23">
        <f t="shared" si="45"/>
        <v>12</v>
      </c>
      <c r="H806" s="23">
        <f t="shared" si="46"/>
        <v>12</v>
      </c>
    </row>
    <row r="807" spans="1:8" x14ac:dyDescent="0.25">
      <c r="A807" s="22">
        <v>41894.517361111109</v>
      </c>
      <c r="B807">
        <v>414.2</v>
      </c>
      <c r="C807">
        <v>94.2</v>
      </c>
      <c r="D807">
        <v>9.6</v>
      </c>
      <c r="E807">
        <v>5.8</v>
      </c>
      <c r="G807" s="23">
        <f t="shared" si="45"/>
        <v>12</v>
      </c>
      <c r="H807" s="23">
        <f t="shared" si="46"/>
        <v>12</v>
      </c>
    </row>
    <row r="808" spans="1:8" x14ac:dyDescent="0.25">
      <c r="A808" s="22">
        <v>41894.520833333336</v>
      </c>
      <c r="B808">
        <v>415.2</v>
      </c>
      <c r="C808">
        <v>94.2</v>
      </c>
      <c r="D808">
        <v>9.6</v>
      </c>
      <c r="E808">
        <v>5.8</v>
      </c>
      <c r="G808" s="23">
        <f t="shared" si="45"/>
        <v>12</v>
      </c>
      <c r="H808" s="23">
        <f t="shared" si="46"/>
        <v>12</v>
      </c>
    </row>
    <row r="809" spans="1:8" x14ac:dyDescent="0.25">
      <c r="A809" s="22">
        <v>41894.524305555555</v>
      </c>
      <c r="B809">
        <v>414.1</v>
      </c>
      <c r="C809">
        <v>94.1</v>
      </c>
      <c r="D809">
        <v>9.6</v>
      </c>
      <c r="E809">
        <v>5.8</v>
      </c>
      <c r="G809" s="23">
        <f t="shared" si="45"/>
        <v>12</v>
      </c>
      <c r="H809" s="23">
        <f t="shared" si="46"/>
        <v>12</v>
      </c>
    </row>
    <row r="810" spans="1:8" x14ac:dyDescent="0.25">
      <c r="A810" s="22">
        <v>41894.527777777781</v>
      </c>
      <c r="B810">
        <v>411.7</v>
      </c>
      <c r="C810">
        <v>94.2</v>
      </c>
      <c r="D810">
        <v>9.5</v>
      </c>
      <c r="E810">
        <v>5.8</v>
      </c>
      <c r="G810" s="23">
        <f t="shared" si="45"/>
        <v>12</v>
      </c>
      <c r="H810" s="23">
        <f t="shared" si="46"/>
        <v>12</v>
      </c>
    </row>
    <row r="811" spans="1:8" x14ac:dyDescent="0.25">
      <c r="A811" s="22">
        <v>41894.53125</v>
      </c>
      <c r="B811">
        <v>411</v>
      </c>
      <c r="C811">
        <v>94.2</v>
      </c>
      <c r="D811">
        <v>9.5</v>
      </c>
      <c r="E811">
        <v>5.8</v>
      </c>
      <c r="G811" s="23">
        <f t="shared" si="45"/>
        <v>12</v>
      </c>
      <c r="H811" s="23">
        <f t="shared" si="46"/>
        <v>12</v>
      </c>
    </row>
    <row r="812" spans="1:8" x14ac:dyDescent="0.25">
      <c r="A812" s="22">
        <v>41894.534722222219</v>
      </c>
      <c r="B812">
        <v>415.2</v>
      </c>
      <c r="C812">
        <v>94.3</v>
      </c>
      <c r="D812">
        <v>9.6</v>
      </c>
      <c r="E812">
        <v>5.8</v>
      </c>
      <c r="G812" s="23">
        <f t="shared" si="45"/>
        <v>12</v>
      </c>
      <c r="H812" s="23">
        <f t="shared" si="46"/>
        <v>12</v>
      </c>
    </row>
    <row r="813" spans="1:8" x14ac:dyDescent="0.25">
      <c r="A813" s="22">
        <v>41894.538194444445</v>
      </c>
      <c r="B813">
        <v>422.2</v>
      </c>
      <c r="C813">
        <v>94.2</v>
      </c>
      <c r="D813">
        <v>9.6999999999999993</v>
      </c>
      <c r="E813">
        <v>5.8</v>
      </c>
      <c r="G813" s="23">
        <f t="shared" si="45"/>
        <v>12</v>
      </c>
      <c r="H813" s="23">
        <f t="shared" si="46"/>
        <v>12</v>
      </c>
    </row>
    <row r="814" spans="1:8" x14ac:dyDescent="0.25">
      <c r="A814" s="22">
        <v>41894.541666666664</v>
      </c>
      <c r="B814">
        <v>454.4</v>
      </c>
      <c r="C814">
        <v>94.2</v>
      </c>
      <c r="D814">
        <v>10</v>
      </c>
      <c r="E814">
        <v>5.9</v>
      </c>
      <c r="G814" s="23">
        <f t="shared" si="45"/>
        <v>12</v>
      </c>
      <c r="H814" s="23">
        <f t="shared" si="46"/>
        <v>13</v>
      </c>
    </row>
    <row r="815" spans="1:8" x14ac:dyDescent="0.25">
      <c r="A815" s="22">
        <v>41894.545138888891</v>
      </c>
      <c r="B815">
        <v>457.1</v>
      </c>
      <c r="C815">
        <v>94.3</v>
      </c>
      <c r="D815">
        <v>10</v>
      </c>
      <c r="E815">
        <v>5.9</v>
      </c>
      <c r="G815" s="23">
        <f t="shared" si="45"/>
        <v>12</v>
      </c>
      <c r="H815" s="23">
        <f t="shared" si="46"/>
        <v>13</v>
      </c>
    </row>
    <row r="816" spans="1:8" x14ac:dyDescent="0.25">
      <c r="A816" s="22">
        <v>41894.548611111109</v>
      </c>
      <c r="B816">
        <v>458.8</v>
      </c>
      <c r="C816">
        <v>94.3</v>
      </c>
      <c r="D816">
        <v>10.1</v>
      </c>
      <c r="E816">
        <v>5.9</v>
      </c>
      <c r="G816" s="23">
        <f t="shared" si="45"/>
        <v>12</v>
      </c>
      <c r="H816" s="23">
        <f t="shared" si="46"/>
        <v>13</v>
      </c>
    </row>
    <row r="817" spans="1:8" x14ac:dyDescent="0.25">
      <c r="A817" s="22">
        <v>41894.552083333336</v>
      </c>
      <c r="B817">
        <v>459.9</v>
      </c>
      <c r="C817">
        <v>94.2</v>
      </c>
      <c r="D817">
        <v>10.3</v>
      </c>
      <c r="E817">
        <v>6.1</v>
      </c>
      <c r="G817" s="23">
        <f t="shared" si="45"/>
        <v>12</v>
      </c>
      <c r="H817" s="23">
        <f t="shared" si="46"/>
        <v>13</v>
      </c>
    </row>
    <row r="818" spans="1:8" x14ac:dyDescent="0.25">
      <c r="A818" s="22">
        <v>41894.555555555555</v>
      </c>
      <c r="B818">
        <v>459.4</v>
      </c>
      <c r="C818">
        <v>94.2</v>
      </c>
      <c r="D818">
        <v>10.4</v>
      </c>
      <c r="E818">
        <v>6.2</v>
      </c>
      <c r="G818" s="23">
        <f t="shared" si="45"/>
        <v>12</v>
      </c>
      <c r="H818" s="23">
        <f t="shared" si="46"/>
        <v>13</v>
      </c>
    </row>
    <row r="819" spans="1:8" x14ac:dyDescent="0.25">
      <c r="A819" s="22">
        <v>41894.559027777781</v>
      </c>
      <c r="B819">
        <v>462.6</v>
      </c>
      <c r="C819">
        <v>94.3</v>
      </c>
      <c r="D819">
        <v>10.4</v>
      </c>
      <c r="E819">
        <v>6.2</v>
      </c>
      <c r="G819" s="23">
        <f t="shared" si="45"/>
        <v>12</v>
      </c>
      <c r="H819" s="23">
        <f t="shared" si="46"/>
        <v>13</v>
      </c>
    </row>
    <row r="820" spans="1:8" x14ac:dyDescent="0.25">
      <c r="A820" s="22">
        <v>41894.5625</v>
      </c>
      <c r="B820">
        <v>463.6</v>
      </c>
      <c r="C820">
        <v>94.4</v>
      </c>
      <c r="D820">
        <v>10.4</v>
      </c>
      <c r="E820">
        <v>6.2</v>
      </c>
      <c r="G820" s="23">
        <f t="shared" si="45"/>
        <v>12</v>
      </c>
      <c r="H820" s="23">
        <f t="shared" si="46"/>
        <v>13</v>
      </c>
    </row>
    <row r="821" spans="1:8" x14ac:dyDescent="0.25">
      <c r="A821" s="22">
        <v>41894.565972222219</v>
      </c>
      <c r="B821">
        <v>462</v>
      </c>
      <c r="C821">
        <v>94.3</v>
      </c>
      <c r="D821">
        <v>10.5</v>
      </c>
      <c r="E821">
        <v>6.3</v>
      </c>
      <c r="G821" s="23">
        <f t="shared" si="45"/>
        <v>12</v>
      </c>
      <c r="H821" s="23">
        <f t="shared" si="46"/>
        <v>13</v>
      </c>
    </row>
    <row r="822" spans="1:8" x14ac:dyDescent="0.25">
      <c r="A822" s="22">
        <v>41894.569444444445</v>
      </c>
      <c r="B822">
        <v>460.9</v>
      </c>
      <c r="C822">
        <v>94.2</v>
      </c>
      <c r="D822">
        <v>10.5</v>
      </c>
      <c r="E822">
        <v>6.3</v>
      </c>
      <c r="G822" s="23">
        <f t="shared" si="45"/>
        <v>12</v>
      </c>
      <c r="H822" s="23">
        <f t="shared" si="46"/>
        <v>13</v>
      </c>
    </row>
    <row r="823" spans="1:8" x14ac:dyDescent="0.25">
      <c r="A823" s="22">
        <v>41894.572916666664</v>
      </c>
      <c r="B823">
        <v>465.1</v>
      </c>
      <c r="C823">
        <v>94.3</v>
      </c>
      <c r="D823">
        <v>10.7</v>
      </c>
      <c r="E823">
        <v>6.4</v>
      </c>
      <c r="G823" s="23">
        <f t="shared" si="45"/>
        <v>12</v>
      </c>
      <c r="H823" s="23">
        <f t="shared" si="46"/>
        <v>13</v>
      </c>
    </row>
    <row r="824" spans="1:8" x14ac:dyDescent="0.25">
      <c r="A824" s="22">
        <v>41894.576388888891</v>
      </c>
      <c r="B824">
        <v>461.9</v>
      </c>
      <c r="C824">
        <v>94.2</v>
      </c>
      <c r="D824">
        <v>10.7</v>
      </c>
      <c r="E824">
        <v>6.5</v>
      </c>
      <c r="G824" s="23">
        <f t="shared" si="45"/>
        <v>12</v>
      </c>
      <c r="H824" s="23">
        <f t="shared" si="46"/>
        <v>13</v>
      </c>
    </row>
    <row r="825" spans="1:8" x14ac:dyDescent="0.25">
      <c r="A825" s="22">
        <v>41894.579861111109</v>
      </c>
      <c r="B825">
        <v>462.1</v>
      </c>
      <c r="C825">
        <v>94.4</v>
      </c>
      <c r="D825">
        <v>10.7</v>
      </c>
      <c r="E825">
        <v>6.5</v>
      </c>
      <c r="G825" s="23">
        <f t="shared" si="45"/>
        <v>12</v>
      </c>
      <c r="H825" s="23">
        <f t="shared" si="46"/>
        <v>13</v>
      </c>
    </row>
    <row r="826" spans="1:8" x14ac:dyDescent="0.25">
      <c r="A826" s="22">
        <v>41894.583333333336</v>
      </c>
      <c r="B826">
        <v>463</v>
      </c>
      <c r="C826">
        <v>94.3</v>
      </c>
      <c r="D826">
        <v>10.8</v>
      </c>
      <c r="E826">
        <v>6.6</v>
      </c>
      <c r="G826" s="23">
        <f t="shared" si="45"/>
        <v>12</v>
      </c>
      <c r="H826" s="23">
        <f t="shared" si="46"/>
        <v>14</v>
      </c>
    </row>
    <row r="827" spans="1:8" x14ac:dyDescent="0.25">
      <c r="A827" s="22">
        <v>41894.586805555555</v>
      </c>
      <c r="B827">
        <v>462.3</v>
      </c>
      <c r="C827">
        <v>94.2</v>
      </c>
      <c r="D827">
        <v>10.8</v>
      </c>
      <c r="E827">
        <v>6.6</v>
      </c>
      <c r="G827" s="23">
        <f t="shared" si="45"/>
        <v>12</v>
      </c>
      <c r="H827" s="23">
        <f t="shared" si="46"/>
        <v>14</v>
      </c>
    </row>
    <row r="828" spans="1:8" x14ac:dyDescent="0.25">
      <c r="A828" s="22">
        <v>41894.590277777781</v>
      </c>
      <c r="B828">
        <v>463.1</v>
      </c>
      <c r="C828">
        <v>94.2</v>
      </c>
      <c r="D828">
        <v>10.9</v>
      </c>
      <c r="E828">
        <v>6.6</v>
      </c>
      <c r="G828" s="23">
        <f t="shared" si="45"/>
        <v>12</v>
      </c>
      <c r="H828" s="23">
        <f t="shared" si="46"/>
        <v>14</v>
      </c>
    </row>
    <row r="829" spans="1:8" x14ac:dyDescent="0.25">
      <c r="A829" s="22">
        <v>41894.59375</v>
      </c>
      <c r="B829">
        <v>463.6</v>
      </c>
      <c r="C829">
        <v>94.3</v>
      </c>
      <c r="D829">
        <v>10.9</v>
      </c>
      <c r="E829">
        <v>6.7</v>
      </c>
      <c r="G829" s="23">
        <f t="shared" si="45"/>
        <v>12</v>
      </c>
      <c r="H829" s="23">
        <f t="shared" si="46"/>
        <v>14</v>
      </c>
    </row>
    <row r="830" spans="1:8" x14ac:dyDescent="0.25">
      <c r="A830" s="22">
        <v>41894.597222222219</v>
      </c>
      <c r="B830">
        <v>464.6</v>
      </c>
      <c r="C830">
        <v>94.3</v>
      </c>
      <c r="D830">
        <v>11</v>
      </c>
      <c r="E830">
        <v>6.8</v>
      </c>
      <c r="G830" s="23">
        <f t="shared" si="45"/>
        <v>12</v>
      </c>
      <c r="H830" s="23">
        <f t="shared" si="46"/>
        <v>14</v>
      </c>
    </row>
    <row r="831" spans="1:8" x14ac:dyDescent="0.25">
      <c r="A831" s="22">
        <v>41894.600694444445</v>
      </c>
      <c r="B831">
        <v>465.9</v>
      </c>
      <c r="C831">
        <v>94.3</v>
      </c>
      <c r="D831">
        <v>11.1</v>
      </c>
      <c r="E831">
        <v>6.8</v>
      </c>
      <c r="G831" s="23">
        <f t="shared" si="45"/>
        <v>12</v>
      </c>
      <c r="H831" s="23">
        <f t="shared" si="46"/>
        <v>14</v>
      </c>
    </row>
    <row r="832" spans="1:8" x14ac:dyDescent="0.25">
      <c r="A832" s="22">
        <v>41894.604166666664</v>
      </c>
      <c r="B832">
        <v>464.6</v>
      </c>
      <c r="C832">
        <v>94.3</v>
      </c>
      <c r="D832">
        <v>11.1</v>
      </c>
      <c r="E832">
        <v>6.9</v>
      </c>
      <c r="G832" s="23">
        <f t="shared" si="45"/>
        <v>12</v>
      </c>
      <c r="H832" s="23">
        <f t="shared" si="46"/>
        <v>14</v>
      </c>
    </row>
    <row r="833" spans="1:8" x14ac:dyDescent="0.25">
      <c r="A833" s="22">
        <v>41894.607638888891</v>
      </c>
      <c r="B833">
        <v>465.7</v>
      </c>
      <c r="C833">
        <v>94.3</v>
      </c>
      <c r="D833">
        <v>11.1</v>
      </c>
      <c r="E833">
        <v>6.9</v>
      </c>
      <c r="G833" s="23">
        <f t="shared" si="45"/>
        <v>12</v>
      </c>
      <c r="H833" s="23">
        <f t="shared" si="46"/>
        <v>14</v>
      </c>
    </row>
    <row r="834" spans="1:8" x14ac:dyDescent="0.25">
      <c r="A834" s="22">
        <v>41894.611111111109</v>
      </c>
      <c r="B834">
        <v>466.1</v>
      </c>
      <c r="C834">
        <v>94.4</v>
      </c>
      <c r="D834">
        <v>11.2</v>
      </c>
      <c r="E834">
        <v>6.9</v>
      </c>
      <c r="G834" s="23">
        <f t="shared" si="45"/>
        <v>12</v>
      </c>
      <c r="H834" s="23">
        <f t="shared" si="46"/>
        <v>14</v>
      </c>
    </row>
    <row r="835" spans="1:8" x14ac:dyDescent="0.25">
      <c r="A835" s="22">
        <v>41894.614583333336</v>
      </c>
      <c r="B835">
        <v>466.4</v>
      </c>
      <c r="C835">
        <v>94.4</v>
      </c>
      <c r="D835">
        <v>11.2</v>
      </c>
      <c r="E835">
        <v>6.9</v>
      </c>
      <c r="G835" s="23">
        <f t="shared" si="45"/>
        <v>12</v>
      </c>
      <c r="H835" s="23">
        <f t="shared" si="46"/>
        <v>14</v>
      </c>
    </row>
    <row r="836" spans="1:8" x14ac:dyDescent="0.25">
      <c r="A836" s="22">
        <v>41894.618055555555</v>
      </c>
      <c r="B836">
        <v>465.6</v>
      </c>
      <c r="C836">
        <v>94.3</v>
      </c>
      <c r="D836">
        <v>11.2</v>
      </c>
      <c r="E836">
        <v>7</v>
      </c>
      <c r="G836" s="23">
        <f t="shared" si="45"/>
        <v>12</v>
      </c>
      <c r="H836" s="23">
        <f t="shared" si="46"/>
        <v>14</v>
      </c>
    </row>
    <row r="837" spans="1:8" x14ac:dyDescent="0.25">
      <c r="A837" s="22">
        <v>41894.621527777781</v>
      </c>
      <c r="B837">
        <v>467.3</v>
      </c>
      <c r="C837">
        <v>94.4</v>
      </c>
      <c r="D837">
        <v>11.2</v>
      </c>
      <c r="E837">
        <v>6.9</v>
      </c>
      <c r="G837" s="23">
        <f t="shared" si="45"/>
        <v>12</v>
      </c>
      <c r="H837" s="23">
        <f t="shared" si="46"/>
        <v>14</v>
      </c>
    </row>
    <row r="838" spans="1:8" x14ac:dyDescent="0.25">
      <c r="A838" s="22">
        <v>41894.625</v>
      </c>
      <c r="B838">
        <v>470.2</v>
      </c>
      <c r="C838">
        <v>94.4</v>
      </c>
      <c r="D838">
        <v>11.3</v>
      </c>
      <c r="E838">
        <v>7</v>
      </c>
      <c r="G838" s="23">
        <f t="shared" ref="G838:G901" si="47">+DAY(A838)</f>
        <v>12</v>
      </c>
      <c r="H838" s="23">
        <f t="shared" ref="H838:H901" si="48">+HOUR(A838)</f>
        <v>15</v>
      </c>
    </row>
    <row r="839" spans="1:8" x14ac:dyDescent="0.25">
      <c r="A839" s="22">
        <v>41894.628472222219</v>
      </c>
      <c r="B839">
        <v>469.6</v>
      </c>
      <c r="C839">
        <v>94.3</v>
      </c>
      <c r="D839">
        <v>11.3</v>
      </c>
      <c r="E839">
        <v>7</v>
      </c>
      <c r="G839" s="23">
        <f t="shared" si="47"/>
        <v>12</v>
      </c>
      <c r="H839" s="23">
        <f t="shared" si="48"/>
        <v>15</v>
      </c>
    </row>
    <row r="840" spans="1:8" x14ac:dyDescent="0.25">
      <c r="A840" s="22">
        <v>41894.631944444445</v>
      </c>
      <c r="B840">
        <v>469.1</v>
      </c>
      <c r="C840">
        <v>94.4</v>
      </c>
      <c r="D840">
        <v>11.3</v>
      </c>
      <c r="E840">
        <v>7.1</v>
      </c>
      <c r="G840" s="23">
        <f t="shared" si="47"/>
        <v>12</v>
      </c>
      <c r="H840" s="23">
        <f t="shared" si="48"/>
        <v>15</v>
      </c>
    </row>
    <row r="841" spans="1:8" x14ac:dyDescent="0.25">
      <c r="A841" s="22">
        <v>41894.635416666664</v>
      </c>
      <c r="B841">
        <v>476.3</v>
      </c>
      <c r="C841">
        <v>94.4</v>
      </c>
      <c r="D841">
        <v>11.4</v>
      </c>
      <c r="E841">
        <v>7.1</v>
      </c>
      <c r="G841" s="23">
        <f t="shared" si="47"/>
        <v>12</v>
      </c>
      <c r="H841" s="23">
        <f t="shared" si="48"/>
        <v>15</v>
      </c>
    </row>
    <row r="842" spans="1:8" x14ac:dyDescent="0.25">
      <c r="A842" s="22">
        <v>41894.638888888891</v>
      </c>
      <c r="B842">
        <v>477.8</v>
      </c>
      <c r="C842">
        <v>94.4</v>
      </c>
      <c r="D842">
        <v>11.4</v>
      </c>
      <c r="E842">
        <v>7.1</v>
      </c>
      <c r="G842" s="23">
        <f t="shared" si="47"/>
        <v>12</v>
      </c>
      <c r="H842" s="23">
        <f t="shared" si="48"/>
        <v>15</v>
      </c>
    </row>
    <row r="843" spans="1:8" x14ac:dyDescent="0.25">
      <c r="A843" s="22">
        <v>41894.642361111109</v>
      </c>
      <c r="B843">
        <v>485.6</v>
      </c>
      <c r="C843">
        <v>94.3</v>
      </c>
      <c r="D843">
        <v>11.5</v>
      </c>
      <c r="E843">
        <v>7.1</v>
      </c>
      <c r="G843" s="23">
        <f t="shared" si="47"/>
        <v>12</v>
      </c>
      <c r="H843" s="23">
        <f t="shared" si="48"/>
        <v>15</v>
      </c>
    </row>
    <row r="844" spans="1:8" x14ac:dyDescent="0.25">
      <c r="A844" s="22">
        <v>41894.645833333336</v>
      </c>
      <c r="B844">
        <v>492.3</v>
      </c>
      <c r="C844">
        <v>94.2</v>
      </c>
      <c r="D844">
        <v>11.5</v>
      </c>
      <c r="E844">
        <v>7</v>
      </c>
      <c r="G844" s="23">
        <f t="shared" si="47"/>
        <v>12</v>
      </c>
      <c r="H844" s="23">
        <f t="shared" si="48"/>
        <v>15</v>
      </c>
    </row>
    <row r="845" spans="1:8" x14ac:dyDescent="0.25">
      <c r="A845" s="22">
        <v>41894.649305555555</v>
      </c>
      <c r="B845">
        <v>496.1</v>
      </c>
      <c r="C845">
        <v>94.3</v>
      </c>
      <c r="D845">
        <v>11.6</v>
      </c>
      <c r="E845">
        <v>7.1</v>
      </c>
      <c r="G845" s="23">
        <f t="shared" si="47"/>
        <v>12</v>
      </c>
      <c r="H845" s="23">
        <f t="shared" si="48"/>
        <v>15</v>
      </c>
    </row>
    <row r="846" spans="1:8" x14ac:dyDescent="0.25">
      <c r="A846" s="22">
        <v>41894.652777777781</v>
      </c>
      <c r="B846">
        <v>502.4</v>
      </c>
      <c r="C846">
        <v>94.4</v>
      </c>
      <c r="D846">
        <v>11.9</v>
      </c>
      <c r="E846">
        <v>7.3</v>
      </c>
      <c r="G846" s="23">
        <f t="shared" si="47"/>
        <v>12</v>
      </c>
      <c r="H846" s="23">
        <f t="shared" si="48"/>
        <v>15</v>
      </c>
    </row>
    <row r="847" spans="1:8" x14ac:dyDescent="0.25">
      <c r="A847" s="22">
        <v>41894.65625</v>
      </c>
      <c r="B847">
        <v>505.4</v>
      </c>
      <c r="C847">
        <v>94.4</v>
      </c>
      <c r="D847">
        <v>12.1</v>
      </c>
      <c r="E847">
        <v>7.5</v>
      </c>
      <c r="G847" s="23">
        <f t="shared" si="47"/>
        <v>12</v>
      </c>
      <c r="H847" s="23">
        <f t="shared" si="48"/>
        <v>15</v>
      </c>
    </row>
    <row r="848" spans="1:8" x14ac:dyDescent="0.25">
      <c r="A848" s="22">
        <v>41894.659722222219</v>
      </c>
      <c r="B848">
        <v>511.3</v>
      </c>
      <c r="C848">
        <v>94.4</v>
      </c>
      <c r="D848">
        <v>12.4</v>
      </c>
      <c r="E848">
        <v>7.7</v>
      </c>
      <c r="G848" s="23">
        <f t="shared" si="47"/>
        <v>12</v>
      </c>
      <c r="H848" s="23">
        <f t="shared" si="48"/>
        <v>15</v>
      </c>
    </row>
    <row r="849" spans="1:8" x14ac:dyDescent="0.25">
      <c r="A849" s="22">
        <v>41894.663194444445</v>
      </c>
      <c r="B849">
        <v>513.79999999999995</v>
      </c>
      <c r="C849">
        <v>94.4</v>
      </c>
      <c r="D849">
        <v>12.6</v>
      </c>
      <c r="E849">
        <v>8</v>
      </c>
      <c r="G849" s="23">
        <f t="shared" si="47"/>
        <v>12</v>
      </c>
      <c r="H849" s="23">
        <f t="shared" si="48"/>
        <v>15</v>
      </c>
    </row>
    <row r="850" spans="1:8" x14ac:dyDescent="0.25">
      <c r="A850" s="22">
        <v>41894.666666666664</v>
      </c>
      <c r="B850">
        <v>505.2</v>
      </c>
      <c r="C850">
        <v>94.5</v>
      </c>
      <c r="D850">
        <v>12.8</v>
      </c>
      <c r="E850">
        <v>8.1999999999999993</v>
      </c>
      <c r="G850" s="23">
        <f t="shared" si="47"/>
        <v>12</v>
      </c>
      <c r="H850" s="23">
        <f t="shared" si="48"/>
        <v>16</v>
      </c>
    </row>
    <row r="851" spans="1:8" x14ac:dyDescent="0.25">
      <c r="A851" s="22">
        <v>41894.670138888891</v>
      </c>
      <c r="B851">
        <v>499.9</v>
      </c>
      <c r="C851">
        <v>94.6</v>
      </c>
      <c r="D851">
        <v>13</v>
      </c>
      <c r="E851">
        <v>8.4</v>
      </c>
      <c r="G851" s="23">
        <f t="shared" si="47"/>
        <v>12</v>
      </c>
      <c r="H851" s="23">
        <f t="shared" si="48"/>
        <v>16</v>
      </c>
    </row>
    <row r="852" spans="1:8" x14ac:dyDescent="0.25">
      <c r="A852" s="22">
        <v>41894.673611111109</v>
      </c>
      <c r="B852">
        <v>492.2</v>
      </c>
      <c r="C852">
        <v>94.5</v>
      </c>
      <c r="D852">
        <v>12.9</v>
      </c>
      <c r="E852">
        <v>8.4</v>
      </c>
      <c r="G852" s="23">
        <f t="shared" si="47"/>
        <v>12</v>
      </c>
      <c r="H852" s="23">
        <f t="shared" si="48"/>
        <v>16</v>
      </c>
    </row>
    <row r="853" spans="1:8" x14ac:dyDescent="0.25">
      <c r="A853" s="22">
        <v>41894.677083333336</v>
      </c>
      <c r="B853">
        <v>489.3</v>
      </c>
      <c r="C853">
        <v>94.5</v>
      </c>
      <c r="D853">
        <v>12.6</v>
      </c>
      <c r="E853">
        <v>8.1999999999999993</v>
      </c>
      <c r="G853" s="23">
        <f t="shared" si="47"/>
        <v>12</v>
      </c>
      <c r="H853" s="23">
        <f t="shared" si="48"/>
        <v>16</v>
      </c>
    </row>
    <row r="854" spans="1:8" x14ac:dyDescent="0.25">
      <c r="A854" s="22">
        <v>41894.680555555555</v>
      </c>
      <c r="B854">
        <v>487.7</v>
      </c>
      <c r="C854">
        <v>94.5</v>
      </c>
      <c r="D854">
        <v>12.5</v>
      </c>
      <c r="E854">
        <v>8.1</v>
      </c>
      <c r="G854" s="23">
        <f t="shared" si="47"/>
        <v>12</v>
      </c>
      <c r="H854" s="23">
        <f t="shared" si="48"/>
        <v>16</v>
      </c>
    </row>
    <row r="855" spans="1:8" x14ac:dyDescent="0.25">
      <c r="A855" s="22">
        <v>41894.684027777781</v>
      </c>
      <c r="B855">
        <v>483.6</v>
      </c>
      <c r="C855">
        <v>94.5</v>
      </c>
      <c r="D855">
        <v>12.4</v>
      </c>
      <c r="E855">
        <v>8</v>
      </c>
      <c r="G855" s="23">
        <f t="shared" si="47"/>
        <v>12</v>
      </c>
      <c r="H855" s="23">
        <f t="shared" si="48"/>
        <v>16</v>
      </c>
    </row>
    <row r="856" spans="1:8" x14ac:dyDescent="0.25">
      <c r="A856" s="22">
        <v>41894.6875</v>
      </c>
      <c r="B856">
        <v>482.9</v>
      </c>
      <c r="C856">
        <v>94.6</v>
      </c>
      <c r="D856">
        <v>12.2</v>
      </c>
      <c r="E856">
        <v>7.8</v>
      </c>
      <c r="G856" s="23">
        <f t="shared" si="47"/>
        <v>12</v>
      </c>
      <c r="H856" s="23">
        <f t="shared" si="48"/>
        <v>16</v>
      </c>
    </row>
    <row r="857" spans="1:8" x14ac:dyDescent="0.25">
      <c r="A857" s="22">
        <v>41894.690972222219</v>
      </c>
      <c r="B857">
        <v>481.3</v>
      </c>
      <c r="C857">
        <v>94.4</v>
      </c>
      <c r="D857">
        <v>12.1</v>
      </c>
      <c r="E857">
        <v>7.8</v>
      </c>
      <c r="G857" s="23">
        <f t="shared" si="47"/>
        <v>12</v>
      </c>
      <c r="H857" s="23">
        <f t="shared" si="48"/>
        <v>16</v>
      </c>
    </row>
    <row r="858" spans="1:8" x14ac:dyDescent="0.25">
      <c r="A858" s="22">
        <v>41894.694444444445</v>
      </c>
      <c r="B858">
        <v>480</v>
      </c>
      <c r="C858">
        <v>94.5</v>
      </c>
      <c r="D858">
        <v>12</v>
      </c>
      <c r="E858">
        <v>7.7</v>
      </c>
      <c r="G858" s="23">
        <f t="shared" si="47"/>
        <v>12</v>
      </c>
      <c r="H858" s="23">
        <f t="shared" si="48"/>
        <v>16</v>
      </c>
    </row>
    <row r="859" spans="1:8" x14ac:dyDescent="0.25">
      <c r="A859" s="22">
        <v>41894.697916666664</v>
      </c>
      <c r="B859">
        <v>480.1</v>
      </c>
      <c r="C859">
        <v>94.5</v>
      </c>
      <c r="D859">
        <v>11.9</v>
      </c>
      <c r="E859">
        <v>7.5</v>
      </c>
      <c r="G859" s="23">
        <f t="shared" si="47"/>
        <v>12</v>
      </c>
      <c r="H859" s="23">
        <f t="shared" si="48"/>
        <v>16</v>
      </c>
    </row>
    <row r="860" spans="1:8" x14ac:dyDescent="0.25">
      <c r="A860" s="22">
        <v>41894.701388888891</v>
      </c>
      <c r="B860">
        <v>481.2</v>
      </c>
      <c r="C860">
        <v>94.5</v>
      </c>
      <c r="D860">
        <v>11.8</v>
      </c>
      <c r="E860">
        <v>7.4</v>
      </c>
      <c r="G860" s="23">
        <f t="shared" si="47"/>
        <v>12</v>
      </c>
      <c r="H860" s="23">
        <f t="shared" si="48"/>
        <v>16</v>
      </c>
    </row>
    <row r="861" spans="1:8" x14ac:dyDescent="0.25">
      <c r="A861" s="22">
        <v>41894.704861111109</v>
      </c>
      <c r="B861">
        <v>480.1</v>
      </c>
      <c r="C861">
        <v>94.3</v>
      </c>
      <c r="D861">
        <v>11.7</v>
      </c>
      <c r="E861">
        <v>7.4</v>
      </c>
      <c r="G861" s="23">
        <f t="shared" si="47"/>
        <v>12</v>
      </c>
      <c r="H861" s="23">
        <f t="shared" si="48"/>
        <v>16</v>
      </c>
    </row>
    <row r="862" spans="1:8" x14ac:dyDescent="0.25">
      <c r="A862" s="22">
        <v>41894.708333333336</v>
      </c>
      <c r="B862">
        <v>478</v>
      </c>
      <c r="C862">
        <v>94.3</v>
      </c>
      <c r="D862">
        <v>11.6</v>
      </c>
      <c r="E862">
        <v>7.3</v>
      </c>
      <c r="G862" s="23">
        <f t="shared" si="47"/>
        <v>12</v>
      </c>
      <c r="H862" s="23">
        <f t="shared" si="48"/>
        <v>17</v>
      </c>
    </row>
    <row r="863" spans="1:8" x14ac:dyDescent="0.25">
      <c r="A863" s="22">
        <v>41894.711805555555</v>
      </c>
      <c r="B863">
        <v>477.6</v>
      </c>
      <c r="C863">
        <v>94.4</v>
      </c>
      <c r="D863">
        <v>11.5</v>
      </c>
      <c r="E863">
        <v>7.2</v>
      </c>
      <c r="G863" s="23">
        <f t="shared" si="47"/>
        <v>12</v>
      </c>
      <c r="H863" s="23">
        <f t="shared" si="48"/>
        <v>17</v>
      </c>
    </row>
    <row r="864" spans="1:8" x14ac:dyDescent="0.25">
      <c r="A864" s="22">
        <v>41894.715277777781</v>
      </c>
      <c r="B864">
        <v>479.8</v>
      </c>
      <c r="C864">
        <v>94.4</v>
      </c>
      <c r="D864">
        <v>11.4</v>
      </c>
      <c r="E864">
        <v>7</v>
      </c>
      <c r="G864" s="23">
        <f t="shared" si="47"/>
        <v>12</v>
      </c>
      <c r="H864" s="23">
        <f t="shared" si="48"/>
        <v>17</v>
      </c>
    </row>
    <row r="865" spans="1:8" x14ac:dyDescent="0.25">
      <c r="A865" s="22">
        <v>41894.71875</v>
      </c>
      <c r="B865">
        <v>478.3</v>
      </c>
      <c r="C865">
        <v>94.3</v>
      </c>
      <c r="D865">
        <v>11.3</v>
      </c>
      <c r="E865">
        <v>6.9</v>
      </c>
      <c r="G865" s="23">
        <f t="shared" si="47"/>
        <v>12</v>
      </c>
      <c r="H865" s="23">
        <f t="shared" si="48"/>
        <v>17</v>
      </c>
    </row>
    <row r="866" spans="1:8" x14ac:dyDescent="0.25">
      <c r="A866" s="22">
        <v>41894.722222222219</v>
      </c>
      <c r="B866">
        <v>477.4</v>
      </c>
      <c r="C866">
        <v>94.3</v>
      </c>
      <c r="D866">
        <v>11.3</v>
      </c>
      <c r="E866">
        <v>6.9</v>
      </c>
      <c r="G866" s="23">
        <f t="shared" si="47"/>
        <v>12</v>
      </c>
      <c r="H866" s="23">
        <f t="shared" si="48"/>
        <v>17</v>
      </c>
    </row>
    <row r="867" spans="1:8" x14ac:dyDescent="0.25">
      <c r="A867" s="22">
        <v>41894.725694444445</v>
      </c>
      <c r="B867">
        <v>477.1</v>
      </c>
      <c r="C867">
        <v>94.2</v>
      </c>
      <c r="D867">
        <v>11.2</v>
      </c>
      <c r="E867">
        <v>6.8</v>
      </c>
      <c r="G867" s="23">
        <f t="shared" si="47"/>
        <v>12</v>
      </c>
      <c r="H867" s="23">
        <f t="shared" si="48"/>
        <v>17</v>
      </c>
    </row>
    <row r="868" spans="1:8" x14ac:dyDescent="0.25">
      <c r="A868" s="22">
        <v>41894.729166666664</v>
      </c>
      <c r="B868">
        <v>479.2</v>
      </c>
      <c r="C868">
        <v>94.3</v>
      </c>
      <c r="D868">
        <v>11.3</v>
      </c>
      <c r="E868">
        <v>6.9</v>
      </c>
      <c r="G868" s="23">
        <f t="shared" si="47"/>
        <v>12</v>
      </c>
      <c r="H868" s="23">
        <f t="shared" si="48"/>
        <v>17</v>
      </c>
    </row>
    <row r="869" spans="1:8" x14ac:dyDescent="0.25">
      <c r="A869" s="22">
        <v>41894.732638888891</v>
      </c>
      <c r="B869">
        <v>479.1</v>
      </c>
      <c r="C869">
        <v>94.4</v>
      </c>
      <c r="D869">
        <v>11.3</v>
      </c>
      <c r="E869">
        <v>6.9</v>
      </c>
      <c r="G869" s="23">
        <f t="shared" si="47"/>
        <v>12</v>
      </c>
      <c r="H869" s="23">
        <f t="shared" si="48"/>
        <v>17</v>
      </c>
    </row>
    <row r="870" spans="1:8" x14ac:dyDescent="0.25">
      <c r="A870" s="22">
        <v>41894.736111111109</v>
      </c>
      <c r="B870">
        <v>484</v>
      </c>
      <c r="C870">
        <v>94.3</v>
      </c>
      <c r="D870">
        <v>11.4</v>
      </c>
      <c r="E870">
        <v>7</v>
      </c>
      <c r="G870" s="23">
        <f t="shared" si="47"/>
        <v>12</v>
      </c>
      <c r="H870" s="23">
        <f t="shared" si="48"/>
        <v>17</v>
      </c>
    </row>
    <row r="871" spans="1:8" x14ac:dyDescent="0.25">
      <c r="A871" s="22">
        <v>41894.739583333336</v>
      </c>
      <c r="B871">
        <v>484.3</v>
      </c>
      <c r="C871">
        <v>94.4</v>
      </c>
      <c r="D871">
        <v>11.7</v>
      </c>
      <c r="E871">
        <v>7.2</v>
      </c>
      <c r="G871" s="23">
        <f t="shared" si="47"/>
        <v>12</v>
      </c>
      <c r="H871" s="23">
        <f t="shared" si="48"/>
        <v>17</v>
      </c>
    </row>
    <row r="872" spans="1:8" x14ac:dyDescent="0.25">
      <c r="A872" s="22">
        <v>41894.743055555555</v>
      </c>
      <c r="B872">
        <v>482.4</v>
      </c>
      <c r="C872">
        <v>94.5</v>
      </c>
      <c r="D872">
        <v>11.6</v>
      </c>
      <c r="E872">
        <v>7.2</v>
      </c>
      <c r="G872" s="23">
        <f t="shared" si="47"/>
        <v>12</v>
      </c>
      <c r="H872" s="23">
        <f t="shared" si="48"/>
        <v>17</v>
      </c>
    </row>
    <row r="873" spans="1:8" x14ac:dyDescent="0.25">
      <c r="A873" s="22">
        <v>41894.746527777781</v>
      </c>
      <c r="B873">
        <v>480.9</v>
      </c>
      <c r="C873">
        <v>94.4</v>
      </c>
      <c r="D873">
        <v>11.6</v>
      </c>
      <c r="E873">
        <v>7.2</v>
      </c>
      <c r="G873" s="23">
        <f t="shared" si="47"/>
        <v>12</v>
      </c>
      <c r="H873" s="23">
        <f t="shared" si="48"/>
        <v>17</v>
      </c>
    </row>
    <row r="874" spans="1:8" x14ac:dyDescent="0.25">
      <c r="A874" s="22">
        <v>41894.75</v>
      </c>
      <c r="B874">
        <v>484.6</v>
      </c>
      <c r="C874">
        <v>94.4</v>
      </c>
      <c r="D874">
        <v>11.6</v>
      </c>
      <c r="E874">
        <v>7.2</v>
      </c>
      <c r="G874" s="23">
        <f t="shared" si="47"/>
        <v>12</v>
      </c>
      <c r="H874" s="23">
        <f t="shared" si="48"/>
        <v>18</v>
      </c>
    </row>
    <row r="875" spans="1:8" x14ac:dyDescent="0.25">
      <c r="A875" s="22">
        <v>41894.753472222219</v>
      </c>
      <c r="B875">
        <v>483.7</v>
      </c>
      <c r="C875">
        <v>94.3</v>
      </c>
      <c r="D875">
        <v>11.6</v>
      </c>
      <c r="E875">
        <v>7.2</v>
      </c>
      <c r="G875" s="23">
        <f t="shared" si="47"/>
        <v>12</v>
      </c>
      <c r="H875" s="23">
        <f t="shared" si="48"/>
        <v>18</v>
      </c>
    </row>
    <row r="876" spans="1:8" x14ac:dyDescent="0.25">
      <c r="A876" s="22">
        <v>41894.756944444445</v>
      </c>
      <c r="B876">
        <v>480.2</v>
      </c>
      <c r="C876">
        <v>94.3</v>
      </c>
      <c r="D876">
        <v>11.6</v>
      </c>
      <c r="E876">
        <v>7.2</v>
      </c>
      <c r="G876" s="23">
        <f t="shared" si="47"/>
        <v>12</v>
      </c>
      <c r="H876" s="23">
        <f t="shared" si="48"/>
        <v>18</v>
      </c>
    </row>
    <row r="877" spans="1:8" x14ac:dyDescent="0.25">
      <c r="A877" s="22">
        <v>41894.760416666664</v>
      </c>
      <c r="B877">
        <v>481.1</v>
      </c>
      <c r="C877">
        <v>94.5</v>
      </c>
      <c r="D877">
        <v>11.6</v>
      </c>
      <c r="E877">
        <v>7.2</v>
      </c>
      <c r="G877" s="23">
        <f t="shared" si="47"/>
        <v>12</v>
      </c>
      <c r="H877" s="23">
        <f t="shared" si="48"/>
        <v>18</v>
      </c>
    </row>
    <row r="878" spans="1:8" x14ac:dyDescent="0.25">
      <c r="A878" s="22">
        <v>41894.763888888891</v>
      </c>
      <c r="B878">
        <v>480.5</v>
      </c>
      <c r="C878">
        <v>94.3</v>
      </c>
      <c r="D878">
        <v>11.6</v>
      </c>
      <c r="E878">
        <v>7.2</v>
      </c>
      <c r="G878" s="23">
        <f t="shared" si="47"/>
        <v>12</v>
      </c>
      <c r="H878" s="23">
        <f t="shared" si="48"/>
        <v>18</v>
      </c>
    </row>
    <row r="879" spans="1:8" x14ac:dyDescent="0.25">
      <c r="A879" s="22">
        <v>41894.767361111109</v>
      </c>
      <c r="B879">
        <v>481.6</v>
      </c>
      <c r="C879">
        <v>94.3</v>
      </c>
      <c r="D879">
        <v>11.6</v>
      </c>
      <c r="E879">
        <v>7.2</v>
      </c>
      <c r="G879" s="23">
        <f t="shared" si="47"/>
        <v>12</v>
      </c>
      <c r="H879" s="23">
        <f t="shared" si="48"/>
        <v>18</v>
      </c>
    </row>
    <row r="880" spans="1:8" x14ac:dyDescent="0.25">
      <c r="A880" s="22">
        <v>41894.770833333336</v>
      </c>
      <c r="B880">
        <v>482.9</v>
      </c>
      <c r="C880">
        <v>94.3</v>
      </c>
      <c r="D880">
        <v>11.6</v>
      </c>
      <c r="E880">
        <v>7.2</v>
      </c>
      <c r="G880" s="23">
        <f t="shared" si="47"/>
        <v>12</v>
      </c>
      <c r="H880" s="23">
        <f t="shared" si="48"/>
        <v>18</v>
      </c>
    </row>
    <row r="881" spans="1:8" x14ac:dyDescent="0.25">
      <c r="A881" s="22">
        <v>41894.774305555555</v>
      </c>
      <c r="B881">
        <v>484.6</v>
      </c>
      <c r="C881">
        <v>94.4</v>
      </c>
      <c r="D881">
        <v>11.6</v>
      </c>
      <c r="E881">
        <v>7.2</v>
      </c>
      <c r="G881" s="23">
        <f t="shared" si="47"/>
        <v>12</v>
      </c>
      <c r="H881" s="23">
        <f t="shared" si="48"/>
        <v>18</v>
      </c>
    </row>
    <row r="882" spans="1:8" x14ac:dyDescent="0.25">
      <c r="A882" s="22">
        <v>41894.777777777781</v>
      </c>
      <c r="B882">
        <v>486.1</v>
      </c>
      <c r="C882">
        <v>94.5</v>
      </c>
      <c r="D882">
        <v>11.7</v>
      </c>
      <c r="E882">
        <v>7.2</v>
      </c>
      <c r="G882" s="23">
        <f t="shared" si="47"/>
        <v>12</v>
      </c>
      <c r="H882" s="23">
        <f t="shared" si="48"/>
        <v>18</v>
      </c>
    </row>
    <row r="883" spans="1:8" x14ac:dyDescent="0.25">
      <c r="A883" s="22">
        <v>41894.78125</v>
      </c>
      <c r="B883">
        <v>486</v>
      </c>
      <c r="C883">
        <v>94.4</v>
      </c>
      <c r="D883">
        <v>11.7</v>
      </c>
      <c r="E883">
        <v>7.3</v>
      </c>
      <c r="G883" s="23">
        <f t="shared" si="47"/>
        <v>12</v>
      </c>
      <c r="H883" s="23">
        <f t="shared" si="48"/>
        <v>18</v>
      </c>
    </row>
    <row r="884" spans="1:8" x14ac:dyDescent="0.25">
      <c r="A884" s="22">
        <v>41894.784722222219</v>
      </c>
      <c r="B884">
        <v>483.3</v>
      </c>
      <c r="C884">
        <v>94.4</v>
      </c>
      <c r="D884">
        <v>11.7</v>
      </c>
      <c r="E884">
        <v>7.3</v>
      </c>
      <c r="G884" s="23">
        <f t="shared" si="47"/>
        <v>12</v>
      </c>
      <c r="H884" s="23">
        <f t="shared" si="48"/>
        <v>18</v>
      </c>
    </row>
    <row r="885" spans="1:8" x14ac:dyDescent="0.25">
      <c r="A885" s="22">
        <v>41894.788194444445</v>
      </c>
      <c r="B885">
        <v>483</v>
      </c>
      <c r="C885">
        <v>94.4</v>
      </c>
      <c r="D885">
        <v>11.7</v>
      </c>
      <c r="E885">
        <v>7.3</v>
      </c>
      <c r="G885" s="23">
        <f t="shared" si="47"/>
        <v>12</v>
      </c>
      <c r="H885" s="23">
        <f t="shared" si="48"/>
        <v>18</v>
      </c>
    </row>
    <row r="886" spans="1:8" x14ac:dyDescent="0.25">
      <c r="A886" s="22">
        <v>41894.791666666664</v>
      </c>
      <c r="B886">
        <v>485.4</v>
      </c>
      <c r="C886">
        <v>94.6</v>
      </c>
      <c r="D886">
        <v>11.7</v>
      </c>
      <c r="E886">
        <v>7.3</v>
      </c>
      <c r="G886" s="23">
        <f t="shared" si="47"/>
        <v>12</v>
      </c>
      <c r="H886" s="23">
        <f t="shared" si="48"/>
        <v>19</v>
      </c>
    </row>
    <row r="887" spans="1:8" x14ac:dyDescent="0.25">
      <c r="A887" s="22">
        <v>41894.795138888891</v>
      </c>
      <c r="B887">
        <v>485.2</v>
      </c>
      <c r="C887">
        <v>94.5</v>
      </c>
      <c r="D887">
        <v>11.7</v>
      </c>
      <c r="E887">
        <v>7.3</v>
      </c>
      <c r="G887" s="23">
        <f t="shared" si="47"/>
        <v>12</v>
      </c>
      <c r="H887" s="23">
        <f t="shared" si="48"/>
        <v>19</v>
      </c>
    </row>
    <row r="888" spans="1:8" x14ac:dyDescent="0.25">
      <c r="A888" s="22">
        <v>41894.798611111109</v>
      </c>
      <c r="B888">
        <v>485.5</v>
      </c>
      <c r="C888">
        <v>94.4</v>
      </c>
      <c r="D888">
        <v>11.8</v>
      </c>
      <c r="E888">
        <v>7.4</v>
      </c>
      <c r="G888" s="23">
        <f t="shared" si="47"/>
        <v>12</v>
      </c>
      <c r="H888" s="23">
        <f t="shared" si="48"/>
        <v>19</v>
      </c>
    </row>
    <row r="889" spans="1:8" x14ac:dyDescent="0.25">
      <c r="A889" s="22">
        <v>41894.802083333336</v>
      </c>
      <c r="B889">
        <v>485.6</v>
      </c>
      <c r="C889">
        <v>94.4</v>
      </c>
      <c r="D889">
        <v>11.8</v>
      </c>
      <c r="E889">
        <v>7.4</v>
      </c>
      <c r="G889" s="23">
        <f t="shared" si="47"/>
        <v>12</v>
      </c>
      <c r="H889" s="23">
        <f t="shared" si="48"/>
        <v>19</v>
      </c>
    </row>
    <row r="890" spans="1:8" x14ac:dyDescent="0.25">
      <c r="A890" s="22">
        <v>41894.805555555555</v>
      </c>
      <c r="B890">
        <v>486.6</v>
      </c>
      <c r="C890">
        <v>94.5</v>
      </c>
      <c r="D890">
        <v>11.8</v>
      </c>
      <c r="E890">
        <v>7.4</v>
      </c>
      <c r="G890" s="23">
        <f t="shared" si="47"/>
        <v>12</v>
      </c>
      <c r="H890" s="23">
        <f t="shared" si="48"/>
        <v>19</v>
      </c>
    </row>
    <row r="891" spans="1:8" x14ac:dyDescent="0.25">
      <c r="A891" s="22">
        <v>41894.809027777781</v>
      </c>
      <c r="B891">
        <v>487.4</v>
      </c>
      <c r="C891">
        <v>94.5</v>
      </c>
      <c r="D891">
        <v>11.9</v>
      </c>
      <c r="E891">
        <v>7.4</v>
      </c>
      <c r="G891" s="23">
        <f t="shared" si="47"/>
        <v>12</v>
      </c>
      <c r="H891" s="23">
        <f t="shared" si="48"/>
        <v>19</v>
      </c>
    </row>
    <row r="892" spans="1:8" x14ac:dyDescent="0.25">
      <c r="A892" s="22">
        <v>41894.8125</v>
      </c>
      <c r="B892">
        <v>487.2</v>
      </c>
      <c r="C892">
        <v>94.4</v>
      </c>
      <c r="D892">
        <v>11.9</v>
      </c>
      <c r="E892">
        <v>7.5</v>
      </c>
      <c r="G892" s="23">
        <f t="shared" si="47"/>
        <v>12</v>
      </c>
      <c r="H892" s="23">
        <f t="shared" si="48"/>
        <v>19</v>
      </c>
    </row>
    <row r="893" spans="1:8" x14ac:dyDescent="0.25">
      <c r="A893" s="22">
        <v>41894.815972222219</v>
      </c>
      <c r="B893">
        <v>485.9</v>
      </c>
      <c r="C893">
        <v>94.4</v>
      </c>
      <c r="D893">
        <v>11.9</v>
      </c>
      <c r="E893">
        <v>7.5</v>
      </c>
      <c r="G893" s="23">
        <f t="shared" si="47"/>
        <v>12</v>
      </c>
      <c r="H893" s="23">
        <f t="shared" si="48"/>
        <v>19</v>
      </c>
    </row>
    <row r="894" spans="1:8" x14ac:dyDescent="0.25">
      <c r="A894" s="22">
        <v>41894.819444444445</v>
      </c>
      <c r="B894">
        <v>486.2</v>
      </c>
      <c r="C894">
        <v>94.5</v>
      </c>
      <c r="D894">
        <v>11.9</v>
      </c>
      <c r="E894">
        <v>7.5</v>
      </c>
      <c r="G894" s="23">
        <f t="shared" si="47"/>
        <v>12</v>
      </c>
      <c r="H894" s="23">
        <f t="shared" si="48"/>
        <v>19</v>
      </c>
    </row>
    <row r="895" spans="1:8" x14ac:dyDescent="0.25">
      <c r="A895" s="22">
        <v>41894.822916666664</v>
      </c>
      <c r="B895">
        <v>486.5</v>
      </c>
      <c r="C895">
        <v>94.5</v>
      </c>
      <c r="D895">
        <v>11.9</v>
      </c>
      <c r="E895">
        <v>7.5</v>
      </c>
      <c r="G895" s="23">
        <f t="shared" si="47"/>
        <v>12</v>
      </c>
      <c r="H895" s="23">
        <f t="shared" si="48"/>
        <v>19</v>
      </c>
    </row>
    <row r="896" spans="1:8" x14ac:dyDescent="0.25">
      <c r="A896" s="22">
        <v>41894.826388888891</v>
      </c>
      <c r="B896">
        <v>487</v>
      </c>
      <c r="C896">
        <v>94.5</v>
      </c>
      <c r="D896">
        <v>11.9</v>
      </c>
      <c r="E896">
        <v>7.5</v>
      </c>
      <c r="G896" s="23">
        <f t="shared" si="47"/>
        <v>12</v>
      </c>
      <c r="H896" s="23">
        <f t="shared" si="48"/>
        <v>19</v>
      </c>
    </row>
    <row r="897" spans="1:8" x14ac:dyDescent="0.25">
      <c r="A897" s="22">
        <v>41894.829861111109</v>
      </c>
      <c r="B897">
        <v>485.9</v>
      </c>
      <c r="C897">
        <v>94.4</v>
      </c>
      <c r="D897">
        <v>11.9</v>
      </c>
      <c r="E897">
        <v>7.5</v>
      </c>
      <c r="G897" s="23">
        <f t="shared" si="47"/>
        <v>12</v>
      </c>
      <c r="H897" s="23">
        <f t="shared" si="48"/>
        <v>19</v>
      </c>
    </row>
    <row r="898" spans="1:8" x14ac:dyDescent="0.25">
      <c r="A898" s="22">
        <v>41894.833333333336</v>
      </c>
      <c r="B898">
        <v>484.3</v>
      </c>
      <c r="C898">
        <v>94.4</v>
      </c>
      <c r="D898">
        <v>11.9</v>
      </c>
      <c r="E898">
        <v>7.5</v>
      </c>
      <c r="G898" s="23">
        <f t="shared" si="47"/>
        <v>12</v>
      </c>
      <c r="H898" s="23">
        <f t="shared" si="48"/>
        <v>20</v>
      </c>
    </row>
    <row r="899" spans="1:8" x14ac:dyDescent="0.25">
      <c r="A899" s="22">
        <v>41894.836805555555</v>
      </c>
      <c r="B899">
        <v>487.6</v>
      </c>
      <c r="C899">
        <v>94.5</v>
      </c>
      <c r="D899">
        <v>11.9</v>
      </c>
      <c r="E899">
        <v>7.5</v>
      </c>
      <c r="G899" s="23">
        <f t="shared" si="47"/>
        <v>12</v>
      </c>
      <c r="H899" s="23">
        <f t="shared" si="48"/>
        <v>20</v>
      </c>
    </row>
    <row r="900" spans="1:8" x14ac:dyDescent="0.25">
      <c r="A900" s="22">
        <v>41894.840277777781</v>
      </c>
      <c r="B900">
        <v>491.9</v>
      </c>
      <c r="C900">
        <v>94.4</v>
      </c>
      <c r="D900">
        <v>11.9</v>
      </c>
      <c r="E900">
        <v>7.4</v>
      </c>
      <c r="G900" s="23">
        <f t="shared" si="47"/>
        <v>12</v>
      </c>
      <c r="H900" s="23">
        <f t="shared" si="48"/>
        <v>20</v>
      </c>
    </row>
    <row r="901" spans="1:8" x14ac:dyDescent="0.25">
      <c r="A901" s="22">
        <v>41894.84375</v>
      </c>
      <c r="B901">
        <v>491</v>
      </c>
      <c r="C901">
        <v>94.4</v>
      </c>
      <c r="D901">
        <v>11.9</v>
      </c>
      <c r="E901">
        <v>7.5</v>
      </c>
      <c r="G901" s="23">
        <f t="shared" si="47"/>
        <v>12</v>
      </c>
      <c r="H901" s="23">
        <f t="shared" si="48"/>
        <v>20</v>
      </c>
    </row>
    <row r="902" spans="1:8" x14ac:dyDescent="0.25">
      <c r="A902" s="22">
        <v>41894.847222222219</v>
      </c>
      <c r="B902">
        <v>491</v>
      </c>
      <c r="C902">
        <v>94.5</v>
      </c>
      <c r="D902">
        <v>11.9</v>
      </c>
      <c r="E902">
        <v>7.5</v>
      </c>
      <c r="G902" s="23">
        <f t="shared" ref="G902:G945" si="49">+DAY(A902)</f>
        <v>12</v>
      </c>
      <c r="H902" s="23">
        <f t="shared" ref="H902:H965" si="50">+HOUR(A902)</f>
        <v>20</v>
      </c>
    </row>
    <row r="903" spans="1:8" x14ac:dyDescent="0.25">
      <c r="A903" s="22">
        <v>41894.850694444445</v>
      </c>
      <c r="B903">
        <v>489.5</v>
      </c>
      <c r="C903">
        <v>94.5</v>
      </c>
      <c r="D903">
        <v>11.9</v>
      </c>
      <c r="E903">
        <v>7.5</v>
      </c>
      <c r="G903" s="23">
        <f t="shared" si="49"/>
        <v>12</v>
      </c>
      <c r="H903" s="23">
        <f t="shared" si="50"/>
        <v>20</v>
      </c>
    </row>
    <row r="904" spans="1:8" x14ac:dyDescent="0.25">
      <c r="A904" s="22">
        <v>41894.854166666664</v>
      </c>
      <c r="B904">
        <v>490.8</v>
      </c>
      <c r="C904">
        <v>94.5</v>
      </c>
      <c r="D904">
        <v>11.9</v>
      </c>
      <c r="E904">
        <v>7.5</v>
      </c>
      <c r="G904" s="23">
        <f t="shared" si="49"/>
        <v>12</v>
      </c>
      <c r="H904" s="23">
        <f t="shared" si="50"/>
        <v>20</v>
      </c>
    </row>
    <row r="905" spans="1:8" x14ac:dyDescent="0.25">
      <c r="A905" s="22">
        <v>41894.857638888891</v>
      </c>
      <c r="B905">
        <v>487.4</v>
      </c>
      <c r="C905">
        <v>94.5</v>
      </c>
      <c r="D905">
        <v>11.9</v>
      </c>
      <c r="E905">
        <v>7.5</v>
      </c>
      <c r="G905" s="23">
        <f t="shared" si="49"/>
        <v>12</v>
      </c>
      <c r="H905" s="23">
        <f t="shared" si="50"/>
        <v>20</v>
      </c>
    </row>
    <row r="906" spans="1:8" x14ac:dyDescent="0.25">
      <c r="A906" s="22">
        <v>41894.861111111109</v>
      </c>
      <c r="B906">
        <v>486.3</v>
      </c>
      <c r="C906">
        <v>94.4</v>
      </c>
      <c r="D906">
        <v>11.8</v>
      </c>
      <c r="E906">
        <v>7.4</v>
      </c>
      <c r="G906" s="23">
        <f t="shared" si="49"/>
        <v>12</v>
      </c>
      <c r="H906" s="23">
        <f t="shared" si="50"/>
        <v>20</v>
      </c>
    </row>
    <row r="907" spans="1:8" x14ac:dyDescent="0.25">
      <c r="A907" s="22">
        <v>41894.864583333336</v>
      </c>
      <c r="B907">
        <v>487.9</v>
      </c>
      <c r="C907">
        <v>94.5</v>
      </c>
      <c r="D907">
        <v>11.8</v>
      </c>
      <c r="E907">
        <v>7.4</v>
      </c>
      <c r="G907" s="23">
        <f t="shared" si="49"/>
        <v>12</v>
      </c>
      <c r="H907" s="23">
        <f t="shared" si="50"/>
        <v>20</v>
      </c>
    </row>
    <row r="908" spans="1:8" x14ac:dyDescent="0.25">
      <c r="A908" s="22">
        <v>41894.868055555555</v>
      </c>
      <c r="B908">
        <v>485.1</v>
      </c>
      <c r="C908">
        <v>94.5</v>
      </c>
      <c r="D908">
        <v>11.9</v>
      </c>
      <c r="E908">
        <v>7.5</v>
      </c>
      <c r="G908" s="23">
        <f t="shared" si="49"/>
        <v>12</v>
      </c>
      <c r="H908" s="23">
        <f t="shared" si="50"/>
        <v>20</v>
      </c>
    </row>
    <row r="909" spans="1:8" x14ac:dyDescent="0.25">
      <c r="A909" s="22">
        <v>41894.871527777781</v>
      </c>
      <c r="B909">
        <v>485.4</v>
      </c>
      <c r="C909">
        <v>94.4</v>
      </c>
      <c r="D909">
        <v>11.8</v>
      </c>
      <c r="E909">
        <v>7.4</v>
      </c>
      <c r="G909" s="23">
        <f t="shared" si="49"/>
        <v>12</v>
      </c>
      <c r="H909" s="23">
        <f t="shared" si="50"/>
        <v>20</v>
      </c>
    </row>
    <row r="910" spans="1:8" x14ac:dyDescent="0.25">
      <c r="A910" s="22">
        <v>41894.875</v>
      </c>
      <c r="B910">
        <v>482.1</v>
      </c>
      <c r="C910">
        <v>94.3</v>
      </c>
      <c r="D910">
        <v>11.8</v>
      </c>
      <c r="E910">
        <v>7.4</v>
      </c>
      <c r="G910" s="23">
        <f t="shared" si="49"/>
        <v>12</v>
      </c>
      <c r="H910" s="23">
        <f t="shared" si="50"/>
        <v>21</v>
      </c>
    </row>
    <row r="911" spans="1:8" x14ac:dyDescent="0.25">
      <c r="A911" s="22">
        <v>41894.878472222219</v>
      </c>
      <c r="B911">
        <v>481.7</v>
      </c>
      <c r="C911">
        <v>94.3</v>
      </c>
      <c r="D911">
        <v>11.8</v>
      </c>
      <c r="E911">
        <v>7.5</v>
      </c>
      <c r="G911" s="23">
        <f t="shared" si="49"/>
        <v>12</v>
      </c>
      <c r="H911" s="23">
        <f t="shared" si="50"/>
        <v>21</v>
      </c>
    </row>
    <row r="912" spans="1:8" x14ac:dyDescent="0.25">
      <c r="A912" s="22">
        <v>41894.881944444445</v>
      </c>
      <c r="B912">
        <v>482.1</v>
      </c>
      <c r="C912">
        <v>94.4</v>
      </c>
      <c r="D912">
        <v>11.8</v>
      </c>
      <c r="E912">
        <v>7.4</v>
      </c>
      <c r="G912" s="23">
        <f t="shared" si="49"/>
        <v>12</v>
      </c>
      <c r="H912" s="23">
        <f t="shared" si="50"/>
        <v>21</v>
      </c>
    </row>
    <row r="913" spans="1:8" x14ac:dyDescent="0.25">
      <c r="A913" s="22">
        <v>41894.885416666664</v>
      </c>
      <c r="B913">
        <v>483.2</v>
      </c>
      <c r="C913">
        <v>94.4</v>
      </c>
      <c r="D913">
        <v>11.8</v>
      </c>
      <c r="E913">
        <v>7.4</v>
      </c>
      <c r="G913" s="23">
        <f t="shared" si="49"/>
        <v>12</v>
      </c>
      <c r="H913" s="23">
        <f t="shared" si="50"/>
        <v>21</v>
      </c>
    </row>
    <row r="914" spans="1:8" x14ac:dyDescent="0.25">
      <c r="A914" s="22">
        <v>41894.888888888891</v>
      </c>
      <c r="B914">
        <v>482.8</v>
      </c>
      <c r="C914">
        <v>94.4</v>
      </c>
      <c r="D914">
        <v>11.9</v>
      </c>
      <c r="E914">
        <v>7.5</v>
      </c>
      <c r="G914" s="23">
        <f t="shared" si="49"/>
        <v>12</v>
      </c>
      <c r="H914" s="23">
        <f t="shared" si="50"/>
        <v>21</v>
      </c>
    </row>
    <row r="915" spans="1:8" x14ac:dyDescent="0.25">
      <c r="A915" s="22">
        <v>41894.892361111109</v>
      </c>
      <c r="B915">
        <v>484.5</v>
      </c>
      <c r="C915">
        <v>94.3</v>
      </c>
      <c r="D915">
        <v>11.8</v>
      </c>
      <c r="E915">
        <v>7.4</v>
      </c>
      <c r="G915" s="23">
        <f t="shared" si="49"/>
        <v>12</v>
      </c>
      <c r="H915" s="23">
        <f t="shared" si="50"/>
        <v>21</v>
      </c>
    </row>
    <row r="916" spans="1:8" x14ac:dyDescent="0.25">
      <c r="A916" s="22">
        <v>41894.895833333336</v>
      </c>
      <c r="B916">
        <v>484.4</v>
      </c>
      <c r="C916">
        <v>94.4</v>
      </c>
      <c r="D916">
        <v>11.8</v>
      </c>
      <c r="E916">
        <v>7.4</v>
      </c>
      <c r="G916" s="23">
        <f t="shared" si="49"/>
        <v>12</v>
      </c>
      <c r="H916" s="23">
        <f t="shared" si="50"/>
        <v>21</v>
      </c>
    </row>
    <row r="917" spans="1:8" x14ac:dyDescent="0.25">
      <c r="A917" s="22">
        <v>41894.899305555555</v>
      </c>
      <c r="B917">
        <v>484.2</v>
      </c>
      <c r="C917">
        <v>94.3</v>
      </c>
      <c r="D917">
        <v>11.8</v>
      </c>
      <c r="E917">
        <v>7.4</v>
      </c>
      <c r="G917" s="23">
        <f t="shared" si="49"/>
        <v>12</v>
      </c>
      <c r="H917" s="23">
        <f t="shared" si="50"/>
        <v>21</v>
      </c>
    </row>
    <row r="918" spans="1:8" x14ac:dyDescent="0.25">
      <c r="A918" s="22">
        <v>41894.902777777781</v>
      </c>
      <c r="B918">
        <v>483.7</v>
      </c>
      <c r="C918">
        <v>94.3</v>
      </c>
      <c r="D918">
        <v>11.8</v>
      </c>
      <c r="E918">
        <v>7.4</v>
      </c>
      <c r="G918" s="23">
        <f t="shared" si="49"/>
        <v>12</v>
      </c>
      <c r="H918" s="23">
        <f t="shared" si="50"/>
        <v>21</v>
      </c>
    </row>
    <row r="919" spans="1:8" x14ac:dyDescent="0.25">
      <c r="A919" s="22">
        <v>41894.90625</v>
      </c>
      <c r="B919">
        <v>483.3</v>
      </c>
      <c r="C919">
        <v>94.4</v>
      </c>
      <c r="D919">
        <v>11.8</v>
      </c>
      <c r="E919">
        <v>7.4</v>
      </c>
      <c r="G919" s="23">
        <f t="shared" si="49"/>
        <v>12</v>
      </c>
      <c r="H919" s="23">
        <f t="shared" si="50"/>
        <v>21</v>
      </c>
    </row>
    <row r="920" spans="1:8" x14ac:dyDescent="0.25">
      <c r="A920" s="22">
        <v>41894.909722222219</v>
      </c>
      <c r="B920">
        <v>483.7</v>
      </c>
      <c r="C920">
        <v>94.4</v>
      </c>
      <c r="D920">
        <v>11.8</v>
      </c>
      <c r="E920">
        <v>7.4</v>
      </c>
      <c r="G920" s="23">
        <f t="shared" si="49"/>
        <v>12</v>
      </c>
      <c r="H920" s="23">
        <f t="shared" si="50"/>
        <v>21</v>
      </c>
    </row>
    <row r="921" spans="1:8" x14ac:dyDescent="0.25">
      <c r="A921" s="22">
        <v>41894.913194444445</v>
      </c>
      <c r="B921">
        <v>484</v>
      </c>
      <c r="C921">
        <v>94.4</v>
      </c>
      <c r="D921">
        <v>11.7</v>
      </c>
      <c r="E921">
        <v>7.3</v>
      </c>
      <c r="G921" s="23">
        <f t="shared" si="49"/>
        <v>12</v>
      </c>
      <c r="H921" s="23">
        <f t="shared" si="50"/>
        <v>21</v>
      </c>
    </row>
    <row r="922" spans="1:8" x14ac:dyDescent="0.25">
      <c r="A922" s="22">
        <v>41894.916666666664</v>
      </c>
      <c r="B922">
        <v>483.9</v>
      </c>
      <c r="C922">
        <v>94.3</v>
      </c>
      <c r="D922">
        <v>11.7</v>
      </c>
      <c r="E922">
        <v>7.3</v>
      </c>
      <c r="G922" s="23">
        <f t="shared" si="49"/>
        <v>12</v>
      </c>
      <c r="H922" s="23">
        <f t="shared" si="50"/>
        <v>22</v>
      </c>
    </row>
    <row r="923" spans="1:8" x14ac:dyDescent="0.25">
      <c r="A923" s="22">
        <v>41894.920138888891</v>
      </c>
      <c r="B923">
        <v>484.1</v>
      </c>
      <c r="C923">
        <v>94.3</v>
      </c>
      <c r="D923">
        <v>11.7</v>
      </c>
      <c r="E923">
        <v>7.3</v>
      </c>
      <c r="G923" s="23">
        <f t="shared" si="49"/>
        <v>12</v>
      </c>
      <c r="H923" s="23">
        <f t="shared" si="50"/>
        <v>22</v>
      </c>
    </row>
    <row r="924" spans="1:8" x14ac:dyDescent="0.25">
      <c r="A924" s="22">
        <v>41894.923611111109</v>
      </c>
      <c r="B924">
        <v>484.8</v>
      </c>
      <c r="C924">
        <v>94.3</v>
      </c>
      <c r="D924">
        <v>11.7</v>
      </c>
      <c r="E924">
        <v>7.3</v>
      </c>
      <c r="G924" s="23">
        <f t="shared" si="49"/>
        <v>12</v>
      </c>
      <c r="H924" s="23">
        <f t="shared" si="50"/>
        <v>22</v>
      </c>
    </row>
    <row r="925" spans="1:8" x14ac:dyDescent="0.25">
      <c r="A925" s="22">
        <v>41894.927083333336</v>
      </c>
      <c r="B925">
        <v>485.5</v>
      </c>
      <c r="C925">
        <v>94.3</v>
      </c>
      <c r="D925">
        <v>11.7</v>
      </c>
      <c r="E925">
        <v>7.3</v>
      </c>
      <c r="G925" s="23">
        <f t="shared" si="49"/>
        <v>12</v>
      </c>
      <c r="H925" s="23">
        <f t="shared" si="50"/>
        <v>22</v>
      </c>
    </row>
    <row r="926" spans="1:8" x14ac:dyDescent="0.25">
      <c r="A926" s="22">
        <v>41894.930555555555</v>
      </c>
      <c r="B926">
        <v>485.1</v>
      </c>
      <c r="C926">
        <v>94.4</v>
      </c>
      <c r="D926">
        <v>11.7</v>
      </c>
      <c r="E926">
        <v>7.2</v>
      </c>
      <c r="G926" s="23">
        <f t="shared" si="49"/>
        <v>12</v>
      </c>
      <c r="H926" s="23">
        <f t="shared" si="50"/>
        <v>22</v>
      </c>
    </row>
    <row r="927" spans="1:8" x14ac:dyDescent="0.25">
      <c r="A927" s="22">
        <v>41894.934027777781</v>
      </c>
      <c r="B927">
        <v>485</v>
      </c>
      <c r="C927">
        <v>94.3</v>
      </c>
      <c r="D927">
        <v>11.6</v>
      </c>
      <c r="E927">
        <v>7.2</v>
      </c>
      <c r="G927" s="23">
        <f t="shared" si="49"/>
        <v>12</v>
      </c>
      <c r="H927" s="23">
        <f t="shared" si="50"/>
        <v>22</v>
      </c>
    </row>
    <row r="928" spans="1:8" x14ac:dyDescent="0.25">
      <c r="A928" s="22">
        <v>41894.9375</v>
      </c>
      <c r="B928">
        <v>485.3</v>
      </c>
      <c r="C928">
        <v>94.3</v>
      </c>
      <c r="D928">
        <v>11.6</v>
      </c>
      <c r="E928">
        <v>7.2</v>
      </c>
      <c r="G928" s="23">
        <f t="shared" si="49"/>
        <v>12</v>
      </c>
      <c r="H928" s="23">
        <f t="shared" si="50"/>
        <v>22</v>
      </c>
    </row>
    <row r="929" spans="1:8" x14ac:dyDescent="0.25">
      <c r="A929" s="22">
        <v>41894.940972222219</v>
      </c>
      <c r="B929">
        <v>485.3</v>
      </c>
      <c r="C929">
        <v>94.4</v>
      </c>
      <c r="D929">
        <v>11.6</v>
      </c>
      <c r="E929">
        <v>7.1</v>
      </c>
      <c r="G929" s="23">
        <f t="shared" si="49"/>
        <v>12</v>
      </c>
      <c r="H929" s="23">
        <f t="shared" si="50"/>
        <v>22</v>
      </c>
    </row>
    <row r="930" spans="1:8" x14ac:dyDescent="0.25">
      <c r="A930" s="22">
        <v>41894.944444444445</v>
      </c>
      <c r="B930">
        <v>485.9</v>
      </c>
      <c r="C930">
        <v>94.4</v>
      </c>
      <c r="D930">
        <v>11.5</v>
      </c>
      <c r="E930">
        <v>7.1</v>
      </c>
      <c r="G930" s="23">
        <f t="shared" si="49"/>
        <v>12</v>
      </c>
      <c r="H930" s="23">
        <f t="shared" si="50"/>
        <v>22</v>
      </c>
    </row>
    <row r="931" spans="1:8" x14ac:dyDescent="0.25">
      <c r="A931" s="22">
        <v>41894.947916666664</v>
      </c>
      <c r="B931">
        <v>485.2</v>
      </c>
      <c r="C931">
        <v>94.2</v>
      </c>
      <c r="D931">
        <v>11.6</v>
      </c>
      <c r="E931">
        <v>7.1</v>
      </c>
      <c r="G931" s="23">
        <f t="shared" si="49"/>
        <v>12</v>
      </c>
      <c r="H931" s="23">
        <f t="shared" si="50"/>
        <v>22</v>
      </c>
    </row>
    <row r="932" spans="1:8" x14ac:dyDescent="0.25">
      <c r="A932" s="22">
        <v>41894.951388888891</v>
      </c>
      <c r="B932">
        <v>486.5</v>
      </c>
      <c r="C932">
        <v>94.3</v>
      </c>
      <c r="D932">
        <v>11.6</v>
      </c>
      <c r="E932">
        <v>7.2</v>
      </c>
      <c r="G932" s="23">
        <f t="shared" si="49"/>
        <v>12</v>
      </c>
      <c r="H932" s="23">
        <f t="shared" si="50"/>
        <v>22</v>
      </c>
    </row>
    <row r="933" spans="1:8" x14ac:dyDescent="0.25">
      <c r="A933" s="22">
        <v>41894.954861111109</v>
      </c>
      <c r="B933">
        <v>486.4</v>
      </c>
      <c r="C933">
        <v>94.3</v>
      </c>
      <c r="D933">
        <v>11.3</v>
      </c>
      <c r="E933">
        <v>6.9</v>
      </c>
      <c r="G933" s="23">
        <f t="shared" si="49"/>
        <v>12</v>
      </c>
      <c r="H933" s="23">
        <f t="shared" si="50"/>
        <v>22</v>
      </c>
    </row>
    <row r="934" spans="1:8" x14ac:dyDescent="0.25">
      <c r="A934" s="22">
        <v>41894.958333333336</v>
      </c>
      <c r="B934">
        <v>491</v>
      </c>
      <c r="C934">
        <v>94.3</v>
      </c>
      <c r="D934">
        <v>11.8</v>
      </c>
      <c r="E934">
        <v>7.3</v>
      </c>
      <c r="G934" s="23">
        <f t="shared" si="49"/>
        <v>12</v>
      </c>
      <c r="H934" s="23">
        <f t="shared" si="50"/>
        <v>23</v>
      </c>
    </row>
    <row r="935" spans="1:8" x14ac:dyDescent="0.25">
      <c r="A935" s="22">
        <v>41894.961805555555</v>
      </c>
      <c r="B935">
        <v>483.7</v>
      </c>
      <c r="C935">
        <v>94.3</v>
      </c>
      <c r="D935">
        <v>11.5</v>
      </c>
      <c r="E935">
        <v>7.1</v>
      </c>
      <c r="G935" s="23">
        <f t="shared" si="49"/>
        <v>12</v>
      </c>
      <c r="H935" s="23">
        <f t="shared" si="50"/>
        <v>23</v>
      </c>
    </row>
    <row r="936" spans="1:8" x14ac:dyDescent="0.25">
      <c r="A936" s="22">
        <v>41894.965277777781</v>
      </c>
      <c r="B936">
        <v>481.4</v>
      </c>
      <c r="C936">
        <v>94.2</v>
      </c>
      <c r="D936">
        <v>11.3</v>
      </c>
      <c r="E936">
        <v>6.9</v>
      </c>
      <c r="G936" s="23">
        <f t="shared" si="49"/>
        <v>12</v>
      </c>
      <c r="H936" s="23">
        <f t="shared" si="50"/>
        <v>23</v>
      </c>
    </row>
    <row r="937" spans="1:8" x14ac:dyDescent="0.25">
      <c r="A937" s="22">
        <v>41894.96875</v>
      </c>
      <c r="B937">
        <v>481.8</v>
      </c>
      <c r="C937">
        <v>94.2</v>
      </c>
      <c r="D937">
        <v>11.2</v>
      </c>
      <c r="E937">
        <v>6.8</v>
      </c>
      <c r="G937" s="23">
        <f t="shared" si="49"/>
        <v>12</v>
      </c>
      <c r="H937" s="23">
        <f t="shared" si="50"/>
        <v>23</v>
      </c>
    </row>
    <row r="938" spans="1:8" x14ac:dyDescent="0.25">
      <c r="A938" s="22">
        <v>41894.972222222219</v>
      </c>
      <c r="B938">
        <v>480.9</v>
      </c>
      <c r="C938">
        <v>94.3</v>
      </c>
      <c r="D938">
        <v>11.1</v>
      </c>
      <c r="E938">
        <v>6.7</v>
      </c>
      <c r="G938" s="23">
        <f t="shared" si="49"/>
        <v>12</v>
      </c>
      <c r="H938" s="23">
        <f t="shared" si="50"/>
        <v>23</v>
      </c>
    </row>
    <row r="939" spans="1:8" x14ac:dyDescent="0.25">
      <c r="A939" s="22">
        <v>41894.975694444445</v>
      </c>
      <c r="B939">
        <v>480.3</v>
      </c>
      <c r="C939">
        <v>94.3</v>
      </c>
      <c r="D939">
        <v>11.1</v>
      </c>
      <c r="E939">
        <v>6.7</v>
      </c>
      <c r="G939" s="23">
        <f t="shared" si="49"/>
        <v>12</v>
      </c>
      <c r="H939" s="23">
        <f t="shared" si="50"/>
        <v>23</v>
      </c>
    </row>
    <row r="940" spans="1:8" x14ac:dyDescent="0.25">
      <c r="A940" s="22">
        <v>41894.979166666664</v>
      </c>
      <c r="B940">
        <v>480.4</v>
      </c>
      <c r="C940">
        <v>94.2</v>
      </c>
      <c r="D940">
        <v>11</v>
      </c>
      <c r="E940">
        <v>6.6</v>
      </c>
      <c r="G940" s="23">
        <f t="shared" si="49"/>
        <v>12</v>
      </c>
      <c r="H940" s="23">
        <f t="shared" si="50"/>
        <v>23</v>
      </c>
    </row>
    <row r="941" spans="1:8" x14ac:dyDescent="0.25">
      <c r="A941" s="22">
        <v>41894.982638888891</v>
      </c>
      <c r="B941">
        <v>480.8</v>
      </c>
      <c r="C941">
        <v>94.2</v>
      </c>
      <c r="D941">
        <v>10.9</v>
      </c>
      <c r="E941">
        <v>6.6</v>
      </c>
      <c r="G941" s="23">
        <f t="shared" si="49"/>
        <v>12</v>
      </c>
      <c r="H941" s="23">
        <f t="shared" si="50"/>
        <v>23</v>
      </c>
    </row>
    <row r="942" spans="1:8" x14ac:dyDescent="0.25">
      <c r="A942" s="22">
        <v>41894.986111111109</v>
      </c>
      <c r="B942">
        <v>488.4</v>
      </c>
      <c r="C942">
        <v>94.3</v>
      </c>
      <c r="D942">
        <v>11.2</v>
      </c>
      <c r="E942">
        <v>6.7</v>
      </c>
      <c r="G942" s="23">
        <f t="shared" si="49"/>
        <v>12</v>
      </c>
      <c r="H942" s="23">
        <f t="shared" si="50"/>
        <v>23</v>
      </c>
    </row>
    <row r="943" spans="1:8" x14ac:dyDescent="0.25">
      <c r="A943" s="22">
        <v>41894.989583333336</v>
      </c>
      <c r="B943">
        <v>480.4</v>
      </c>
      <c r="C943">
        <v>94.3</v>
      </c>
      <c r="D943">
        <v>11.1</v>
      </c>
      <c r="E943">
        <v>6.7</v>
      </c>
      <c r="G943" s="23">
        <f t="shared" si="49"/>
        <v>12</v>
      </c>
      <c r="H943" s="23">
        <f t="shared" si="50"/>
        <v>23</v>
      </c>
    </row>
    <row r="944" spans="1:8" x14ac:dyDescent="0.25">
      <c r="A944" s="22">
        <v>41894.993055555555</v>
      </c>
      <c r="B944">
        <v>479.2</v>
      </c>
      <c r="C944">
        <v>94.2</v>
      </c>
      <c r="D944">
        <v>10.9</v>
      </c>
      <c r="E944">
        <v>6.6</v>
      </c>
      <c r="G944" s="23">
        <f t="shared" si="49"/>
        <v>12</v>
      </c>
      <c r="H944" s="23">
        <f t="shared" si="50"/>
        <v>23</v>
      </c>
    </row>
    <row r="945" spans="1:8" x14ac:dyDescent="0.25">
      <c r="A945" s="22">
        <v>41894.996527777781</v>
      </c>
      <c r="B945">
        <v>480.8</v>
      </c>
      <c r="C945">
        <v>94.2</v>
      </c>
      <c r="D945">
        <v>10.9</v>
      </c>
      <c r="E945">
        <v>6.5</v>
      </c>
      <c r="G945" s="23">
        <f t="shared" si="49"/>
        <v>12</v>
      </c>
      <c r="H945" s="23">
        <f t="shared" si="50"/>
        <v>23</v>
      </c>
    </row>
    <row r="946" spans="1:8" x14ac:dyDescent="0.25">
      <c r="A946" s="22">
        <v>41895</v>
      </c>
      <c r="B946">
        <v>482.1</v>
      </c>
      <c r="C946">
        <v>94.2</v>
      </c>
      <c r="D946">
        <v>10.9</v>
      </c>
      <c r="E946">
        <v>6.5</v>
      </c>
      <c r="G946">
        <v>13</v>
      </c>
      <c r="H946" s="23">
        <f t="shared" si="50"/>
        <v>0</v>
      </c>
    </row>
    <row r="947" spans="1:8" x14ac:dyDescent="0.25">
      <c r="A947" s="22">
        <v>41895.003472222219</v>
      </c>
      <c r="B947">
        <v>481.6</v>
      </c>
      <c r="C947">
        <v>94.2</v>
      </c>
      <c r="D947">
        <v>10.9</v>
      </c>
      <c r="E947">
        <v>6.5</v>
      </c>
      <c r="G947">
        <v>13</v>
      </c>
      <c r="H947" s="23">
        <f t="shared" si="50"/>
        <v>0</v>
      </c>
    </row>
    <row r="948" spans="1:8" x14ac:dyDescent="0.25">
      <c r="A948" s="22">
        <v>41895.006944444445</v>
      </c>
      <c r="B948">
        <v>482.7</v>
      </c>
      <c r="C948">
        <v>94.3</v>
      </c>
      <c r="D948">
        <v>10.8</v>
      </c>
      <c r="E948">
        <v>6.4</v>
      </c>
      <c r="G948">
        <v>13</v>
      </c>
      <c r="H948" s="23">
        <f t="shared" si="50"/>
        <v>0</v>
      </c>
    </row>
    <row r="949" spans="1:8" x14ac:dyDescent="0.25">
      <c r="A949" s="22">
        <v>41895.010416666664</v>
      </c>
      <c r="B949">
        <v>480.7</v>
      </c>
      <c r="C949">
        <v>94.2</v>
      </c>
      <c r="D949">
        <v>10.8</v>
      </c>
      <c r="E949">
        <v>6.4</v>
      </c>
      <c r="G949">
        <v>13</v>
      </c>
      <c r="H949" s="23">
        <f t="shared" si="50"/>
        <v>0</v>
      </c>
    </row>
    <row r="950" spans="1:8" x14ac:dyDescent="0.25">
      <c r="A950" s="22">
        <v>41895.013888888891</v>
      </c>
      <c r="B950">
        <v>480.8</v>
      </c>
      <c r="C950">
        <v>94.2</v>
      </c>
      <c r="D950">
        <v>10.7</v>
      </c>
      <c r="E950">
        <v>6.4</v>
      </c>
      <c r="G950">
        <v>13</v>
      </c>
      <c r="H950" s="23">
        <f t="shared" si="50"/>
        <v>0</v>
      </c>
    </row>
    <row r="951" spans="1:8" x14ac:dyDescent="0.25">
      <c r="A951" s="22">
        <v>41895.017361111109</v>
      </c>
      <c r="B951">
        <v>480.6</v>
      </c>
      <c r="C951">
        <v>94.3</v>
      </c>
      <c r="D951">
        <v>10.7</v>
      </c>
      <c r="E951">
        <v>6.3</v>
      </c>
      <c r="G951">
        <v>13</v>
      </c>
      <c r="H951" s="23">
        <f t="shared" si="50"/>
        <v>0</v>
      </c>
    </row>
    <row r="952" spans="1:8" x14ac:dyDescent="0.25">
      <c r="A952" s="22">
        <v>41895.020833333336</v>
      </c>
      <c r="B952">
        <v>480.6</v>
      </c>
      <c r="C952">
        <v>94.2</v>
      </c>
      <c r="D952">
        <v>10.7</v>
      </c>
      <c r="E952">
        <v>6.3</v>
      </c>
      <c r="G952">
        <v>13</v>
      </c>
      <c r="H952" s="23">
        <f t="shared" si="50"/>
        <v>0</v>
      </c>
    </row>
    <row r="953" spans="1:8" x14ac:dyDescent="0.25">
      <c r="A953" s="22">
        <v>41895.024305555555</v>
      </c>
      <c r="B953">
        <v>480.8</v>
      </c>
      <c r="C953">
        <v>94.2</v>
      </c>
      <c r="D953">
        <v>10.6</v>
      </c>
      <c r="E953">
        <v>6.3</v>
      </c>
      <c r="G953">
        <v>13</v>
      </c>
      <c r="H953" s="23">
        <f t="shared" si="50"/>
        <v>0</v>
      </c>
    </row>
    <row r="954" spans="1:8" x14ac:dyDescent="0.25">
      <c r="A954" s="22">
        <v>41895.027777777781</v>
      </c>
      <c r="B954">
        <v>480</v>
      </c>
      <c r="C954">
        <v>94.2</v>
      </c>
      <c r="D954">
        <v>10.6</v>
      </c>
      <c r="E954">
        <v>6.2</v>
      </c>
      <c r="G954">
        <v>13</v>
      </c>
      <c r="H954" s="23">
        <f t="shared" si="50"/>
        <v>0</v>
      </c>
    </row>
    <row r="955" spans="1:8" x14ac:dyDescent="0.25">
      <c r="A955" s="22">
        <v>41895.03125</v>
      </c>
      <c r="B955">
        <v>480.5</v>
      </c>
      <c r="C955">
        <v>94.1</v>
      </c>
      <c r="D955">
        <v>10.5</v>
      </c>
      <c r="E955">
        <v>6.2</v>
      </c>
      <c r="G955">
        <v>13</v>
      </c>
      <c r="H955" s="23">
        <f t="shared" si="50"/>
        <v>0</v>
      </c>
    </row>
    <row r="956" spans="1:8" x14ac:dyDescent="0.25">
      <c r="A956" s="22">
        <v>41895.034722222219</v>
      </c>
      <c r="B956">
        <v>479.7</v>
      </c>
      <c r="C956">
        <v>94.2</v>
      </c>
      <c r="D956">
        <v>10.5</v>
      </c>
      <c r="E956">
        <v>6.1</v>
      </c>
      <c r="G956">
        <v>13</v>
      </c>
      <c r="H956" s="23">
        <f t="shared" si="50"/>
        <v>0</v>
      </c>
    </row>
    <row r="957" spans="1:8" x14ac:dyDescent="0.25">
      <c r="A957" s="22">
        <v>41895.038194444445</v>
      </c>
      <c r="B957">
        <v>480.2</v>
      </c>
      <c r="C957">
        <v>94.1</v>
      </c>
      <c r="D957">
        <v>10.5</v>
      </c>
      <c r="E957">
        <v>6.1</v>
      </c>
      <c r="G957">
        <v>13</v>
      </c>
      <c r="H957" s="23">
        <f t="shared" si="50"/>
        <v>0</v>
      </c>
    </row>
    <row r="958" spans="1:8" x14ac:dyDescent="0.25">
      <c r="A958" s="22">
        <v>41895.041666666664</v>
      </c>
      <c r="B958">
        <v>480.3</v>
      </c>
      <c r="C958">
        <v>94.1</v>
      </c>
      <c r="D958">
        <v>10.4</v>
      </c>
      <c r="E958">
        <v>6</v>
      </c>
      <c r="G958">
        <v>13</v>
      </c>
      <c r="H958" s="23">
        <f t="shared" si="50"/>
        <v>1</v>
      </c>
    </row>
    <row r="959" spans="1:8" x14ac:dyDescent="0.25">
      <c r="A959" s="22">
        <v>41895.045138888891</v>
      </c>
      <c r="B959">
        <v>479.6</v>
      </c>
      <c r="C959">
        <v>94.2</v>
      </c>
      <c r="D959">
        <v>10.4</v>
      </c>
      <c r="E959">
        <v>6</v>
      </c>
      <c r="G959">
        <v>13</v>
      </c>
      <c r="H959" s="23">
        <f t="shared" si="50"/>
        <v>1</v>
      </c>
    </row>
    <row r="960" spans="1:8" x14ac:dyDescent="0.25">
      <c r="A960" s="22">
        <v>41895.048611111109</v>
      </c>
      <c r="B960">
        <v>480</v>
      </c>
      <c r="C960">
        <v>94.2</v>
      </c>
      <c r="D960">
        <v>10.4</v>
      </c>
      <c r="E960">
        <v>6</v>
      </c>
      <c r="G960">
        <v>13</v>
      </c>
      <c r="H960" s="23">
        <f t="shared" si="50"/>
        <v>1</v>
      </c>
    </row>
    <row r="961" spans="1:8" x14ac:dyDescent="0.25">
      <c r="A961" s="22">
        <v>41895.052083333336</v>
      </c>
      <c r="B961">
        <v>479.2</v>
      </c>
      <c r="C961">
        <v>94.2</v>
      </c>
      <c r="D961">
        <v>10.3</v>
      </c>
      <c r="E961">
        <v>5.9</v>
      </c>
      <c r="G961">
        <v>13</v>
      </c>
      <c r="H961" s="23">
        <f t="shared" si="50"/>
        <v>1</v>
      </c>
    </row>
    <row r="962" spans="1:8" x14ac:dyDescent="0.25">
      <c r="A962" s="22">
        <v>41895.055555555555</v>
      </c>
      <c r="B962">
        <v>478</v>
      </c>
      <c r="C962">
        <v>94.1</v>
      </c>
      <c r="D962">
        <v>10.3</v>
      </c>
      <c r="E962">
        <v>5.9</v>
      </c>
      <c r="G962">
        <v>13</v>
      </c>
      <c r="H962" s="23">
        <f t="shared" si="50"/>
        <v>1</v>
      </c>
    </row>
    <row r="963" spans="1:8" x14ac:dyDescent="0.25">
      <c r="A963" s="22">
        <v>41895.059027777781</v>
      </c>
      <c r="B963">
        <v>477.5</v>
      </c>
      <c r="C963">
        <v>94.2</v>
      </c>
      <c r="D963">
        <v>10.199999999999999</v>
      </c>
      <c r="E963">
        <v>5.9</v>
      </c>
      <c r="G963">
        <v>13</v>
      </c>
      <c r="H963" s="23">
        <f t="shared" si="50"/>
        <v>1</v>
      </c>
    </row>
    <row r="964" spans="1:8" x14ac:dyDescent="0.25">
      <c r="A964" s="22">
        <v>41895.0625</v>
      </c>
      <c r="B964">
        <v>477.1</v>
      </c>
      <c r="C964">
        <v>94.2</v>
      </c>
      <c r="D964">
        <v>10.199999999999999</v>
      </c>
      <c r="E964">
        <v>5.8</v>
      </c>
      <c r="G964">
        <v>13</v>
      </c>
      <c r="H964" s="23">
        <f t="shared" si="50"/>
        <v>1</v>
      </c>
    </row>
    <row r="965" spans="1:8" x14ac:dyDescent="0.25">
      <c r="A965" s="22">
        <v>41895.065972222219</v>
      </c>
      <c r="B965">
        <v>477.8</v>
      </c>
      <c r="C965">
        <v>94.3</v>
      </c>
      <c r="D965">
        <v>10.199999999999999</v>
      </c>
      <c r="E965">
        <v>5.8</v>
      </c>
      <c r="G965">
        <v>13</v>
      </c>
      <c r="H965" s="23">
        <f t="shared" si="50"/>
        <v>1</v>
      </c>
    </row>
    <row r="966" spans="1:8" x14ac:dyDescent="0.25">
      <c r="A966" s="22">
        <v>41895.069444444445</v>
      </c>
      <c r="B966">
        <v>476</v>
      </c>
      <c r="C966">
        <v>94.1</v>
      </c>
      <c r="D966">
        <v>10.199999999999999</v>
      </c>
      <c r="E966">
        <v>5.8</v>
      </c>
      <c r="G966">
        <v>13</v>
      </c>
      <c r="H966" s="23">
        <f t="shared" ref="H966:H1029" si="51">+HOUR(A966)</f>
        <v>1</v>
      </c>
    </row>
    <row r="967" spans="1:8" x14ac:dyDescent="0.25">
      <c r="A967" s="22">
        <v>41895.072916666664</v>
      </c>
      <c r="B967">
        <v>473.9</v>
      </c>
      <c r="C967">
        <v>94.1</v>
      </c>
      <c r="D967">
        <v>10.1</v>
      </c>
      <c r="E967">
        <v>5.8</v>
      </c>
      <c r="G967">
        <v>13</v>
      </c>
      <c r="H967" s="23">
        <f t="shared" si="51"/>
        <v>1</v>
      </c>
    </row>
    <row r="968" spans="1:8" x14ac:dyDescent="0.25">
      <c r="A968" s="22">
        <v>41895.076388888891</v>
      </c>
      <c r="B968">
        <v>470.1</v>
      </c>
      <c r="C968">
        <v>94.2</v>
      </c>
      <c r="D968">
        <v>10.1</v>
      </c>
      <c r="E968">
        <v>5.8</v>
      </c>
      <c r="G968">
        <v>13</v>
      </c>
      <c r="H968" s="23">
        <f t="shared" si="51"/>
        <v>1</v>
      </c>
    </row>
    <row r="969" spans="1:8" x14ac:dyDescent="0.25">
      <c r="A969" s="22">
        <v>41895.079861111109</v>
      </c>
      <c r="B969">
        <v>465.9</v>
      </c>
      <c r="C969">
        <v>94.2</v>
      </c>
      <c r="D969">
        <v>10</v>
      </c>
      <c r="E969">
        <v>5.8</v>
      </c>
      <c r="G969">
        <v>13</v>
      </c>
      <c r="H969" s="23">
        <f t="shared" si="51"/>
        <v>1</v>
      </c>
    </row>
    <row r="970" spans="1:8" x14ac:dyDescent="0.25">
      <c r="A970" s="22">
        <v>41895.083333333336</v>
      </c>
      <c r="B970">
        <v>462</v>
      </c>
      <c r="C970">
        <v>94.1</v>
      </c>
      <c r="D970">
        <v>10</v>
      </c>
      <c r="E970">
        <v>5.8</v>
      </c>
      <c r="G970">
        <v>13</v>
      </c>
      <c r="H970" s="23">
        <f t="shared" si="51"/>
        <v>2</v>
      </c>
    </row>
    <row r="971" spans="1:8" x14ac:dyDescent="0.25">
      <c r="A971" s="22">
        <v>41895.086805555555</v>
      </c>
      <c r="B971">
        <v>457</v>
      </c>
      <c r="C971">
        <v>94.1</v>
      </c>
      <c r="D971">
        <v>10</v>
      </c>
      <c r="E971">
        <v>5.8</v>
      </c>
      <c r="G971">
        <v>13</v>
      </c>
      <c r="H971" s="23">
        <f t="shared" si="51"/>
        <v>2</v>
      </c>
    </row>
    <row r="972" spans="1:8" x14ac:dyDescent="0.25">
      <c r="A972" s="22">
        <v>41895.090277777781</v>
      </c>
      <c r="B972">
        <v>453.8</v>
      </c>
      <c r="C972">
        <v>94.2</v>
      </c>
      <c r="D972">
        <v>9.9</v>
      </c>
      <c r="E972">
        <v>5.8</v>
      </c>
      <c r="G972">
        <v>13</v>
      </c>
      <c r="H972" s="23">
        <f t="shared" si="51"/>
        <v>2</v>
      </c>
    </row>
    <row r="973" spans="1:8" x14ac:dyDescent="0.25">
      <c r="A973" s="22">
        <v>41895.09375</v>
      </c>
      <c r="B973">
        <v>452.2</v>
      </c>
      <c r="C973">
        <v>94.2</v>
      </c>
      <c r="D973">
        <v>9.9</v>
      </c>
      <c r="E973">
        <v>5.8</v>
      </c>
      <c r="G973">
        <v>13</v>
      </c>
      <c r="H973" s="23">
        <f t="shared" si="51"/>
        <v>2</v>
      </c>
    </row>
    <row r="974" spans="1:8" x14ac:dyDescent="0.25">
      <c r="A974" s="22">
        <v>41895.097222222219</v>
      </c>
      <c r="B974">
        <v>448.5</v>
      </c>
      <c r="C974">
        <v>94.2</v>
      </c>
      <c r="D974">
        <v>9.9</v>
      </c>
      <c r="E974">
        <v>5.8</v>
      </c>
      <c r="G974">
        <v>13</v>
      </c>
      <c r="H974" s="23">
        <f t="shared" si="51"/>
        <v>2</v>
      </c>
    </row>
    <row r="975" spans="1:8" x14ac:dyDescent="0.25">
      <c r="A975" s="22">
        <v>41895.100694444445</v>
      </c>
      <c r="B975">
        <v>446.2</v>
      </c>
      <c r="C975">
        <v>94.2</v>
      </c>
      <c r="D975">
        <v>9.9</v>
      </c>
      <c r="E975">
        <v>5.8</v>
      </c>
      <c r="G975">
        <v>13</v>
      </c>
      <c r="H975" s="23">
        <f t="shared" si="51"/>
        <v>2</v>
      </c>
    </row>
    <row r="976" spans="1:8" x14ac:dyDescent="0.25">
      <c r="A976" s="22">
        <v>41895.104166666664</v>
      </c>
      <c r="B976">
        <v>444.4</v>
      </c>
      <c r="C976">
        <v>94.2</v>
      </c>
      <c r="D976">
        <v>9.8000000000000007</v>
      </c>
      <c r="E976">
        <v>5.8</v>
      </c>
      <c r="G976">
        <v>13</v>
      </c>
      <c r="H976" s="23">
        <f t="shared" si="51"/>
        <v>2</v>
      </c>
    </row>
    <row r="977" spans="1:8" x14ac:dyDescent="0.25">
      <c r="A977" s="22">
        <v>41895.107638888891</v>
      </c>
      <c r="B977">
        <v>440.6</v>
      </c>
      <c r="C977">
        <v>94.3</v>
      </c>
      <c r="D977">
        <v>9.8000000000000007</v>
      </c>
      <c r="E977">
        <v>5.8</v>
      </c>
      <c r="G977">
        <v>13</v>
      </c>
      <c r="H977" s="23">
        <f t="shared" si="51"/>
        <v>2</v>
      </c>
    </row>
    <row r="978" spans="1:8" x14ac:dyDescent="0.25">
      <c r="A978" s="22">
        <v>41895.111111111109</v>
      </c>
      <c r="B978">
        <v>437.6</v>
      </c>
      <c r="C978">
        <v>94.3</v>
      </c>
      <c r="D978">
        <v>9.8000000000000007</v>
      </c>
      <c r="E978">
        <v>5.8</v>
      </c>
      <c r="G978">
        <v>13</v>
      </c>
      <c r="H978" s="23">
        <f t="shared" si="51"/>
        <v>2</v>
      </c>
    </row>
    <row r="979" spans="1:8" x14ac:dyDescent="0.25">
      <c r="A979" s="22">
        <v>41895.114583333336</v>
      </c>
      <c r="B979">
        <v>434.5</v>
      </c>
      <c r="C979">
        <v>94.2</v>
      </c>
      <c r="D979">
        <v>9.6999999999999993</v>
      </c>
      <c r="E979">
        <v>5.8</v>
      </c>
      <c r="G979">
        <v>13</v>
      </c>
      <c r="H979" s="23">
        <f t="shared" si="51"/>
        <v>2</v>
      </c>
    </row>
    <row r="980" spans="1:8" x14ac:dyDescent="0.25">
      <c r="A980" s="22">
        <v>41895.118055555555</v>
      </c>
      <c r="B980">
        <v>433</v>
      </c>
      <c r="C980">
        <v>94.1</v>
      </c>
      <c r="D980">
        <v>9.6999999999999993</v>
      </c>
      <c r="E980">
        <v>5.8</v>
      </c>
      <c r="G980">
        <v>13</v>
      </c>
      <c r="H980" s="23">
        <f t="shared" si="51"/>
        <v>2</v>
      </c>
    </row>
    <row r="981" spans="1:8" x14ac:dyDescent="0.25">
      <c r="A981" s="22">
        <v>41895.121527777781</v>
      </c>
      <c r="B981">
        <v>433.2</v>
      </c>
      <c r="C981">
        <v>94.2</v>
      </c>
      <c r="D981">
        <v>9.6999999999999993</v>
      </c>
      <c r="E981">
        <v>5.8</v>
      </c>
      <c r="G981">
        <v>13</v>
      </c>
      <c r="H981" s="23">
        <f t="shared" si="51"/>
        <v>2</v>
      </c>
    </row>
    <row r="982" spans="1:8" x14ac:dyDescent="0.25">
      <c r="A982" s="22">
        <v>41895.125</v>
      </c>
      <c r="B982">
        <v>434.5</v>
      </c>
      <c r="C982">
        <v>94.2</v>
      </c>
      <c r="D982">
        <v>9.8000000000000007</v>
      </c>
      <c r="E982">
        <v>5.8</v>
      </c>
      <c r="G982">
        <v>13</v>
      </c>
      <c r="H982" s="23">
        <f t="shared" si="51"/>
        <v>3</v>
      </c>
    </row>
    <row r="983" spans="1:8" x14ac:dyDescent="0.25">
      <c r="A983" s="22">
        <v>41895.128472222219</v>
      </c>
      <c r="B983">
        <v>434.4</v>
      </c>
      <c r="C983">
        <v>94.2</v>
      </c>
      <c r="D983">
        <v>9.6999999999999993</v>
      </c>
      <c r="E983">
        <v>5.8</v>
      </c>
      <c r="G983">
        <v>13</v>
      </c>
      <c r="H983" s="23">
        <f t="shared" si="51"/>
        <v>3</v>
      </c>
    </row>
    <row r="984" spans="1:8" x14ac:dyDescent="0.25">
      <c r="A984" s="22">
        <v>41895.131944444445</v>
      </c>
      <c r="B984">
        <v>435.2</v>
      </c>
      <c r="C984">
        <v>94.2</v>
      </c>
      <c r="D984">
        <v>9.8000000000000007</v>
      </c>
      <c r="E984">
        <v>5.8</v>
      </c>
      <c r="G984">
        <v>13</v>
      </c>
      <c r="H984" s="23">
        <f t="shared" si="51"/>
        <v>3</v>
      </c>
    </row>
    <row r="985" spans="1:8" x14ac:dyDescent="0.25">
      <c r="A985" s="22">
        <v>41895.135416666664</v>
      </c>
      <c r="B985">
        <v>433.4</v>
      </c>
      <c r="C985">
        <v>94.2</v>
      </c>
      <c r="D985">
        <v>9.6999999999999993</v>
      </c>
      <c r="E985">
        <v>5.8</v>
      </c>
      <c r="G985">
        <v>13</v>
      </c>
      <c r="H985" s="23">
        <f t="shared" si="51"/>
        <v>3</v>
      </c>
    </row>
    <row r="986" spans="1:8" x14ac:dyDescent="0.25">
      <c r="A986" s="22">
        <v>41895.138888888891</v>
      </c>
      <c r="B986">
        <v>431</v>
      </c>
      <c r="C986">
        <v>94.2</v>
      </c>
      <c r="D986">
        <v>9.6999999999999993</v>
      </c>
      <c r="E986">
        <v>5.8</v>
      </c>
      <c r="G986">
        <v>13</v>
      </c>
      <c r="H986" s="23">
        <f t="shared" si="51"/>
        <v>3</v>
      </c>
    </row>
    <row r="987" spans="1:8" x14ac:dyDescent="0.25">
      <c r="A987" s="22">
        <v>41895.142361111109</v>
      </c>
      <c r="B987">
        <v>430</v>
      </c>
      <c r="C987">
        <v>94.2</v>
      </c>
      <c r="D987">
        <v>9.6999999999999993</v>
      </c>
      <c r="E987">
        <v>5.8</v>
      </c>
      <c r="G987">
        <v>13</v>
      </c>
      <c r="H987" s="23">
        <f t="shared" si="51"/>
        <v>3</v>
      </c>
    </row>
    <row r="988" spans="1:8" x14ac:dyDescent="0.25">
      <c r="A988" s="22">
        <v>41895.145833333336</v>
      </c>
      <c r="B988">
        <v>428.8</v>
      </c>
      <c r="C988">
        <v>94.2</v>
      </c>
      <c r="D988">
        <v>9.6999999999999993</v>
      </c>
      <c r="E988">
        <v>5.8</v>
      </c>
      <c r="G988">
        <v>13</v>
      </c>
      <c r="H988" s="23">
        <f t="shared" si="51"/>
        <v>3</v>
      </c>
    </row>
    <row r="989" spans="1:8" x14ac:dyDescent="0.25">
      <c r="A989" s="22">
        <v>41895.149305555555</v>
      </c>
      <c r="B989">
        <v>427.4</v>
      </c>
      <c r="C989">
        <v>94.1</v>
      </c>
      <c r="D989">
        <v>9.6999999999999993</v>
      </c>
      <c r="E989">
        <v>5.8</v>
      </c>
      <c r="G989">
        <v>13</v>
      </c>
      <c r="H989" s="23">
        <f t="shared" si="51"/>
        <v>3</v>
      </c>
    </row>
    <row r="990" spans="1:8" x14ac:dyDescent="0.25">
      <c r="A990" s="22">
        <v>41895.152777777781</v>
      </c>
      <c r="B990">
        <v>428.1</v>
      </c>
      <c r="C990">
        <v>94.3</v>
      </c>
      <c r="D990">
        <v>9.6999999999999993</v>
      </c>
      <c r="E990">
        <v>5.8</v>
      </c>
      <c r="G990">
        <v>13</v>
      </c>
      <c r="H990" s="23">
        <f t="shared" si="51"/>
        <v>3</v>
      </c>
    </row>
    <row r="991" spans="1:8" x14ac:dyDescent="0.25">
      <c r="A991" s="22">
        <v>41895.15625</v>
      </c>
      <c r="B991">
        <v>428.7</v>
      </c>
      <c r="C991">
        <v>94.3</v>
      </c>
      <c r="D991">
        <v>9.6999999999999993</v>
      </c>
      <c r="E991">
        <v>5.8</v>
      </c>
      <c r="G991">
        <v>13</v>
      </c>
      <c r="H991" s="23">
        <f t="shared" si="51"/>
        <v>3</v>
      </c>
    </row>
    <row r="992" spans="1:8" x14ac:dyDescent="0.25">
      <c r="A992" s="22">
        <v>41895.159722222219</v>
      </c>
      <c r="B992">
        <v>428.4</v>
      </c>
      <c r="C992">
        <v>94.2</v>
      </c>
      <c r="D992">
        <v>9.6999999999999993</v>
      </c>
      <c r="E992">
        <v>5.8</v>
      </c>
      <c r="G992">
        <v>13</v>
      </c>
      <c r="H992" s="23">
        <f t="shared" si="51"/>
        <v>3</v>
      </c>
    </row>
    <row r="993" spans="1:8" x14ac:dyDescent="0.25">
      <c r="A993" s="22">
        <v>41895.163194444445</v>
      </c>
      <c r="B993">
        <v>428.5</v>
      </c>
      <c r="C993">
        <v>94.1</v>
      </c>
      <c r="D993">
        <v>9.6999999999999993</v>
      </c>
      <c r="E993">
        <v>5.8</v>
      </c>
      <c r="G993">
        <v>13</v>
      </c>
      <c r="H993" s="23">
        <f t="shared" si="51"/>
        <v>3</v>
      </c>
    </row>
    <row r="994" spans="1:8" x14ac:dyDescent="0.25">
      <c r="A994" s="22">
        <v>41895.166666666664</v>
      </c>
      <c r="B994">
        <v>428.1</v>
      </c>
      <c r="C994">
        <v>94.3</v>
      </c>
      <c r="D994">
        <v>9.6999999999999993</v>
      </c>
      <c r="E994">
        <v>5.8</v>
      </c>
      <c r="G994">
        <v>13</v>
      </c>
      <c r="H994" s="23">
        <f t="shared" si="51"/>
        <v>4</v>
      </c>
    </row>
    <row r="995" spans="1:8" x14ac:dyDescent="0.25">
      <c r="A995" s="22">
        <v>41895.170138888891</v>
      </c>
      <c r="B995">
        <v>428.2</v>
      </c>
      <c r="C995">
        <v>94.3</v>
      </c>
      <c r="D995">
        <v>9.6999999999999993</v>
      </c>
      <c r="E995">
        <v>5.8</v>
      </c>
      <c r="G995">
        <v>13</v>
      </c>
      <c r="H995" s="23">
        <f t="shared" si="51"/>
        <v>4</v>
      </c>
    </row>
    <row r="996" spans="1:8" x14ac:dyDescent="0.25">
      <c r="A996" s="22">
        <v>41895.173611111109</v>
      </c>
      <c r="B996">
        <v>428.6</v>
      </c>
      <c r="C996">
        <v>94.2</v>
      </c>
      <c r="D996">
        <v>9.6999999999999993</v>
      </c>
      <c r="E996">
        <v>5.8</v>
      </c>
      <c r="G996">
        <v>13</v>
      </c>
      <c r="H996" s="23">
        <f t="shared" si="51"/>
        <v>4</v>
      </c>
    </row>
    <row r="997" spans="1:8" x14ac:dyDescent="0.25">
      <c r="A997" s="22">
        <v>41895.177083333336</v>
      </c>
      <c r="B997">
        <v>425.8</v>
      </c>
      <c r="C997">
        <v>94.2</v>
      </c>
      <c r="D997">
        <v>9.6999999999999993</v>
      </c>
      <c r="E997">
        <v>5.8</v>
      </c>
      <c r="G997">
        <v>13</v>
      </c>
      <c r="H997" s="23">
        <f t="shared" si="51"/>
        <v>4</v>
      </c>
    </row>
    <row r="998" spans="1:8" x14ac:dyDescent="0.25">
      <c r="A998" s="22">
        <v>41895.180555555555</v>
      </c>
      <c r="B998">
        <v>425</v>
      </c>
      <c r="C998">
        <v>94.2</v>
      </c>
      <c r="D998">
        <v>9.6999999999999993</v>
      </c>
      <c r="E998">
        <v>5.8</v>
      </c>
      <c r="G998">
        <v>13</v>
      </c>
      <c r="H998" s="23">
        <f t="shared" si="51"/>
        <v>4</v>
      </c>
    </row>
    <row r="999" spans="1:8" x14ac:dyDescent="0.25">
      <c r="A999" s="22">
        <v>41895.184027777781</v>
      </c>
      <c r="B999">
        <v>424.7</v>
      </c>
      <c r="C999">
        <v>94.2</v>
      </c>
      <c r="D999">
        <v>9.6999999999999993</v>
      </c>
      <c r="E999">
        <v>5.8</v>
      </c>
      <c r="G999">
        <v>13</v>
      </c>
      <c r="H999" s="23">
        <f t="shared" si="51"/>
        <v>4</v>
      </c>
    </row>
    <row r="1000" spans="1:8" x14ac:dyDescent="0.25">
      <c r="A1000" s="22">
        <v>41895.1875</v>
      </c>
      <c r="B1000">
        <v>425.3</v>
      </c>
      <c r="C1000">
        <v>94.2</v>
      </c>
      <c r="D1000">
        <v>9.6999999999999993</v>
      </c>
      <c r="E1000">
        <v>5.8</v>
      </c>
      <c r="G1000">
        <v>13</v>
      </c>
      <c r="H1000" s="23">
        <f t="shared" si="51"/>
        <v>4</v>
      </c>
    </row>
    <row r="1001" spans="1:8" x14ac:dyDescent="0.25">
      <c r="A1001" s="22">
        <v>41895.190972222219</v>
      </c>
      <c r="B1001">
        <v>425.4</v>
      </c>
      <c r="C1001">
        <v>94.2</v>
      </c>
      <c r="D1001">
        <v>9.6999999999999993</v>
      </c>
      <c r="E1001">
        <v>5.8</v>
      </c>
      <c r="G1001">
        <v>13</v>
      </c>
      <c r="H1001" s="23">
        <f t="shared" si="51"/>
        <v>4</v>
      </c>
    </row>
    <row r="1002" spans="1:8" x14ac:dyDescent="0.25">
      <c r="A1002" s="22">
        <v>41895.194444444445</v>
      </c>
      <c r="B1002">
        <v>422.3</v>
      </c>
      <c r="C1002">
        <v>94.1</v>
      </c>
      <c r="D1002">
        <v>9.6</v>
      </c>
      <c r="E1002">
        <v>5.8</v>
      </c>
      <c r="G1002">
        <v>13</v>
      </c>
      <c r="H1002" s="23">
        <f t="shared" si="51"/>
        <v>4</v>
      </c>
    </row>
    <row r="1003" spans="1:8" x14ac:dyDescent="0.25">
      <c r="A1003" s="22">
        <v>41895.197916666664</v>
      </c>
      <c r="B1003">
        <v>419.9</v>
      </c>
      <c r="C1003">
        <v>94.2</v>
      </c>
      <c r="D1003">
        <v>9.6</v>
      </c>
      <c r="E1003">
        <v>5.8</v>
      </c>
      <c r="G1003">
        <v>13</v>
      </c>
      <c r="H1003" s="23">
        <f t="shared" si="51"/>
        <v>4</v>
      </c>
    </row>
    <row r="1004" spans="1:8" x14ac:dyDescent="0.25">
      <c r="A1004" s="22">
        <v>41895.201388888891</v>
      </c>
      <c r="B1004">
        <v>418.8</v>
      </c>
      <c r="C1004">
        <v>94.2</v>
      </c>
      <c r="D1004">
        <v>9.6</v>
      </c>
      <c r="E1004">
        <v>5.8</v>
      </c>
      <c r="G1004">
        <v>13</v>
      </c>
      <c r="H1004" s="23">
        <f t="shared" si="51"/>
        <v>4</v>
      </c>
    </row>
    <row r="1005" spans="1:8" x14ac:dyDescent="0.25">
      <c r="A1005" s="22">
        <v>41895.204861111109</v>
      </c>
      <c r="B1005">
        <v>416.6</v>
      </c>
      <c r="C1005">
        <v>94.2</v>
      </c>
      <c r="D1005">
        <v>9.6</v>
      </c>
      <c r="E1005">
        <v>5.8</v>
      </c>
      <c r="G1005">
        <v>13</v>
      </c>
      <c r="H1005" s="23">
        <f t="shared" si="51"/>
        <v>4</v>
      </c>
    </row>
    <row r="1006" spans="1:8" x14ac:dyDescent="0.25">
      <c r="A1006" s="22">
        <v>41895.208333333336</v>
      </c>
      <c r="B1006">
        <v>417.6</v>
      </c>
      <c r="C1006">
        <v>94.2</v>
      </c>
      <c r="D1006">
        <v>9.6</v>
      </c>
      <c r="E1006">
        <v>5.8</v>
      </c>
      <c r="G1006">
        <v>13</v>
      </c>
      <c r="H1006" s="23">
        <f t="shared" si="51"/>
        <v>5</v>
      </c>
    </row>
    <row r="1007" spans="1:8" x14ac:dyDescent="0.25">
      <c r="A1007" s="22">
        <v>41895.211805555555</v>
      </c>
      <c r="B1007">
        <v>418.2</v>
      </c>
      <c r="C1007">
        <v>94.2</v>
      </c>
      <c r="D1007">
        <v>9.6</v>
      </c>
      <c r="E1007">
        <v>5.8</v>
      </c>
      <c r="G1007">
        <v>13</v>
      </c>
      <c r="H1007" s="23">
        <f t="shared" si="51"/>
        <v>5</v>
      </c>
    </row>
    <row r="1008" spans="1:8" x14ac:dyDescent="0.25">
      <c r="A1008" s="22">
        <v>41895.215277777781</v>
      </c>
      <c r="B1008">
        <v>419.1</v>
      </c>
      <c r="C1008">
        <v>94.2</v>
      </c>
      <c r="D1008">
        <v>9.6</v>
      </c>
      <c r="E1008">
        <v>5.8</v>
      </c>
      <c r="G1008">
        <v>13</v>
      </c>
      <c r="H1008" s="23">
        <f t="shared" si="51"/>
        <v>5</v>
      </c>
    </row>
    <row r="1009" spans="1:8" x14ac:dyDescent="0.25">
      <c r="A1009" s="22">
        <v>41895.21875</v>
      </c>
      <c r="B1009">
        <v>416.7</v>
      </c>
      <c r="C1009">
        <v>94.2</v>
      </c>
      <c r="D1009">
        <v>9.6</v>
      </c>
      <c r="E1009">
        <v>5.8</v>
      </c>
      <c r="G1009">
        <v>13</v>
      </c>
      <c r="H1009" s="23">
        <f t="shared" si="51"/>
        <v>5</v>
      </c>
    </row>
    <row r="1010" spans="1:8" x14ac:dyDescent="0.25">
      <c r="A1010" s="22">
        <v>41895.222222222219</v>
      </c>
      <c r="B1010">
        <v>415.1</v>
      </c>
      <c r="C1010">
        <v>94.2</v>
      </c>
      <c r="D1010">
        <v>9.6</v>
      </c>
      <c r="E1010">
        <v>5.8</v>
      </c>
      <c r="G1010">
        <v>13</v>
      </c>
      <c r="H1010" s="23">
        <f t="shared" si="51"/>
        <v>5</v>
      </c>
    </row>
    <row r="1011" spans="1:8" x14ac:dyDescent="0.25">
      <c r="A1011" s="22">
        <v>41895.225694444445</v>
      </c>
      <c r="B1011">
        <v>413.1</v>
      </c>
      <c r="C1011">
        <v>94.1</v>
      </c>
      <c r="D1011">
        <v>9.6</v>
      </c>
      <c r="E1011">
        <v>5.8</v>
      </c>
      <c r="G1011">
        <v>13</v>
      </c>
      <c r="H1011" s="23">
        <f t="shared" si="51"/>
        <v>5</v>
      </c>
    </row>
    <row r="1012" spans="1:8" x14ac:dyDescent="0.25">
      <c r="A1012" s="22">
        <v>41895.229166666664</v>
      </c>
      <c r="B1012">
        <v>414.8</v>
      </c>
      <c r="C1012">
        <v>94.2</v>
      </c>
      <c r="D1012">
        <v>9.6</v>
      </c>
      <c r="E1012">
        <v>5.8</v>
      </c>
      <c r="G1012">
        <v>13</v>
      </c>
      <c r="H1012" s="23">
        <f t="shared" si="51"/>
        <v>5</v>
      </c>
    </row>
    <row r="1013" spans="1:8" x14ac:dyDescent="0.25">
      <c r="A1013" s="22">
        <v>41895.232638888891</v>
      </c>
      <c r="B1013">
        <v>412.2</v>
      </c>
      <c r="C1013">
        <v>94.2</v>
      </c>
      <c r="D1013">
        <v>9.5</v>
      </c>
      <c r="E1013">
        <v>5.8</v>
      </c>
      <c r="G1013">
        <v>13</v>
      </c>
      <c r="H1013" s="23">
        <f t="shared" si="51"/>
        <v>5</v>
      </c>
    </row>
    <row r="1014" spans="1:8" x14ac:dyDescent="0.25">
      <c r="A1014" s="22">
        <v>41895.236111111109</v>
      </c>
      <c r="B1014">
        <v>412.7</v>
      </c>
      <c r="C1014">
        <v>94.2</v>
      </c>
      <c r="D1014">
        <v>9.6</v>
      </c>
      <c r="E1014">
        <v>5.8</v>
      </c>
      <c r="G1014">
        <v>13</v>
      </c>
      <c r="H1014" s="23">
        <f t="shared" si="51"/>
        <v>5</v>
      </c>
    </row>
    <row r="1015" spans="1:8" x14ac:dyDescent="0.25">
      <c r="A1015" s="22">
        <v>41895.239583333336</v>
      </c>
      <c r="B1015">
        <v>414.4</v>
      </c>
      <c r="C1015">
        <v>94.1</v>
      </c>
      <c r="D1015">
        <v>9.6</v>
      </c>
      <c r="E1015">
        <v>5.8</v>
      </c>
      <c r="G1015">
        <v>13</v>
      </c>
      <c r="H1015" s="23">
        <f t="shared" si="51"/>
        <v>5</v>
      </c>
    </row>
    <row r="1016" spans="1:8" x14ac:dyDescent="0.25">
      <c r="A1016" s="22">
        <v>41895.243055555555</v>
      </c>
      <c r="B1016">
        <v>411.9</v>
      </c>
      <c r="C1016">
        <v>94.3</v>
      </c>
      <c r="D1016">
        <v>9.5</v>
      </c>
      <c r="E1016">
        <v>5.8</v>
      </c>
      <c r="G1016">
        <v>13</v>
      </c>
      <c r="H1016" s="23">
        <f t="shared" si="51"/>
        <v>5</v>
      </c>
    </row>
    <row r="1017" spans="1:8" x14ac:dyDescent="0.25">
      <c r="A1017" s="22">
        <v>41895.246527777781</v>
      </c>
      <c r="B1017">
        <v>409.2</v>
      </c>
      <c r="C1017">
        <v>94.2</v>
      </c>
      <c r="D1017">
        <v>9.5</v>
      </c>
      <c r="E1017">
        <v>5.8</v>
      </c>
      <c r="G1017">
        <v>13</v>
      </c>
      <c r="H1017" s="23">
        <f t="shared" si="51"/>
        <v>5</v>
      </c>
    </row>
    <row r="1018" spans="1:8" x14ac:dyDescent="0.25">
      <c r="A1018" s="22">
        <v>41895.25</v>
      </c>
      <c r="B1018">
        <v>405.5</v>
      </c>
      <c r="C1018">
        <v>94.2</v>
      </c>
      <c r="D1018">
        <v>9.5</v>
      </c>
      <c r="E1018">
        <v>5.8</v>
      </c>
      <c r="G1018">
        <v>13</v>
      </c>
      <c r="H1018" s="23">
        <f t="shared" si="51"/>
        <v>6</v>
      </c>
    </row>
    <row r="1019" spans="1:8" x14ac:dyDescent="0.25">
      <c r="A1019" s="22">
        <v>41895.253472222219</v>
      </c>
      <c r="B1019">
        <v>402.5</v>
      </c>
      <c r="C1019">
        <v>94.1</v>
      </c>
      <c r="D1019">
        <v>9.4</v>
      </c>
      <c r="E1019">
        <v>5.8</v>
      </c>
      <c r="G1019">
        <v>13</v>
      </c>
      <c r="H1019" s="23">
        <f t="shared" si="51"/>
        <v>6</v>
      </c>
    </row>
    <row r="1020" spans="1:8" x14ac:dyDescent="0.25">
      <c r="A1020" s="22">
        <v>41895.256944444445</v>
      </c>
      <c r="B1020">
        <v>403.2</v>
      </c>
      <c r="C1020">
        <v>94.1</v>
      </c>
      <c r="D1020">
        <v>9.5</v>
      </c>
      <c r="E1020">
        <v>5.8</v>
      </c>
      <c r="G1020">
        <v>13</v>
      </c>
      <c r="H1020" s="23">
        <f t="shared" si="51"/>
        <v>6</v>
      </c>
    </row>
    <row r="1021" spans="1:8" x14ac:dyDescent="0.25">
      <c r="A1021" s="22">
        <v>41895.260416666664</v>
      </c>
      <c r="B1021">
        <v>403.5</v>
      </c>
      <c r="C1021">
        <v>94.2</v>
      </c>
      <c r="D1021">
        <v>9.5</v>
      </c>
      <c r="E1021">
        <v>5.8</v>
      </c>
      <c r="G1021">
        <v>13</v>
      </c>
      <c r="H1021" s="23">
        <f t="shared" si="51"/>
        <v>6</v>
      </c>
    </row>
    <row r="1022" spans="1:8" x14ac:dyDescent="0.25">
      <c r="A1022" s="22">
        <v>41895.263888888891</v>
      </c>
      <c r="B1022">
        <v>400.5</v>
      </c>
      <c r="C1022">
        <v>94.2</v>
      </c>
      <c r="D1022">
        <v>9.4</v>
      </c>
      <c r="E1022">
        <v>5.8</v>
      </c>
      <c r="G1022">
        <v>13</v>
      </c>
      <c r="H1022" s="23">
        <f t="shared" si="51"/>
        <v>6</v>
      </c>
    </row>
    <row r="1023" spans="1:8" x14ac:dyDescent="0.25">
      <c r="A1023" s="22">
        <v>41895.267361111109</v>
      </c>
      <c r="B1023">
        <v>400.3</v>
      </c>
      <c r="C1023">
        <v>94.2</v>
      </c>
      <c r="D1023">
        <v>9.4</v>
      </c>
      <c r="E1023">
        <v>5.8</v>
      </c>
      <c r="G1023">
        <v>13</v>
      </c>
      <c r="H1023" s="23">
        <f t="shared" si="51"/>
        <v>6</v>
      </c>
    </row>
    <row r="1024" spans="1:8" x14ac:dyDescent="0.25">
      <c r="A1024" s="22">
        <v>41895.270833333336</v>
      </c>
      <c r="B1024">
        <v>402.2</v>
      </c>
      <c r="C1024">
        <v>94.2</v>
      </c>
      <c r="D1024">
        <v>9.5</v>
      </c>
      <c r="E1024">
        <v>5.8</v>
      </c>
      <c r="G1024">
        <v>13</v>
      </c>
      <c r="H1024" s="23">
        <f t="shared" si="51"/>
        <v>6</v>
      </c>
    </row>
    <row r="1025" spans="1:8" x14ac:dyDescent="0.25">
      <c r="A1025" s="22">
        <v>41895.274305555555</v>
      </c>
      <c r="B1025">
        <v>401.1</v>
      </c>
      <c r="C1025">
        <v>94.1</v>
      </c>
      <c r="D1025">
        <v>9.4</v>
      </c>
      <c r="E1025">
        <v>5.8</v>
      </c>
      <c r="G1025">
        <v>13</v>
      </c>
      <c r="H1025" s="23">
        <f t="shared" si="51"/>
        <v>6</v>
      </c>
    </row>
    <row r="1026" spans="1:8" x14ac:dyDescent="0.25">
      <c r="A1026" s="22">
        <v>41895.277777777781</v>
      </c>
      <c r="B1026">
        <v>399.4</v>
      </c>
      <c r="C1026">
        <v>94.2</v>
      </c>
      <c r="D1026">
        <v>9.4</v>
      </c>
      <c r="E1026">
        <v>5.8</v>
      </c>
      <c r="G1026">
        <v>13</v>
      </c>
      <c r="H1026" s="23">
        <f t="shared" si="51"/>
        <v>6</v>
      </c>
    </row>
    <row r="1027" spans="1:8" x14ac:dyDescent="0.25">
      <c r="A1027" s="22">
        <v>41895.28125</v>
      </c>
      <c r="B1027">
        <v>412.8</v>
      </c>
      <c r="C1027">
        <v>94.2</v>
      </c>
      <c r="D1027">
        <v>9.6</v>
      </c>
      <c r="E1027">
        <v>5.8</v>
      </c>
      <c r="G1027">
        <v>13</v>
      </c>
      <c r="H1027" s="23">
        <f t="shared" si="51"/>
        <v>6</v>
      </c>
    </row>
    <row r="1028" spans="1:8" x14ac:dyDescent="0.25">
      <c r="A1028" s="22">
        <v>41895.284722222219</v>
      </c>
      <c r="B1028">
        <v>390.3</v>
      </c>
      <c r="C1028">
        <v>94.2</v>
      </c>
      <c r="D1028">
        <v>9.3000000000000007</v>
      </c>
      <c r="E1028">
        <v>5.7</v>
      </c>
      <c r="G1028">
        <v>13</v>
      </c>
      <c r="H1028" s="23">
        <f t="shared" si="51"/>
        <v>6</v>
      </c>
    </row>
    <row r="1029" spans="1:8" x14ac:dyDescent="0.25">
      <c r="A1029" s="22">
        <v>41895.288194444445</v>
      </c>
      <c r="B1029">
        <v>377.9</v>
      </c>
      <c r="C1029">
        <v>94.3</v>
      </c>
      <c r="D1029">
        <v>9.1999999999999993</v>
      </c>
      <c r="E1029">
        <v>5.8</v>
      </c>
      <c r="G1029">
        <v>13</v>
      </c>
      <c r="H1029" s="23">
        <f t="shared" si="51"/>
        <v>6</v>
      </c>
    </row>
    <row r="1030" spans="1:8" x14ac:dyDescent="0.25">
      <c r="A1030" s="22">
        <v>41895.291666666664</v>
      </c>
      <c r="B1030">
        <v>377.3</v>
      </c>
      <c r="C1030">
        <v>94.3</v>
      </c>
      <c r="D1030">
        <v>9.1999999999999993</v>
      </c>
      <c r="E1030">
        <v>5.8</v>
      </c>
      <c r="G1030">
        <v>13</v>
      </c>
      <c r="H1030" s="23">
        <f t="shared" ref="H1030:H1093" si="52">+HOUR(A1030)</f>
        <v>7</v>
      </c>
    </row>
    <row r="1031" spans="1:8" x14ac:dyDescent="0.25">
      <c r="A1031" s="22">
        <v>41895.295138888891</v>
      </c>
      <c r="B1031">
        <v>376.3</v>
      </c>
      <c r="C1031">
        <v>94.3</v>
      </c>
      <c r="D1031">
        <v>9.1999999999999993</v>
      </c>
      <c r="E1031">
        <v>5.8</v>
      </c>
      <c r="G1031">
        <v>13</v>
      </c>
      <c r="H1031" s="23">
        <f t="shared" si="52"/>
        <v>7</v>
      </c>
    </row>
    <row r="1032" spans="1:8" x14ac:dyDescent="0.25">
      <c r="A1032" s="22">
        <v>41895.298611111109</v>
      </c>
      <c r="B1032">
        <v>397.6</v>
      </c>
      <c r="C1032">
        <v>94.2</v>
      </c>
      <c r="D1032">
        <v>9.5</v>
      </c>
      <c r="E1032">
        <v>5.8</v>
      </c>
      <c r="G1032">
        <v>13</v>
      </c>
      <c r="H1032" s="23">
        <f t="shared" si="52"/>
        <v>7</v>
      </c>
    </row>
    <row r="1033" spans="1:8" x14ac:dyDescent="0.25">
      <c r="A1033" s="22">
        <v>41895.302083333336</v>
      </c>
      <c r="B1033">
        <v>430.6</v>
      </c>
      <c r="C1033">
        <v>94.2</v>
      </c>
      <c r="D1033">
        <v>9.8000000000000007</v>
      </c>
      <c r="E1033">
        <v>5.9</v>
      </c>
      <c r="G1033">
        <v>13</v>
      </c>
      <c r="H1033" s="23">
        <f t="shared" si="52"/>
        <v>7</v>
      </c>
    </row>
    <row r="1034" spans="1:8" x14ac:dyDescent="0.25">
      <c r="A1034" s="22">
        <v>41895.305555555555</v>
      </c>
      <c r="B1034">
        <v>435</v>
      </c>
      <c r="C1034">
        <v>94.2</v>
      </c>
      <c r="D1034">
        <v>9.8000000000000007</v>
      </c>
      <c r="E1034">
        <v>5.8</v>
      </c>
      <c r="G1034">
        <v>13</v>
      </c>
      <c r="H1034" s="23">
        <f t="shared" si="52"/>
        <v>7</v>
      </c>
    </row>
    <row r="1035" spans="1:8" x14ac:dyDescent="0.25">
      <c r="A1035" s="22">
        <v>41895.309027777781</v>
      </c>
      <c r="B1035">
        <v>439.9</v>
      </c>
      <c r="C1035">
        <v>94.3</v>
      </c>
      <c r="D1035">
        <v>9.8000000000000007</v>
      </c>
      <c r="E1035">
        <v>5.8</v>
      </c>
      <c r="G1035">
        <v>13</v>
      </c>
      <c r="H1035" s="23">
        <f t="shared" si="52"/>
        <v>7</v>
      </c>
    </row>
    <row r="1036" spans="1:8" x14ac:dyDescent="0.25">
      <c r="A1036" s="22">
        <v>41895.3125</v>
      </c>
      <c r="B1036">
        <v>446.7</v>
      </c>
      <c r="C1036">
        <v>94.2</v>
      </c>
      <c r="D1036">
        <v>9.9</v>
      </c>
      <c r="E1036">
        <v>5.8</v>
      </c>
      <c r="G1036">
        <v>13</v>
      </c>
      <c r="H1036" s="23">
        <f t="shared" si="52"/>
        <v>7</v>
      </c>
    </row>
    <row r="1037" spans="1:8" x14ac:dyDescent="0.25">
      <c r="A1037" s="22">
        <v>41895.315972222219</v>
      </c>
      <c r="B1037">
        <v>455.9</v>
      </c>
      <c r="C1037">
        <v>94.2</v>
      </c>
      <c r="D1037">
        <v>10</v>
      </c>
      <c r="E1037">
        <v>5.8</v>
      </c>
      <c r="G1037">
        <v>13</v>
      </c>
      <c r="H1037" s="23">
        <f t="shared" si="52"/>
        <v>7</v>
      </c>
    </row>
    <row r="1038" spans="1:8" x14ac:dyDescent="0.25">
      <c r="A1038" s="22">
        <v>41895.319444444445</v>
      </c>
      <c r="B1038">
        <v>461.7</v>
      </c>
      <c r="C1038">
        <v>94.2</v>
      </c>
      <c r="D1038">
        <v>10</v>
      </c>
      <c r="E1038">
        <v>5.8</v>
      </c>
      <c r="G1038">
        <v>13</v>
      </c>
      <c r="H1038" s="23">
        <f t="shared" si="52"/>
        <v>7</v>
      </c>
    </row>
    <row r="1039" spans="1:8" x14ac:dyDescent="0.25">
      <c r="A1039" s="22">
        <v>41895.322916666664</v>
      </c>
      <c r="B1039">
        <v>463.1</v>
      </c>
      <c r="C1039">
        <v>94.3</v>
      </c>
      <c r="D1039">
        <v>10</v>
      </c>
      <c r="E1039">
        <v>5.8</v>
      </c>
      <c r="G1039">
        <v>13</v>
      </c>
      <c r="H1039" s="23">
        <f t="shared" si="52"/>
        <v>7</v>
      </c>
    </row>
    <row r="1040" spans="1:8" x14ac:dyDescent="0.25">
      <c r="A1040" s="22">
        <v>41895.326388888891</v>
      </c>
      <c r="B1040">
        <v>462</v>
      </c>
      <c r="C1040">
        <v>94.2</v>
      </c>
      <c r="D1040">
        <v>10.1</v>
      </c>
      <c r="E1040">
        <v>5.8</v>
      </c>
      <c r="G1040">
        <v>13</v>
      </c>
      <c r="H1040" s="23">
        <f t="shared" si="52"/>
        <v>7</v>
      </c>
    </row>
    <row r="1041" spans="1:8" x14ac:dyDescent="0.25">
      <c r="A1041" s="22">
        <v>41895.329861111109</v>
      </c>
      <c r="B1041">
        <v>461.6</v>
      </c>
      <c r="C1041">
        <v>94.2</v>
      </c>
      <c r="D1041">
        <v>10</v>
      </c>
      <c r="E1041">
        <v>5.8</v>
      </c>
      <c r="G1041">
        <v>13</v>
      </c>
      <c r="H1041" s="23">
        <f t="shared" si="52"/>
        <v>7</v>
      </c>
    </row>
    <row r="1042" spans="1:8" x14ac:dyDescent="0.25">
      <c r="A1042" s="22">
        <v>41895.333333333336</v>
      </c>
      <c r="B1042">
        <v>463.3</v>
      </c>
      <c r="C1042">
        <v>94.2</v>
      </c>
      <c r="D1042">
        <v>10.1</v>
      </c>
      <c r="E1042">
        <v>5.8</v>
      </c>
      <c r="G1042">
        <v>13</v>
      </c>
      <c r="H1042" s="23">
        <f t="shared" si="52"/>
        <v>8</v>
      </c>
    </row>
    <row r="1043" spans="1:8" x14ac:dyDescent="0.25">
      <c r="A1043" s="22">
        <v>41895.336805555555</v>
      </c>
      <c r="B1043">
        <v>466.8</v>
      </c>
      <c r="C1043">
        <v>94.3</v>
      </c>
      <c r="D1043">
        <v>10.1</v>
      </c>
      <c r="E1043">
        <v>5.9</v>
      </c>
      <c r="G1043">
        <v>13</v>
      </c>
      <c r="H1043" s="23">
        <f t="shared" si="52"/>
        <v>8</v>
      </c>
    </row>
    <row r="1044" spans="1:8" x14ac:dyDescent="0.25">
      <c r="A1044" s="22">
        <v>41895.340277777781</v>
      </c>
      <c r="B1044">
        <v>464.6</v>
      </c>
      <c r="C1044">
        <v>94.2</v>
      </c>
      <c r="D1044">
        <v>10.1</v>
      </c>
      <c r="E1044">
        <v>5.9</v>
      </c>
      <c r="G1044">
        <v>13</v>
      </c>
      <c r="H1044" s="23">
        <f t="shared" si="52"/>
        <v>8</v>
      </c>
    </row>
    <row r="1045" spans="1:8" x14ac:dyDescent="0.25">
      <c r="A1045" s="22">
        <v>41895.34375</v>
      </c>
      <c r="B1045">
        <v>465.1</v>
      </c>
      <c r="C1045">
        <v>94.2</v>
      </c>
      <c r="D1045">
        <v>10.1</v>
      </c>
      <c r="E1045">
        <v>5.9</v>
      </c>
      <c r="G1045">
        <v>13</v>
      </c>
      <c r="H1045" s="23">
        <f t="shared" si="52"/>
        <v>8</v>
      </c>
    </row>
    <row r="1046" spans="1:8" x14ac:dyDescent="0.25">
      <c r="A1046" s="22">
        <v>41895.347222222219</v>
      </c>
      <c r="B1046">
        <v>464.7</v>
      </c>
      <c r="C1046">
        <v>94.2</v>
      </c>
      <c r="D1046">
        <v>10.1</v>
      </c>
      <c r="E1046">
        <v>5.9</v>
      </c>
      <c r="G1046">
        <v>13</v>
      </c>
      <c r="H1046" s="23">
        <f t="shared" si="52"/>
        <v>8</v>
      </c>
    </row>
    <row r="1047" spans="1:8" x14ac:dyDescent="0.25">
      <c r="A1047" s="22">
        <v>41895.350694444445</v>
      </c>
      <c r="B1047">
        <v>464.2</v>
      </c>
      <c r="C1047">
        <v>94.2</v>
      </c>
      <c r="D1047">
        <v>10.1</v>
      </c>
      <c r="E1047">
        <v>5.8</v>
      </c>
      <c r="G1047">
        <v>13</v>
      </c>
      <c r="H1047" s="23">
        <f t="shared" si="52"/>
        <v>8</v>
      </c>
    </row>
    <row r="1048" spans="1:8" x14ac:dyDescent="0.25">
      <c r="A1048" s="22">
        <v>41895.354166666664</v>
      </c>
      <c r="B1048">
        <v>463.9</v>
      </c>
      <c r="C1048">
        <v>94.3</v>
      </c>
      <c r="D1048">
        <v>10</v>
      </c>
      <c r="E1048">
        <v>5.8</v>
      </c>
      <c r="G1048">
        <v>13</v>
      </c>
      <c r="H1048" s="23">
        <f t="shared" si="52"/>
        <v>8</v>
      </c>
    </row>
    <row r="1049" spans="1:8" x14ac:dyDescent="0.25">
      <c r="A1049" s="22">
        <v>41895.357638888891</v>
      </c>
      <c r="B1049">
        <v>462.8</v>
      </c>
      <c r="C1049">
        <v>94.2</v>
      </c>
      <c r="D1049">
        <v>10</v>
      </c>
      <c r="E1049">
        <v>5.8</v>
      </c>
      <c r="G1049">
        <v>13</v>
      </c>
      <c r="H1049" s="23">
        <f t="shared" si="52"/>
        <v>8</v>
      </c>
    </row>
    <row r="1050" spans="1:8" x14ac:dyDescent="0.25">
      <c r="A1050" s="22">
        <v>41895.361111111109</v>
      </c>
      <c r="B1050">
        <v>465</v>
      </c>
      <c r="C1050">
        <v>94.2</v>
      </c>
      <c r="D1050">
        <v>10.1</v>
      </c>
      <c r="E1050">
        <v>5.8</v>
      </c>
      <c r="G1050">
        <v>13</v>
      </c>
      <c r="H1050" s="23">
        <f t="shared" si="52"/>
        <v>8</v>
      </c>
    </row>
    <row r="1051" spans="1:8" x14ac:dyDescent="0.25">
      <c r="A1051" s="22">
        <v>41895.364583333336</v>
      </c>
      <c r="B1051">
        <v>466.7</v>
      </c>
      <c r="C1051">
        <v>94.2</v>
      </c>
      <c r="D1051">
        <v>10.1</v>
      </c>
      <c r="E1051">
        <v>5.8</v>
      </c>
      <c r="G1051">
        <v>13</v>
      </c>
      <c r="H1051" s="23">
        <f t="shared" si="52"/>
        <v>8</v>
      </c>
    </row>
    <row r="1052" spans="1:8" x14ac:dyDescent="0.25">
      <c r="A1052" s="22">
        <v>41895.368055555555</v>
      </c>
      <c r="B1052">
        <v>467.4</v>
      </c>
      <c r="C1052">
        <v>94.3</v>
      </c>
      <c r="D1052">
        <v>10.1</v>
      </c>
      <c r="E1052">
        <v>5.9</v>
      </c>
      <c r="G1052">
        <v>13</v>
      </c>
      <c r="H1052" s="23">
        <f t="shared" si="52"/>
        <v>8</v>
      </c>
    </row>
    <row r="1053" spans="1:8" x14ac:dyDescent="0.25">
      <c r="A1053" s="22">
        <v>41895.371527777781</v>
      </c>
      <c r="B1053">
        <v>467</v>
      </c>
      <c r="C1053">
        <v>94.3</v>
      </c>
      <c r="D1053">
        <v>10.1</v>
      </c>
      <c r="E1053">
        <v>5.9</v>
      </c>
      <c r="G1053">
        <v>13</v>
      </c>
      <c r="H1053" s="23">
        <f t="shared" si="52"/>
        <v>8</v>
      </c>
    </row>
    <row r="1054" spans="1:8" x14ac:dyDescent="0.25">
      <c r="A1054" s="22">
        <v>41895.375</v>
      </c>
      <c r="B1054">
        <v>465.1</v>
      </c>
      <c r="C1054">
        <v>94.2</v>
      </c>
      <c r="D1054">
        <v>10.1</v>
      </c>
      <c r="E1054">
        <v>5.9</v>
      </c>
      <c r="G1054">
        <v>13</v>
      </c>
      <c r="H1054" s="23">
        <f t="shared" si="52"/>
        <v>9</v>
      </c>
    </row>
    <row r="1055" spans="1:8" x14ac:dyDescent="0.25">
      <c r="A1055" s="22">
        <v>41895.378472222219</v>
      </c>
      <c r="B1055">
        <v>465.3</v>
      </c>
      <c r="C1055">
        <v>94.2</v>
      </c>
      <c r="D1055">
        <v>10.1</v>
      </c>
      <c r="E1055">
        <v>5.9</v>
      </c>
      <c r="G1055">
        <v>13</v>
      </c>
      <c r="H1055" s="23">
        <f t="shared" si="52"/>
        <v>9</v>
      </c>
    </row>
    <row r="1056" spans="1:8" x14ac:dyDescent="0.25">
      <c r="A1056" s="22">
        <v>41895.381944444445</v>
      </c>
      <c r="B1056">
        <v>464.7</v>
      </c>
      <c r="C1056">
        <v>94.2</v>
      </c>
      <c r="D1056">
        <v>10.1</v>
      </c>
      <c r="E1056">
        <v>5.9</v>
      </c>
      <c r="G1056">
        <v>13</v>
      </c>
      <c r="H1056" s="23">
        <f t="shared" si="52"/>
        <v>9</v>
      </c>
    </row>
    <row r="1057" spans="1:8" x14ac:dyDescent="0.25">
      <c r="A1057" s="22">
        <v>41895.385416666664</v>
      </c>
      <c r="B1057">
        <v>464.7</v>
      </c>
      <c r="C1057">
        <v>94.4</v>
      </c>
      <c r="D1057">
        <v>10.199999999999999</v>
      </c>
      <c r="E1057">
        <v>5.9</v>
      </c>
      <c r="G1057">
        <v>13</v>
      </c>
      <c r="H1057" s="23">
        <f t="shared" si="52"/>
        <v>9</v>
      </c>
    </row>
    <row r="1058" spans="1:8" x14ac:dyDescent="0.25">
      <c r="A1058" s="22">
        <v>41895.388888888891</v>
      </c>
      <c r="B1058">
        <v>464.8</v>
      </c>
      <c r="C1058">
        <v>94.2</v>
      </c>
      <c r="D1058">
        <v>10.199999999999999</v>
      </c>
      <c r="E1058">
        <v>6</v>
      </c>
      <c r="G1058">
        <v>13</v>
      </c>
      <c r="H1058" s="23">
        <f t="shared" si="52"/>
        <v>9</v>
      </c>
    </row>
    <row r="1059" spans="1:8" x14ac:dyDescent="0.25">
      <c r="A1059" s="22">
        <v>41895.392361111109</v>
      </c>
      <c r="B1059">
        <v>464.5</v>
      </c>
      <c r="C1059">
        <v>94.2</v>
      </c>
      <c r="D1059">
        <v>10.199999999999999</v>
      </c>
      <c r="E1059">
        <v>6</v>
      </c>
      <c r="G1059">
        <v>13</v>
      </c>
      <c r="H1059" s="23">
        <f t="shared" si="52"/>
        <v>9</v>
      </c>
    </row>
    <row r="1060" spans="1:8" x14ac:dyDescent="0.25">
      <c r="A1060" s="22">
        <v>41895.395833333336</v>
      </c>
      <c r="B1060">
        <v>462.2</v>
      </c>
      <c r="C1060">
        <v>94.2</v>
      </c>
      <c r="D1060">
        <v>10.199999999999999</v>
      </c>
      <c r="E1060">
        <v>6</v>
      </c>
      <c r="G1060">
        <v>13</v>
      </c>
      <c r="H1060" s="23">
        <f t="shared" si="52"/>
        <v>9</v>
      </c>
    </row>
    <row r="1061" spans="1:8" x14ac:dyDescent="0.25">
      <c r="A1061" s="22">
        <v>41895.399305555555</v>
      </c>
      <c r="B1061">
        <v>461.8</v>
      </c>
      <c r="C1061">
        <v>94.2</v>
      </c>
      <c r="D1061">
        <v>10.199999999999999</v>
      </c>
      <c r="E1061">
        <v>6</v>
      </c>
      <c r="G1061">
        <v>13</v>
      </c>
      <c r="H1061" s="23">
        <f t="shared" si="52"/>
        <v>9</v>
      </c>
    </row>
    <row r="1062" spans="1:8" x14ac:dyDescent="0.25">
      <c r="A1062" s="22">
        <v>41895.402777777781</v>
      </c>
      <c r="B1062">
        <v>462.8</v>
      </c>
      <c r="C1062">
        <v>94.2</v>
      </c>
      <c r="D1062">
        <v>10.199999999999999</v>
      </c>
      <c r="E1062">
        <v>6</v>
      </c>
      <c r="G1062">
        <v>13</v>
      </c>
      <c r="H1062" s="23">
        <f t="shared" si="52"/>
        <v>9</v>
      </c>
    </row>
    <row r="1063" spans="1:8" x14ac:dyDescent="0.25">
      <c r="A1063" s="22">
        <v>41895.40625</v>
      </c>
      <c r="B1063">
        <v>463.4</v>
      </c>
      <c r="C1063">
        <v>94.1</v>
      </c>
      <c r="D1063">
        <v>10.3</v>
      </c>
      <c r="E1063">
        <v>6</v>
      </c>
      <c r="G1063">
        <v>13</v>
      </c>
      <c r="H1063" s="23">
        <f t="shared" si="52"/>
        <v>9</v>
      </c>
    </row>
    <row r="1064" spans="1:8" x14ac:dyDescent="0.25">
      <c r="A1064" s="22">
        <v>41895.409722222219</v>
      </c>
      <c r="B1064">
        <v>463.8</v>
      </c>
      <c r="C1064">
        <v>94.2</v>
      </c>
      <c r="D1064">
        <v>10.3</v>
      </c>
      <c r="E1064">
        <v>6.1</v>
      </c>
      <c r="G1064">
        <v>13</v>
      </c>
      <c r="H1064" s="23">
        <f t="shared" si="52"/>
        <v>9</v>
      </c>
    </row>
    <row r="1065" spans="1:8" x14ac:dyDescent="0.25">
      <c r="A1065" s="22">
        <v>41895.413194444445</v>
      </c>
      <c r="B1065">
        <v>461.4</v>
      </c>
      <c r="C1065">
        <v>94.3</v>
      </c>
      <c r="D1065">
        <v>10.3</v>
      </c>
      <c r="E1065">
        <v>6.1</v>
      </c>
      <c r="G1065">
        <v>13</v>
      </c>
      <c r="H1065" s="23">
        <f t="shared" si="52"/>
        <v>9</v>
      </c>
    </row>
    <row r="1066" spans="1:8" x14ac:dyDescent="0.25">
      <c r="A1066" s="22">
        <v>41895.416666666664</v>
      </c>
      <c r="B1066">
        <v>462.4</v>
      </c>
      <c r="C1066">
        <v>94.3</v>
      </c>
      <c r="D1066">
        <v>10.4</v>
      </c>
      <c r="E1066">
        <v>6.1</v>
      </c>
      <c r="G1066">
        <v>13</v>
      </c>
      <c r="H1066" s="23">
        <f t="shared" si="52"/>
        <v>10</v>
      </c>
    </row>
    <row r="1067" spans="1:8" x14ac:dyDescent="0.25">
      <c r="A1067" s="22">
        <v>41895.420138888891</v>
      </c>
      <c r="B1067">
        <v>463.3</v>
      </c>
      <c r="C1067">
        <v>94.2</v>
      </c>
      <c r="D1067">
        <v>10.4</v>
      </c>
      <c r="E1067">
        <v>6.1</v>
      </c>
      <c r="G1067">
        <v>13</v>
      </c>
      <c r="H1067" s="23">
        <f t="shared" si="52"/>
        <v>10</v>
      </c>
    </row>
    <row r="1068" spans="1:8" x14ac:dyDescent="0.25">
      <c r="A1068" s="22">
        <v>41895.423611111109</v>
      </c>
      <c r="B1068">
        <v>464.6</v>
      </c>
      <c r="C1068">
        <v>94.3</v>
      </c>
      <c r="D1068">
        <v>10.4</v>
      </c>
      <c r="E1068">
        <v>6.2</v>
      </c>
      <c r="G1068">
        <v>13</v>
      </c>
      <c r="H1068" s="23">
        <f t="shared" si="52"/>
        <v>10</v>
      </c>
    </row>
    <row r="1069" spans="1:8" x14ac:dyDescent="0.25">
      <c r="A1069" s="22">
        <v>41895.427083333336</v>
      </c>
      <c r="B1069">
        <v>464.5</v>
      </c>
      <c r="C1069">
        <v>94.4</v>
      </c>
      <c r="D1069">
        <v>10.4</v>
      </c>
      <c r="E1069">
        <v>6.2</v>
      </c>
      <c r="G1069">
        <v>13</v>
      </c>
      <c r="H1069" s="23">
        <f t="shared" si="52"/>
        <v>10</v>
      </c>
    </row>
    <row r="1070" spans="1:8" x14ac:dyDescent="0.25">
      <c r="A1070" s="22">
        <v>41895.430555555555</v>
      </c>
      <c r="B1070">
        <v>464.9</v>
      </c>
      <c r="C1070">
        <v>94.3</v>
      </c>
      <c r="D1070">
        <v>10.5</v>
      </c>
      <c r="E1070">
        <v>6.2</v>
      </c>
      <c r="G1070">
        <v>13</v>
      </c>
      <c r="H1070" s="23">
        <f t="shared" si="52"/>
        <v>10</v>
      </c>
    </row>
    <row r="1071" spans="1:8" x14ac:dyDescent="0.25">
      <c r="A1071" s="22">
        <v>41895.434027777781</v>
      </c>
      <c r="B1071">
        <v>466.2</v>
      </c>
      <c r="C1071">
        <v>94.2</v>
      </c>
      <c r="D1071">
        <v>10.5</v>
      </c>
      <c r="E1071">
        <v>6.2</v>
      </c>
      <c r="G1071">
        <v>13</v>
      </c>
      <c r="H1071" s="23">
        <f t="shared" si="52"/>
        <v>10</v>
      </c>
    </row>
    <row r="1072" spans="1:8" x14ac:dyDescent="0.25">
      <c r="A1072" s="22">
        <v>41895.4375</v>
      </c>
      <c r="B1072">
        <v>462.8</v>
      </c>
      <c r="C1072">
        <v>94.3</v>
      </c>
      <c r="D1072">
        <v>10.5</v>
      </c>
      <c r="E1072">
        <v>6.3</v>
      </c>
      <c r="G1072">
        <v>13</v>
      </c>
      <c r="H1072" s="23">
        <f t="shared" si="52"/>
        <v>10</v>
      </c>
    </row>
    <row r="1073" spans="1:8" x14ac:dyDescent="0.25">
      <c r="A1073" s="22">
        <v>41895.440972222219</v>
      </c>
      <c r="B1073">
        <v>457.7</v>
      </c>
      <c r="C1073">
        <v>94.2</v>
      </c>
      <c r="D1073">
        <v>10.199999999999999</v>
      </c>
      <c r="E1073">
        <v>6</v>
      </c>
      <c r="G1073">
        <v>13</v>
      </c>
      <c r="H1073" s="23">
        <f t="shared" si="52"/>
        <v>10</v>
      </c>
    </row>
    <row r="1074" spans="1:8" x14ac:dyDescent="0.25">
      <c r="A1074" s="22">
        <v>41895.444444444445</v>
      </c>
      <c r="B1074">
        <v>459.7</v>
      </c>
      <c r="C1074">
        <v>94.2</v>
      </c>
      <c r="D1074">
        <v>10.1</v>
      </c>
      <c r="E1074">
        <v>5.9</v>
      </c>
      <c r="G1074">
        <v>13</v>
      </c>
      <c r="H1074" s="23">
        <f t="shared" si="52"/>
        <v>10</v>
      </c>
    </row>
    <row r="1075" spans="1:8" x14ac:dyDescent="0.25">
      <c r="A1075" s="22">
        <v>41895.447916666664</v>
      </c>
      <c r="B1075">
        <v>459.1</v>
      </c>
      <c r="C1075">
        <v>94.3</v>
      </c>
      <c r="D1075">
        <v>10</v>
      </c>
      <c r="E1075">
        <v>5.9</v>
      </c>
      <c r="G1075">
        <v>13</v>
      </c>
      <c r="H1075" s="23">
        <f t="shared" si="52"/>
        <v>10</v>
      </c>
    </row>
    <row r="1076" spans="1:8" x14ac:dyDescent="0.25">
      <c r="A1076" s="22">
        <v>41895.451388888891</v>
      </c>
      <c r="B1076">
        <v>451</v>
      </c>
      <c r="C1076">
        <v>94.2</v>
      </c>
      <c r="D1076">
        <v>9.9</v>
      </c>
      <c r="E1076">
        <v>5.8</v>
      </c>
      <c r="G1076">
        <v>13</v>
      </c>
      <c r="H1076" s="23">
        <f t="shared" si="52"/>
        <v>10</v>
      </c>
    </row>
    <row r="1077" spans="1:8" x14ac:dyDescent="0.25">
      <c r="A1077" s="22">
        <v>41895.454861111109</v>
      </c>
      <c r="B1077">
        <v>444.2</v>
      </c>
      <c r="C1077">
        <v>94.2</v>
      </c>
      <c r="D1077">
        <v>9.8000000000000007</v>
      </c>
      <c r="E1077">
        <v>5.8</v>
      </c>
      <c r="G1077">
        <v>13</v>
      </c>
      <c r="H1077" s="23">
        <f t="shared" si="52"/>
        <v>10</v>
      </c>
    </row>
    <row r="1078" spans="1:8" x14ac:dyDescent="0.25">
      <c r="A1078" s="22">
        <v>41895.458333333336</v>
      </c>
      <c r="B1078">
        <v>435.8</v>
      </c>
      <c r="C1078">
        <v>94.2</v>
      </c>
      <c r="D1078">
        <v>9.6999999999999993</v>
      </c>
      <c r="E1078">
        <v>5.8</v>
      </c>
      <c r="G1078">
        <v>13</v>
      </c>
      <c r="H1078" s="23">
        <f t="shared" si="52"/>
        <v>11</v>
      </c>
    </row>
    <row r="1079" spans="1:8" x14ac:dyDescent="0.25">
      <c r="A1079" s="22">
        <v>41895.461805555555</v>
      </c>
      <c r="B1079">
        <v>426.8</v>
      </c>
      <c r="C1079">
        <v>94.1</v>
      </c>
      <c r="D1079">
        <v>9.6999999999999993</v>
      </c>
      <c r="E1079">
        <v>5.8</v>
      </c>
      <c r="G1079">
        <v>13</v>
      </c>
      <c r="H1079" s="23">
        <f t="shared" si="52"/>
        <v>11</v>
      </c>
    </row>
    <row r="1080" spans="1:8" x14ac:dyDescent="0.25">
      <c r="A1080" s="22">
        <v>41895.465277777781</v>
      </c>
      <c r="B1080">
        <v>419.5</v>
      </c>
      <c r="C1080">
        <v>94.1</v>
      </c>
      <c r="D1080">
        <v>9.6</v>
      </c>
      <c r="E1080">
        <v>5.8</v>
      </c>
      <c r="G1080">
        <v>13</v>
      </c>
      <c r="H1080" s="23">
        <f t="shared" si="52"/>
        <v>11</v>
      </c>
    </row>
    <row r="1081" spans="1:8" x14ac:dyDescent="0.25">
      <c r="A1081" s="22">
        <v>41895.46875</v>
      </c>
      <c r="B1081">
        <v>415</v>
      </c>
      <c r="C1081">
        <v>94.1</v>
      </c>
      <c r="D1081">
        <v>9.6</v>
      </c>
      <c r="E1081">
        <v>5.8</v>
      </c>
      <c r="G1081">
        <v>13</v>
      </c>
      <c r="H1081" s="23">
        <f t="shared" si="52"/>
        <v>11</v>
      </c>
    </row>
    <row r="1082" spans="1:8" x14ac:dyDescent="0.25">
      <c r="A1082" s="22">
        <v>41895.472222222219</v>
      </c>
      <c r="B1082">
        <v>419.2</v>
      </c>
      <c r="C1082">
        <v>94.2</v>
      </c>
      <c r="D1082">
        <v>9.6</v>
      </c>
      <c r="E1082">
        <v>5.8</v>
      </c>
      <c r="G1082">
        <v>13</v>
      </c>
      <c r="H1082" s="23">
        <f t="shared" si="52"/>
        <v>11</v>
      </c>
    </row>
    <row r="1083" spans="1:8" x14ac:dyDescent="0.25">
      <c r="A1083" s="22">
        <v>41895.475694444445</v>
      </c>
      <c r="B1083">
        <v>419.9</v>
      </c>
      <c r="C1083">
        <v>94.2</v>
      </c>
      <c r="D1083">
        <v>9.6</v>
      </c>
      <c r="E1083">
        <v>5.8</v>
      </c>
      <c r="G1083">
        <v>13</v>
      </c>
      <c r="H1083" s="23">
        <f t="shared" si="52"/>
        <v>11</v>
      </c>
    </row>
    <row r="1084" spans="1:8" x14ac:dyDescent="0.25">
      <c r="A1084" s="22">
        <v>41895.479166666664</v>
      </c>
      <c r="B1084">
        <v>418.1</v>
      </c>
      <c r="C1084">
        <v>94.1</v>
      </c>
      <c r="D1084">
        <v>9.6</v>
      </c>
      <c r="E1084">
        <v>5.8</v>
      </c>
      <c r="G1084">
        <v>13</v>
      </c>
      <c r="H1084" s="23">
        <f t="shared" si="52"/>
        <v>11</v>
      </c>
    </row>
    <row r="1085" spans="1:8" x14ac:dyDescent="0.25">
      <c r="A1085" s="22">
        <v>41895.482638888891</v>
      </c>
      <c r="B1085">
        <v>417.5</v>
      </c>
      <c r="C1085">
        <v>94.2</v>
      </c>
      <c r="D1085">
        <v>9.6</v>
      </c>
      <c r="E1085">
        <v>5.8</v>
      </c>
      <c r="G1085">
        <v>13</v>
      </c>
      <c r="H1085" s="23">
        <f t="shared" si="52"/>
        <v>11</v>
      </c>
    </row>
    <row r="1086" spans="1:8" x14ac:dyDescent="0.25">
      <c r="A1086" s="22">
        <v>41895.486111111109</v>
      </c>
      <c r="B1086">
        <v>420.8</v>
      </c>
      <c r="C1086">
        <v>94.2</v>
      </c>
      <c r="D1086">
        <v>9.6</v>
      </c>
      <c r="E1086">
        <v>5.8</v>
      </c>
      <c r="G1086">
        <v>13</v>
      </c>
      <c r="H1086" s="23">
        <f t="shared" si="52"/>
        <v>11</v>
      </c>
    </row>
    <row r="1087" spans="1:8" x14ac:dyDescent="0.25">
      <c r="A1087" s="22">
        <v>41895.489583333336</v>
      </c>
      <c r="B1087">
        <v>422.5</v>
      </c>
      <c r="C1087">
        <v>94.2</v>
      </c>
      <c r="D1087">
        <v>9.6</v>
      </c>
      <c r="E1087">
        <v>5.8</v>
      </c>
      <c r="G1087">
        <v>13</v>
      </c>
      <c r="H1087" s="23">
        <f t="shared" si="52"/>
        <v>11</v>
      </c>
    </row>
    <row r="1088" spans="1:8" x14ac:dyDescent="0.25">
      <c r="A1088" s="22">
        <v>41895.493055555555</v>
      </c>
      <c r="B1088">
        <v>421.5</v>
      </c>
      <c r="C1088">
        <v>94.2</v>
      </c>
      <c r="D1088">
        <v>9.6</v>
      </c>
      <c r="E1088">
        <v>5.8</v>
      </c>
      <c r="G1088">
        <v>13</v>
      </c>
      <c r="H1088" s="23">
        <f t="shared" si="52"/>
        <v>11</v>
      </c>
    </row>
    <row r="1089" spans="1:8" x14ac:dyDescent="0.25">
      <c r="A1089" s="22">
        <v>41895.496527777781</v>
      </c>
      <c r="B1089">
        <v>419.8</v>
      </c>
      <c r="C1089">
        <v>94.1</v>
      </c>
      <c r="D1089">
        <v>9.6</v>
      </c>
      <c r="E1089">
        <v>5.8</v>
      </c>
      <c r="G1089">
        <v>13</v>
      </c>
      <c r="H1089" s="23">
        <f t="shared" si="52"/>
        <v>11</v>
      </c>
    </row>
    <row r="1090" spans="1:8" x14ac:dyDescent="0.25">
      <c r="A1090" s="22">
        <v>41895.5</v>
      </c>
      <c r="B1090">
        <v>417</v>
      </c>
      <c r="C1090">
        <v>94.2</v>
      </c>
      <c r="D1090">
        <v>9.6</v>
      </c>
      <c r="E1090">
        <v>5.8</v>
      </c>
      <c r="G1090">
        <v>13</v>
      </c>
      <c r="H1090" s="23">
        <f t="shared" si="52"/>
        <v>12</v>
      </c>
    </row>
    <row r="1091" spans="1:8" x14ac:dyDescent="0.25">
      <c r="A1091" s="22">
        <v>41895.503472222219</v>
      </c>
      <c r="B1091">
        <v>416.8</v>
      </c>
      <c r="C1091">
        <v>94.2</v>
      </c>
      <c r="D1091">
        <v>9.6</v>
      </c>
      <c r="E1091">
        <v>5.8</v>
      </c>
      <c r="G1091">
        <v>13</v>
      </c>
      <c r="H1091" s="23">
        <f t="shared" si="52"/>
        <v>12</v>
      </c>
    </row>
    <row r="1092" spans="1:8" x14ac:dyDescent="0.25">
      <c r="A1092" s="22">
        <v>41895.506944444445</v>
      </c>
      <c r="B1092">
        <v>417.9</v>
      </c>
      <c r="C1092">
        <v>94.2</v>
      </c>
      <c r="D1092">
        <v>9.6</v>
      </c>
      <c r="E1092">
        <v>5.8</v>
      </c>
      <c r="G1092">
        <v>13</v>
      </c>
      <c r="H1092" s="23">
        <f t="shared" si="52"/>
        <v>12</v>
      </c>
    </row>
    <row r="1093" spans="1:8" x14ac:dyDescent="0.25">
      <c r="A1093" s="22">
        <v>41895.510416666664</v>
      </c>
      <c r="B1093">
        <v>418.9</v>
      </c>
      <c r="C1093">
        <v>94.2</v>
      </c>
      <c r="D1093">
        <v>9.6</v>
      </c>
      <c r="E1093">
        <v>5.8</v>
      </c>
      <c r="G1093">
        <v>13</v>
      </c>
      <c r="H1093" s="23">
        <f t="shared" si="52"/>
        <v>12</v>
      </c>
    </row>
    <row r="1094" spans="1:8" x14ac:dyDescent="0.25">
      <c r="A1094" s="22">
        <v>41895.513888888891</v>
      </c>
      <c r="B1094">
        <v>420</v>
      </c>
      <c r="C1094">
        <v>94.1</v>
      </c>
      <c r="D1094">
        <v>9.6</v>
      </c>
      <c r="E1094">
        <v>5.8</v>
      </c>
      <c r="G1094">
        <v>13</v>
      </c>
      <c r="H1094" s="23">
        <f t="shared" ref="H1094:H1157" si="53">+HOUR(A1094)</f>
        <v>12</v>
      </c>
    </row>
    <row r="1095" spans="1:8" x14ac:dyDescent="0.25">
      <c r="A1095" s="22">
        <v>41895.517361111109</v>
      </c>
      <c r="B1095">
        <v>421.4</v>
      </c>
      <c r="C1095">
        <v>94.2</v>
      </c>
      <c r="D1095">
        <v>9.6</v>
      </c>
      <c r="E1095">
        <v>5.8</v>
      </c>
      <c r="G1095">
        <v>13</v>
      </c>
      <c r="H1095" s="23">
        <f t="shared" si="53"/>
        <v>12</v>
      </c>
    </row>
    <row r="1096" spans="1:8" x14ac:dyDescent="0.25">
      <c r="A1096" s="22">
        <v>41895.520833333336</v>
      </c>
      <c r="B1096">
        <v>442.7</v>
      </c>
      <c r="C1096">
        <v>94.2</v>
      </c>
      <c r="D1096">
        <v>9.9</v>
      </c>
      <c r="E1096">
        <v>5.8</v>
      </c>
      <c r="G1096">
        <v>13</v>
      </c>
      <c r="H1096" s="23">
        <f t="shared" si="53"/>
        <v>12</v>
      </c>
    </row>
    <row r="1097" spans="1:8" x14ac:dyDescent="0.25">
      <c r="A1097" s="22">
        <v>41895.524305555555</v>
      </c>
      <c r="B1097">
        <v>464.6</v>
      </c>
      <c r="C1097">
        <v>94.2</v>
      </c>
      <c r="D1097">
        <v>10.199999999999999</v>
      </c>
      <c r="E1097">
        <v>6</v>
      </c>
      <c r="G1097">
        <v>13</v>
      </c>
      <c r="H1097" s="23">
        <f t="shared" si="53"/>
        <v>12</v>
      </c>
    </row>
    <row r="1098" spans="1:8" x14ac:dyDescent="0.25">
      <c r="A1098" s="22">
        <v>41895.527777777781</v>
      </c>
      <c r="B1098">
        <v>464.3</v>
      </c>
      <c r="C1098">
        <v>94.2</v>
      </c>
      <c r="D1098">
        <v>10.4</v>
      </c>
      <c r="E1098">
        <v>6.2</v>
      </c>
      <c r="G1098">
        <v>13</v>
      </c>
      <c r="H1098" s="23">
        <f t="shared" si="53"/>
        <v>12</v>
      </c>
    </row>
    <row r="1099" spans="1:8" x14ac:dyDescent="0.25">
      <c r="A1099" s="22">
        <v>41895.53125</v>
      </c>
      <c r="B1099">
        <v>466</v>
      </c>
      <c r="C1099">
        <v>94.4</v>
      </c>
      <c r="D1099">
        <v>10.4</v>
      </c>
      <c r="E1099">
        <v>6.2</v>
      </c>
      <c r="G1099">
        <v>13</v>
      </c>
      <c r="H1099" s="23">
        <f t="shared" si="53"/>
        <v>12</v>
      </c>
    </row>
    <row r="1100" spans="1:8" x14ac:dyDescent="0.25">
      <c r="A1100" s="22">
        <v>41895.534722222219</v>
      </c>
      <c r="B1100">
        <v>464</v>
      </c>
      <c r="C1100">
        <v>94.3</v>
      </c>
      <c r="D1100">
        <v>10.4</v>
      </c>
      <c r="E1100">
        <v>6.2</v>
      </c>
      <c r="G1100">
        <v>13</v>
      </c>
      <c r="H1100" s="23">
        <f t="shared" si="53"/>
        <v>12</v>
      </c>
    </row>
    <row r="1101" spans="1:8" x14ac:dyDescent="0.25">
      <c r="A1101" s="22">
        <v>41895.538194444445</v>
      </c>
      <c r="B1101">
        <v>463.9</v>
      </c>
      <c r="C1101">
        <v>94.3</v>
      </c>
      <c r="D1101">
        <v>10.5</v>
      </c>
      <c r="E1101">
        <v>6.3</v>
      </c>
      <c r="G1101">
        <v>13</v>
      </c>
      <c r="H1101" s="23">
        <f t="shared" si="53"/>
        <v>12</v>
      </c>
    </row>
    <row r="1102" spans="1:8" x14ac:dyDescent="0.25">
      <c r="A1102" s="22">
        <v>41895.541666666664</v>
      </c>
      <c r="B1102">
        <v>463.7</v>
      </c>
      <c r="C1102">
        <v>94.3</v>
      </c>
      <c r="D1102">
        <v>10.6</v>
      </c>
      <c r="E1102">
        <v>6.4</v>
      </c>
      <c r="G1102">
        <v>13</v>
      </c>
      <c r="H1102" s="23">
        <f t="shared" si="53"/>
        <v>13</v>
      </c>
    </row>
    <row r="1103" spans="1:8" x14ac:dyDescent="0.25">
      <c r="A1103" s="22">
        <v>41895.545138888891</v>
      </c>
      <c r="B1103">
        <v>465.1</v>
      </c>
      <c r="C1103">
        <v>94.3</v>
      </c>
      <c r="D1103">
        <v>10.7</v>
      </c>
      <c r="E1103">
        <v>6.4</v>
      </c>
      <c r="G1103">
        <v>13</v>
      </c>
      <c r="H1103" s="23">
        <f t="shared" si="53"/>
        <v>13</v>
      </c>
    </row>
    <row r="1104" spans="1:8" x14ac:dyDescent="0.25">
      <c r="A1104" s="22">
        <v>41895.548611111109</v>
      </c>
      <c r="B1104">
        <v>465.3</v>
      </c>
      <c r="C1104">
        <v>94.3</v>
      </c>
      <c r="D1104">
        <v>10.7</v>
      </c>
      <c r="E1104">
        <v>6.5</v>
      </c>
      <c r="G1104">
        <v>13</v>
      </c>
      <c r="H1104" s="23">
        <f t="shared" si="53"/>
        <v>13</v>
      </c>
    </row>
    <row r="1105" spans="1:8" x14ac:dyDescent="0.25">
      <c r="A1105" s="22">
        <v>41895.552083333336</v>
      </c>
      <c r="B1105">
        <v>467.4</v>
      </c>
      <c r="C1105">
        <v>94.4</v>
      </c>
      <c r="D1105">
        <v>10.7</v>
      </c>
      <c r="E1105">
        <v>6.5</v>
      </c>
      <c r="G1105">
        <v>13</v>
      </c>
      <c r="H1105" s="23">
        <f t="shared" si="53"/>
        <v>13</v>
      </c>
    </row>
    <row r="1106" spans="1:8" x14ac:dyDescent="0.25">
      <c r="A1106" s="22">
        <v>41895.555555555555</v>
      </c>
      <c r="B1106">
        <v>468.8</v>
      </c>
      <c r="C1106">
        <v>94.4</v>
      </c>
      <c r="D1106">
        <v>10.8</v>
      </c>
      <c r="E1106">
        <v>6.6</v>
      </c>
      <c r="G1106">
        <v>13</v>
      </c>
      <c r="H1106" s="23">
        <f t="shared" si="53"/>
        <v>13</v>
      </c>
    </row>
    <row r="1107" spans="1:8" x14ac:dyDescent="0.25">
      <c r="A1107" s="22">
        <v>41895.559027777781</v>
      </c>
      <c r="B1107">
        <v>468.7</v>
      </c>
      <c r="C1107">
        <v>94.3</v>
      </c>
      <c r="D1107">
        <v>10.9</v>
      </c>
      <c r="E1107">
        <v>6.6</v>
      </c>
      <c r="G1107">
        <v>13</v>
      </c>
      <c r="H1107" s="23">
        <f t="shared" si="53"/>
        <v>13</v>
      </c>
    </row>
    <row r="1108" spans="1:8" x14ac:dyDescent="0.25">
      <c r="A1108" s="22">
        <v>41895.5625</v>
      </c>
      <c r="B1108">
        <v>469.6</v>
      </c>
      <c r="C1108">
        <v>94.4</v>
      </c>
      <c r="D1108">
        <v>10.9</v>
      </c>
      <c r="E1108">
        <v>6.6</v>
      </c>
      <c r="G1108">
        <v>13</v>
      </c>
      <c r="H1108" s="23">
        <f t="shared" si="53"/>
        <v>13</v>
      </c>
    </row>
    <row r="1109" spans="1:8" x14ac:dyDescent="0.25">
      <c r="A1109" s="22">
        <v>41895.565972222219</v>
      </c>
      <c r="B1109">
        <v>468</v>
      </c>
      <c r="C1109">
        <v>94.4</v>
      </c>
      <c r="D1109">
        <v>11</v>
      </c>
      <c r="E1109">
        <v>6.7</v>
      </c>
      <c r="G1109">
        <v>13</v>
      </c>
      <c r="H1109" s="23">
        <f t="shared" si="53"/>
        <v>13</v>
      </c>
    </row>
    <row r="1110" spans="1:8" x14ac:dyDescent="0.25">
      <c r="A1110" s="22">
        <v>41895.569444444445</v>
      </c>
      <c r="B1110">
        <v>469.2</v>
      </c>
      <c r="C1110">
        <v>94.4</v>
      </c>
      <c r="D1110">
        <v>11</v>
      </c>
      <c r="E1110">
        <v>6.8</v>
      </c>
      <c r="G1110">
        <v>13</v>
      </c>
      <c r="H1110" s="23">
        <f t="shared" si="53"/>
        <v>13</v>
      </c>
    </row>
    <row r="1111" spans="1:8" x14ac:dyDescent="0.25">
      <c r="A1111" s="22">
        <v>41895.572916666664</v>
      </c>
      <c r="B1111">
        <v>469.3</v>
      </c>
      <c r="C1111">
        <v>94.4</v>
      </c>
      <c r="D1111">
        <v>11.1</v>
      </c>
      <c r="E1111">
        <v>6.8</v>
      </c>
      <c r="G1111">
        <v>13</v>
      </c>
      <c r="H1111" s="23">
        <f t="shared" si="53"/>
        <v>13</v>
      </c>
    </row>
    <row r="1112" spans="1:8" x14ac:dyDescent="0.25">
      <c r="A1112" s="22">
        <v>41895.576388888891</v>
      </c>
      <c r="B1112">
        <v>469.8</v>
      </c>
      <c r="C1112">
        <v>94.4</v>
      </c>
      <c r="D1112">
        <v>11.1</v>
      </c>
      <c r="E1112">
        <v>6.8</v>
      </c>
      <c r="G1112">
        <v>13</v>
      </c>
      <c r="H1112" s="23">
        <f t="shared" si="53"/>
        <v>13</v>
      </c>
    </row>
    <row r="1113" spans="1:8" x14ac:dyDescent="0.25">
      <c r="A1113" s="22">
        <v>41895.579861111109</v>
      </c>
      <c r="B1113">
        <v>469.6</v>
      </c>
      <c r="C1113">
        <v>94.4</v>
      </c>
      <c r="D1113">
        <v>11.1</v>
      </c>
      <c r="E1113">
        <v>6.9</v>
      </c>
      <c r="G1113">
        <v>13</v>
      </c>
      <c r="H1113" s="23">
        <f t="shared" si="53"/>
        <v>13</v>
      </c>
    </row>
    <row r="1114" spans="1:8" x14ac:dyDescent="0.25">
      <c r="A1114" s="22">
        <v>41895.583333333336</v>
      </c>
      <c r="B1114">
        <v>469.5</v>
      </c>
      <c r="C1114">
        <v>94.4</v>
      </c>
      <c r="D1114">
        <v>11.2</v>
      </c>
      <c r="E1114">
        <v>6.9</v>
      </c>
      <c r="G1114">
        <v>13</v>
      </c>
      <c r="H1114" s="23">
        <f t="shared" si="53"/>
        <v>14</v>
      </c>
    </row>
    <row r="1115" spans="1:8" x14ac:dyDescent="0.25">
      <c r="A1115" s="22">
        <v>41895.586805555555</v>
      </c>
      <c r="B1115">
        <v>469.9</v>
      </c>
      <c r="C1115">
        <v>94.3</v>
      </c>
      <c r="D1115">
        <v>11.2</v>
      </c>
      <c r="E1115">
        <v>7</v>
      </c>
      <c r="G1115">
        <v>13</v>
      </c>
      <c r="H1115" s="23">
        <f t="shared" si="53"/>
        <v>14</v>
      </c>
    </row>
    <row r="1116" spans="1:8" x14ac:dyDescent="0.25">
      <c r="A1116" s="22">
        <v>41895.590277777781</v>
      </c>
      <c r="B1116">
        <v>470.9</v>
      </c>
      <c r="C1116">
        <v>94.4</v>
      </c>
      <c r="D1116">
        <v>11.3</v>
      </c>
      <c r="E1116">
        <v>7</v>
      </c>
      <c r="G1116">
        <v>13</v>
      </c>
      <c r="H1116" s="23">
        <f t="shared" si="53"/>
        <v>14</v>
      </c>
    </row>
    <row r="1117" spans="1:8" x14ac:dyDescent="0.25">
      <c r="A1117" s="22">
        <v>41895.59375</v>
      </c>
      <c r="B1117">
        <v>472.9</v>
      </c>
      <c r="C1117">
        <v>94.4</v>
      </c>
      <c r="D1117">
        <v>11.3</v>
      </c>
      <c r="E1117">
        <v>7</v>
      </c>
      <c r="G1117">
        <v>13</v>
      </c>
      <c r="H1117" s="23">
        <f t="shared" si="53"/>
        <v>14</v>
      </c>
    </row>
    <row r="1118" spans="1:8" x14ac:dyDescent="0.25">
      <c r="A1118" s="22">
        <v>41895.597222222219</v>
      </c>
      <c r="B1118">
        <v>472.9</v>
      </c>
      <c r="C1118">
        <v>94.5</v>
      </c>
      <c r="D1118">
        <v>11.4</v>
      </c>
      <c r="E1118">
        <v>7.1</v>
      </c>
      <c r="G1118">
        <v>13</v>
      </c>
      <c r="H1118" s="23">
        <f t="shared" si="53"/>
        <v>14</v>
      </c>
    </row>
    <row r="1119" spans="1:8" x14ac:dyDescent="0.25">
      <c r="A1119" s="22">
        <v>41895.600694444445</v>
      </c>
      <c r="B1119">
        <v>472.3</v>
      </c>
      <c r="C1119">
        <v>94.4</v>
      </c>
      <c r="D1119">
        <v>11.4</v>
      </c>
      <c r="E1119">
        <v>7.1</v>
      </c>
      <c r="G1119">
        <v>13</v>
      </c>
      <c r="H1119" s="23">
        <f t="shared" si="53"/>
        <v>14</v>
      </c>
    </row>
    <row r="1120" spans="1:8" x14ac:dyDescent="0.25">
      <c r="A1120" s="22">
        <v>41895.604166666664</v>
      </c>
      <c r="B1120">
        <v>471.3</v>
      </c>
      <c r="C1120">
        <v>94.4</v>
      </c>
      <c r="D1120">
        <v>11.5</v>
      </c>
      <c r="E1120">
        <v>7.2</v>
      </c>
      <c r="G1120">
        <v>13</v>
      </c>
      <c r="H1120" s="23">
        <f t="shared" si="53"/>
        <v>14</v>
      </c>
    </row>
    <row r="1121" spans="1:8" x14ac:dyDescent="0.25">
      <c r="A1121" s="22">
        <v>41895.607638888891</v>
      </c>
      <c r="B1121">
        <v>472.2</v>
      </c>
      <c r="C1121">
        <v>94.4</v>
      </c>
      <c r="D1121">
        <v>11.5</v>
      </c>
      <c r="E1121">
        <v>7.2</v>
      </c>
      <c r="G1121">
        <v>13</v>
      </c>
      <c r="H1121" s="23">
        <f t="shared" si="53"/>
        <v>14</v>
      </c>
    </row>
    <row r="1122" spans="1:8" x14ac:dyDescent="0.25">
      <c r="A1122" s="22">
        <v>41895.611111111109</v>
      </c>
      <c r="B1122">
        <v>471.8</v>
      </c>
      <c r="C1122">
        <v>94.5</v>
      </c>
      <c r="D1122">
        <v>11.5</v>
      </c>
      <c r="E1122">
        <v>7.2</v>
      </c>
      <c r="G1122">
        <v>13</v>
      </c>
      <c r="H1122" s="23">
        <f t="shared" si="53"/>
        <v>14</v>
      </c>
    </row>
    <row r="1123" spans="1:8" x14ac:dyDescent="0.25">
      <c r="A1123" s="22">
        <v>41895.614583333336</v>
      </c>
      <c r="B1123">
        <v>473.8</v>
      </c>
      <c r="C1123">
        <v>94.5</v>
      </c>
      <c r="D1123">
        <v>11.5</v>
      </c>
      <c r="E1123">
        <v>7.2</v>
      </c>
      <c r="G1123">
        <v>13</v>
      </c>
      <c r="H1123" s="23">
        <f t="shared" si="53"/>
        <v>14</v>
      </c>
    </row>
    <row r="1124" spans="1:8" x14ac:dyDescent="0.25">
      <c r="A1124" s="22">
        <v>41895.618055555555</v>
      </c>
      <c r="B1124">
        <v>473.3</v>
      </c>
      <c r="C1124">
        <v>94.3</v>
      </c>
      <c r="D1124">
        <v>11.6</v>
      </c>
      <c r="E1124">
        <v>7.3</v>
      </c>
      <c r="G1124">
        <v>13</v>
      </c>
      <c r="H1124" s="23">
        <f t="shared" si="53"/>
        <v>14</v>
      </c>
    </row>
    <row r="1125" spans="1:8" x14ac:dyDescent="0.25">
      <c r="A1125" s="22">
        <v>41895.621527777781</v>
      </c>
      <c r="B1125">
        <v>470</v>
      </c>
      <c r="C1125">
        <v>94.5</v>
      </c>
      <c r="D1125">
        <v>11.6</v>
      </c>
      <c r="E1125">
        <v>7.3</v>
      </c>
      <c r="G1125">
        <v>13</v>
      </c>
      <c r="H1125" s="23">
        <f t="shared" si="53"/>
        <v>14</v>
      </c>
    </row>
    <row r="1126" spans="1:8" x14ac:dyDescent="0.25">
      <c r="A1126" s="22">
        <v>41895.625</v>
      </c>
      <c r="B1126">
        <v>472.3</v>
      </c>
      <c r="C1126">
        <v>94.5</v>
      </c>
      <c r="D1126">
        <v>11.6</v>
      </c>
      <c r="E1126">
        <v>7.3</v>
      </c>
      <c r="G1126">
        <v>13</v>
      </c>
      <c r="H1126" s="23">
        <f t="shared" si="53"/>
        <v>15</v>
      </c>
    </row>
    <row r="1127" spans="1:8" x14ac:dyDescent="0.25">
      <c r="A1127" s="22">
        <v>41895.628472222219</v>
      </c>
      <c r="B1127">
        <v>473.6</v>
      </c>
      <c r="C1127">
        <v>94.5</v>
      </c>
      <c r="D1127">
        <v>11.6</v>
      </c>
      <c r="E1127">
        <v>7.3</v>
      </c>
      <c r="G1127">
        <v>13</v>
      </c>
      <c r="H1127" s="23">
        <f t="shared" si="53"/>
        <v>15</v>
      </c>
    </row>
    <row r="1128" spans="1:8" x14ac:dyDescent="0.25">
      <c r="A1128" s="22">
        <v>41895.631944444445</v>
      </c>
      <c r="B1128">
        <v>473.5</v>
      </c>
      <c r="C1128">
        <v>94.4</v>
      </c>
      <c r="D1128">
        <v>11.7</v>
      </c>
      <c r="E1128">
        <v>7.4</v>
      </c>
      <c r="G1128">
        <v>13</v>
      </c>
      <c r="H1128" s="23">
        <f t="shared" si="53"/>
        <v>15</v>
      </c>
    </row>
    <row r="1129" spans="1:8" x14ac:dyDescent="0.25">
      <c r="A1129" s="22">
        <v>41895.635416666664</v>
      </c>
      <c r="B1129">
        <v>473.1</v>
      </c>
      <c r="C1129">
        <v>94.5</v>
      </c>
      <c r="D1129">
        <v>11.7</v>
      </c>
      <c r="E1129">
        <v>7.4</v>
      </c>
      <c r="G1129">
        <v>13</v>
      </c>
      <c r="H1129" s="23">
        <f t="shared" si="53"/>
        <v>15</v>
      </c>
    </row>
    <row r="1130" spans="1:8" x14ac:dyDescent="0.25">
      <c r="A1130" s="22">
        <v>41895.638888888891</v>
      </c>
      <c r="B1130">
        <v>475.9</v>
      </c>
      <c r="C1130">
        <v>94.5</v>
      </c>
      <c r="D1130">
        <v>11.7</v>
      </c>
      <c r="E1130">
        <v>7.4</v>
      </c>
      <c r="G1130">
        <v>13</v>
      </c>
      <c r="H1130" s="23">
        <f t="shared" si="53"/>
        <v>15</v>
      </c>
    </row>
    <row r="1131" spans="1:8" x14ac:dyDescent="0.25">
      <c r="A1131" s="22">
        <v>41895.642361111109</v>
      </c>
      <c r="B1131">
        <v>474.6</v>
      </c>
      <c r="C1131">
        <v>94.4</v>
      </c>
      <c r="D1131">
        <v>11.7</v>
      </c>
      <c r="E1131">
        <v>7.4</v>
      </c>
      <c r="G1131">
        <v>13</v>
      </c>
      <c r="H1131" s="23">
        <f t="shared" si="53"/>
        <v>15</v>
      </c>
    </row>
    <row r="1132" spans="1:8" x14ac:dyDescent="0.25">
      <c r="A1132" s="22">
        <v>41895.645833333336</v>
      </c>
      <c r="B1132">
        <v>468</v>
      </c>
      <c r="C1132">
        <v>94.4</v>
      </c>
      <c r="D1132">
        <v>11.5</v>
      </c>
      <c r="E1132">
        <v>7.2</v>
      </c>
      <c r="G1132">
        <v>13</v>
      </c>
      <c r="H1132" s="23">
        <f t="shared" si="53"/>
        <v>15</v>
      </c>
    </row>
    <row r="1133" spans="1:8" x14ac:dyDescent="0.25">
      <c r="A1133" s="22">
        <v>41895.649305555555</v>
      </c>
      <c r="B1133">
        <v>466.2</v>
      </c>
      <c r="C1133">
        <v>94.3</v>
      </c>
      <c r="D1133">
        <v>11.2</v>
      </c>
      <c r="E1133">
        <v>7</v>
      </c>
      <c r="G1133">
        <v>13</v>
      </c>
      <c r="H1133" s="23">
        <f t="shared" si="53"/>
        <v>15</v>
      </c>
    </row>
    <row r="1134" spans="1:8" x14ac:dyDescent="0.25">
      <c r="A1134" s="22">
        <v>41895.652777777781</v>
      </c>
      <c r="B1134">
        <v>467.5</v>
      </c>
      <c r="C1134">
        <v>94.4</v>
      </c>
      <c r="D1134">
        <v>11.2</v>
      </c>
      <c r="E1134">
        <v>6.9</v>
      </c>
      <c r="G1134">
        <v>13</v>
      </c>
      <c r="H1134" s="23">
        <f t="shared" si="53"/>
        <v>15</v>
      </c>
    </row>
    <row r="1135" spans="1:8" x14ac:dyDescent="0.25">
      <c r="A1135" s="22">
        <v>41895.65625</v>
      </c>
      <c r="B1135">
        <v>465</v>
      </c>
      <c r="C1135">
        <v>94.4</v>
      </c>
      <c r="D1135">
        <v>11.2</v>
      </c>
      <c r="E1135">
        <v>7</v>
      </c>
      <c r="G1135">
        <v>13</v>
      </c>
      <c r="H1135" s="23">
        <f t="shared" si="53"/>
        <v>15</v>
      </c>
    </row>
    <row r="1136" spans="1:8" x14ac:dyDescent="0.25">
      <c r="A1136" s="22">
        <v>41895.659722222219</v>
      </c>
      <c r="B1136">
        <v>465.8</v>
      </c>
      <c r="C1136">
        <v>94.5</v>
      </c>
      <c r="D1136">
        <v>11.2</v>
      </c>
      <c r="E1136">
        <v>6.9</v>
      </c>
      <c r="G1136">
        <v>13</v>
      </c>
      <c r="H1136" s="23">
        <f t="shared" si="53"/>
        <v>15</v>
      </c>
    </row>
    <row r="1137" spans="1:8" x14ac:dyDescent="0.25">
      <c r="A1137" s="22">
        <v>41895.663194444445</v>
      </c>
      <c r="B1137">
        <v>464.5</v>
      </c>
      <c r="C1137">
        <v>94.4</v>
      </c>
      <c r="D1137">
        <v>11.1</v>
      </c>
      <c r="E1137">
        <v>6.9</v>
      </c>
      <c r="G1137">
        <v>13</v>
      </c>
      <c r="H1137" s="23">
        <f t="shared" si="53"/>
        <v>15</v>
      </c>
    </row>
    <row r="1138" spans="1:8" x14ac:dyDescent="0.25">
      <c r="A1138" s="22">
        <v>41895.666666666664</v>
      </c>
      <c r="B1138">
        <v>464.5</v>
      </c>
      <c r="C1138">
        <v>94.4</v>
      </c>
      <c r="D1138">
        <v>11.1</v>
      </c>
      <c r="E1138">
        <v>6.8</v>
      </c>
      <c r="G1138">
        <v>13</v>
      </c>
      <c r="H1138" s="23">
        <f t="shared" si="53"/>
        <v>16</v>
      </c>
    </row>
    <row r="1139" spans="1:8" x14ac:dyDescent="0.25">
      <c r="A1139" s="22">
        <v>41895.670138888891</v>
      </c>
      <c r="B1139">
        <v>464.5</v>
      </c>
      <c r="C1139">
        <v>94.4</v>
      </c>
      <c r="D1139">
        <v>11</v>
      </c>
      <c r="E1139">
        <v>6.8</v>
      </c>
      <c r="G1139">
        <v>13</v>
      </c>
      <c r="H1139" s="23">
        <f t="shared" si="53"/>
        <v>16</v>
      </c>
    </row>
    <row r="1140" spans="1:8" x14ac:dyDescent="0.25">
      <c r="A1140" s="22">
        <v>41895.673611111109</v>
      </c>
      <c r="B1140">
        <v>465.7</v>
      </c>
      <c r="C1140">
        <v>94.3</v>
      </c>
      <c r="D1140">
        <v>11</v>
      </c>
      <c r="E1140">
        <v>6.7</v>
      </c>
      <c r="G1140">
        <v>13</v>
      </c>
      <c r="H1140" s="23">
        <f t="shared" si="53"/>
        <v>16</v>
      </c>
    </row>
    <row r="1141" spans="1:8" x14ac:dyDescent="0.25">
      <c r="A1141" s="22">
        <v>41895.677083333336</v>
      </c>
      <c r="B1141">
        <v>467.6</v>
      </c>
      <c r="C1141">
        <v>94.2</v>
      </c>
      <c r="D1141">
        <v>11</v>
      </c>
      <c r="E1141">
        <v>6.7</v>
      </c>
      <c r="G1141">
        <v>13</v>
      </c>
      <c r="H1141" s="23">
        <f t="shared" si="53"/>
        <v>16</v>
      </c>
    </row>
    <row r="1142" spans="1:8" x14ac:dyDescent="0.25">
      <c r="A1142" s="22">
        <v>41895.680555555555</v>
      </c>
      <c r="B1142">
        <v>467.6</v>
      </c>
      <c r="C1142">
        <v>94.3</v>
      </c>
      <c r="D1142">
        <v>11</v>
      </c>
      <c r="E1142">
        <v>6.7</v>
      </c>
      <c r="G1142">
        <v>13</v>
      </c>
      <c r="H1142" s="23">
        <f t="shared" si="53"/>
        <v>16</v>
      </c>
    </row>
    <row r="1143" spans="1:8" x14ac:dyDescent="0.25">
      <c r="A1143" s="22">
        <v>41895.684027777781</v>
      </c>
      <c r="B1143">
        <v>469</v>
      </c>
      <c r="C1143">
        <v>94.4</v>
      </c>
      <c r="D1143">
        <v>10.9</v>
      </c>
      <c r="E1143">
        <v>6.7</v>
      </c>
      <c r="G1143">
        <v>13</v>
      </c>
      <c r="H1143" s="23">
        <f t="shared" si="53"/>
        <v>16</v>
      </c>
    </row>
    <row r="1144" spans="1:8" x14ac:dyDescent="0.25">
      <c r="A1144" s="22">
        <v>41895.6875</v>
      </c>
      <c r="B1144">
        <v>468.1</v>
      </c>
      <c r="C1144">
        <v>94.3</v>
      </c>
      <c r="D1144">
        <v>10.9</v>
      </c>
      <c r="E1144">
        <v>6.6</v>
      </c>
      <c r="G1144">
        <v>13</v>
      </c>
      <c r="H1144" s="23">
        <f t="shared" si="53"/>
        <v>16</v>
      </c>
    </row>
    <row r="1145" spans="1:8" x14ac:dyDescent="0.25">
      <c r="A1145" s="22">
        <v>41895.690972222219</v>
      </c>
      <c r="B1145">
        <v>467.2</v>
      </c>
      <c r="C1145">
        <v>94.3</v>
      </c>
      <c r="D1145">
        <v>10.9</v>
      </c>
      <c r="E1145">
        <v>6.6</v>
      </c>
      <c r="G1145">
        <v>13</v>
      </c>
      <c r="H1145" s="23">
        <f t="shared" si="53"/>
        <v>16</v>
      </c>
    </row>
    <row r="1146" spans="1:8" x14ac:dyDescent="0.25">
      <c r="A1146" s="22">
        <v>41895.694444444445</v>
      </c>
      <c r="B1146">
        <v>467.2</v>
      </c>
      <c r="C1146">
        <v>94.2</v>
      </c>
      <c r="D1146">
        <v>10.8</v>
      </c>
      <c r="E1146">
        <v>6.5</v>
      </c>
      <c r="G1146">
        <v>13</v>
      </c>
      <c r="H1146" s="23">
        <f t="shared" si="53"/>
        <v>16</v>
      </c>
    </row>
    <row r="1147" spans="1:8" x14ac:dyDescent="0.25">
      <c r="A1147" s="22">
        <v>41895.697916666664</v>
      </c>
      <c r="B1147">
        <v>466.5</v>
      </c>
      <c r="C1147">
        <v>94.3</v>
      </c>
      <c r="D1147">
        <v>10.8</v>
      </c>
      <c r="E1147">
        <v>6.5</v>
      </c>
      <c r="G1147">
        <v>13</v>
      </c>
      <c r="H1147" s="23">
        <f t="shared" si="53"/>
        <v>16</v>
      </c>
    </row>
    <row r="1148" spans="1:8" x14ac:dyDescent="0.25">
      <c r="A1148" s="22">
        <v>41895.701388888891</v>
      </c>
      <c r="B1148">
        <v>466.7</v>
      </c>
      <c r="C1148">
        <v>94.3</v>
      </c>
      <c r="D1148">
        <v>10.7</v>
      </c>
      <c r="E1148">
        <v>6.5</v>
      </c>
      <c r="G1148">
        <v>13</v>
      </c>
      <c r="H1148" s="23">
        <f t="shared" si="53"/>
        <v>16</v>
      </c>
    </row>
    <row r="1149" spans="1:8" x14ac:dyDescent="0.25">
      <c r="A1149" s="22">
        <v>41895.704861111109</v>
      </c>
      <c r="B1149">
        <v>465.3</v>
      </c>
      <c r="C1149">
        <v>94.2</v>
      </c>
      <c r="D1149">
        <v>10.7</v>
      </c>
      <c r="E1149">
        <v>6.4</v>
      </c>
      <c r="G1149">
        <v>13</v>
      </c>
      <c r="H1149" s="23">
        <f t="shared" si="53"/>
        <v>16</v>
      </c>
    </row>
    <row r="1150" spans="1:8" x14ac:dyDescent="0.25">
      <c r="A1150" s="22">
        <v>41895.708333333336</v>
      </c>
      <c r="B1150">
        <v>464.9</v>
      </c>
      <c r="C1150">
        <v>94.3</v>
      </c>
      <c r="D1150">
        <v>10.6</v>
      </c>
      <c r="E1150">
        <v>6.4</v>
      </c>
      <c r="G1150">
        <v>13</v>
      </c>
      <c r="H1150" s="23">
        <f t="shared" si="53"/>
        <v>17</v>
      </c>
    </row>
    <row r="1151" spans="1:8" x14ac:dyDescent="0.25">
      <c r="A1151" s="22">
        <v>41895.711805555555</v>
      </c>
      <c r="B1151">
        <v>464.8</v>
      </c>
      <c r="C1151">
        <v>94.2</v>
      </c>
      <c r="D1151">
        <v>10.6</v>
      </c>
      <c r="E1151">
        <v>6.4</v>
      </c>
      <c r="G1151">
        <v>13</v>
      </c>
      <c r="H1151" s="23">
        <f t="shared" si="53"/>
        <v>17</v>
      </c>
    </row>
    <row r="1152" spans="1:8" x14ac:dyDescent="0.25">
      <c r="A1152" s="22">
        <v>41895.715277777781</v>
      </c>
      <c r="B1152">
        <v>467.9</v>
      </c>
      <c r="C1152">
        <v>94.4</v>
      </c>
      <c r="D1152">
        <v>10.6</v>
      </c>
      <c r="E1152">
        <v>6.3</v>
      </c>
      <c r="G1152">
        <v>13</v>
      </c>
      <c r="H1152" s="23">
        <f t="shared" si="53"/>
        <v>17</v>
      </c>
    </row>
    <row r="1153" spans="1:8" x14ac:dyDescent="0.25">
      <c r="A1153" s="22">
        <v>41895.71875</v>
      </c>
      <c r="B1153">
        <v>462.8</v>
      </c>
      <c r="C1153">
        <v>94.2</v>
      </c>
      <c r="D1153">
        <v>10.5</v>
      </c>
      <c r="E1153">
        <v>6.3</v>
      </c>
      <c r="G1153">
        <v>13</v>
      </c>
      <c r="H1153" s="23">
        <f t="shared" si="53"/>
        <v>17</v>
      </c>
    </row>
    <row r="1154" spans="1:8" x14ac:dyDescent="0.25">
      <c r="A1154" s="22">
        <v>41895.722222222219</v>
      </c>
      <c r="B1154">
        <v>465.6</v>
      </c>
      <c r="C1154">
        <v>94.3</v>
      </c>
      <c r="D1154">
        <v>10.5</v>
      </c>
      <c r="E1154">
        <v>6.3</v>
      </c>
      <c r="G1154">
        <v>13</v>
      </c>
      <c r="H1154" s="23">
        <f t="shared" si="53"/>
        <v>17</v>
      </c>
    </row>
    <row r="1155" spans="1:8" x14ac:dyDescent="0.25">
      <c r="A1155" s="22">
        <v>41895.725694444445</v>
      </c>
      <c r="B1155">
        <v>465.8</v>
      </c>
      <c r="C1155">
        <v>94.2</v>
      </c>
      <c r="D1155">
        <v>10.5</v>
      </c>
      <c r="E1155">
        <v>6.3</v>
      </c>
      <c r="G1155">
        <v>13</v>
      </c>
      <c r="H1155" s="23">
        <f t="shared" si="53"/>
        <v>17</v>
      </c>
    </row>
    <row r="1156" spans="1:8" x14ac:dyDescent="0.25">
      <c r="A1156" s="22">
        <v>41895.729166666664</v>
      </c>
      <c r="B1156">
        <v>467</v>
      </c>
      <c r="C1156">
        <v>94.3</v>
      </c>
      <c r="D1156">
        <v>10.5</v>
      </c>
      <c r="E1156">
        <v>6.2</v>
      </c>
      <c r="G1156">
        <v>13</v>
      </c>
      <c r="H1156" s="23">
        <f t="shared" si="53"/>
        <v>17</v>
      </c>
    </row>
    <row r="1157" spans="1:8" x14ac:dyDescent="0.25">
      <c r="A1157" s="22">
        <v>41895.732638888891</v>
      </c>
      <c r="B1157">
        <v>465.9</v>
      </c>
      <c r="C1157">
        <v>94.2</v>
      </c>
      <c r="D1157">
        <v>10.5</v>
      </c>
      <c r="E1157">
        <v>6.2</v>
      </c>
      <c r="G1157">
        <v>13</v>
      </c>
      <c r="H1157" s="23">
        <f t="shared" si="53"/>
        <v>17</v>
      </c>
    </row>
    <row r="1158" spans="1:8" x14ac:dyDescent="0.25">
      <c r="A1158" s="22">
        <v>41895.736111111109</v>
      </c>
      <c r="B1158">
        <v>463.1</v>
      </c>
      <c r="C1158">
        <v>94.2</v>
      </c>
      <c r="D1158">
        <v>10.5</v>
      </c>
      <c r="E1158">
        <v>6.2</v>
      </c>
      <c r="G1158">
        <v>13</v>
      </c>
      <c r="H1158" s="23">
        <f t="shared" ref="H1158:H1221" si="54">+HOUR(A1158)</f>
        <v>17</v>
      </c>
    </row>
    <row r="1159" spans="1:8" x14ac:dyDescent="0.25">
      <c r="A1159" s="22">
        <v>41895.739583333336</v>
      </c>
      <c r="B1159">
        <v>464.7</v>
      </c>
      <c r="C1159">
        <v>94.3</v>
      </c>
      <c r="D1159">
        <v>10.4</v>
      </c>
      <c r="E1159">
        <v>6.2</v>
      </c>
      <c r="G1159">
        <v>13</v>
      </c>
      <c r="H1159" s="23">
        <f t="shared" si="54"/>
        <v>17</v>
      </c>
    </row>
    <row r="1160" spans="1:8" x14ac:dyDescent="0.25">
      <c r="A1160" s="22">
        <v>41895.743055555555</v>
      </c>
      <c r="B1160">
        <v>471.8</v>
      </c>
      <c r="C1160">
        <v>94.2</v>
      </c>
      <c r="D1160">
        <v>10.7</v>
      </c>
      <c r="E1160">
        <v>6.4</v>
      </c>
      <c r="G1160">
        <v>13</v>
      </c>
      <c r="H1160" s="23">
        <f t="shared" si="54"/>
        <v>17</v>
      </c>
    </row>
    <row r="1161" spans="1:8" x14ac:dyDescent="0.25">
      <c r="A1161" s="22">
        <v>41895.746527777781</v>
      </c>
      <c r="B1161">
        <v>471.6</v>
      </c>
      <c r="C1161">
        <v>94.4</v>
      </c>
      <c r="D1161">
        <v>11.1</v>
      </c>
      <c r="E1161">
        <v>6.9</v>
      </c>
      <c r="G1161">
        <v>13</v>
      </c>
      <c r="H1161" s="23">
        <f t="shared" si="54"/>
        <v>17</v>
      </c>
    </row>
    <row r="1162" spans="1:8" x14ac:dyDescent="0.25">
      <c r="A1162" s="22">
        <v>41895.75</v>
      </c>
      <c r="B1162">
        <v>471.5</v>
      </c>
      <c r="C1162">
        <v>94.3</v>
      </c>
      <c r="D1162">
        <v>11.2</v>
      </c>
      <c r="E1162">
        <v>7</v>
      </c>
      <c r="G1162">
        <v>13</v>
      </c>
      <c r="H1162" s="23">
        <f t="shared" si="54"/>
        <v>18</v>
      </c>
    </row>
    <row r="1163" spans="1:8" x14ac:dyDescent="0.25">
      <c r="A1163" s="22">
        <v>41895.753472222219</v>
      </c>
      <c r="B1163">
        <v>471.9</v>
      </c>
      <c r="C1163">
        <v>94.4</v>
      </c>
      <c r="D1163">
        <v>11.3</v>
      </c>
      <c r="E1163">
        <v>7</v>
      </c>
      <c r="G1163">
        <v>13</v>
      </c>
      <c r="H1163" s="23">
        <f t="shared" si="54"/>
        <v>18</v>
      </c>
    </row>
    <row r="1164" spans="1:8" x14ac:dyDescent="0.25">
      <c r="A1164" s="22">
        <v>41895.756944444445</v>
      </c>
      <c r="B1164">
        <v>475.6</v>
      </c>
      <c r="C1164">
        <v>94.4</v>
      </c>
      <c r="D1164">
        <v>11.3</v>
      </c>
      <c r="E1164">
        <v>7</v>
      </c>
      <c r="G1164">
        <v>13</v>
      </c>
      <c r="H1164" s="23">
        <f t="shared" si="54"/>
        <v>18</v>
      </c>
    </row>
    <row r="1165" spans="1:8" x14ac:dyDescent="0.25">
      <c r="A1165" s="22">
        <v>41895.760416666664</v>
      </c>
      <c r="B1165">
        <v>476.3</v>
      </c>
      <c r="C1165">
        <v>94.4</v>
      </c>
      <c r="D1165">
        <v>11.4</v>
      </c>
      <c r="E1165">
        <v>7.1</v>
      </c>
      <c r="G1165">
        <v>13</v>
      </c>
      <c r="H1165" s="23">
        <f t="shared" si="54"/>
        <v>18</v>
      </c>
    </row>
    <row r="1166" spans="1:8" x14ac:dyDescent="0.25">
      <c r="A1166" s="22">
        <v>41895.763888888891</v>
      </c>
      <c r="B1166">
        <v>479</v>
      </c>
      <c r="C1166">
        <v>94.5</v>
      </c>
      <c r="D1166">
        <v>11.6</v>
      </c>
      <c r="E1166">
        <v>7.2</v>
      </c>
      <c r="G1166">
        <v>13</v>
      </c>
      <c r="H1166" s="23">
        <f t="shared" si="54"/>
        <v>18</v>
      </c>
    </row>
    <row r="1167" spans="1:8" x14ac:dyDescent="0.25">
      <c r="A1167" s="22">
        <v>41895.767361111109</v>
      </c>
      <c r="B1167">
        <v>477.8</v>
      </c>
      <c r="C1167">
        <v>94.4</v>
      </c>
      <c r="D1167">
        <v>11.6</v>
      </c>
      <c r="E1167">
        <v>7.3</v>
      </c>
      <c r="G1167">
        <v>13</v>
      </c>
      <c r="H1167" s="23">
        <f t="shared" si="54"/>
        <v>18</v>
      </c>
    </row>
    <row r="1168" spans="1:8" x14ac:dyDescent="0.25">
      <c r="A1168" s="22">
        <v>41895.770833333336</v>
      </c>
      <c r="B1168">
        <v>475.8</v>
      </c>
      <c r="C1168">
        <v>94.4</v>
      </c>
      <c r="D1168">
        <v>11.6</v>
      </c>
      <c r="E1168">
        <v>7.3</v>
      </c>
      <c r="G1168">
        <v>13</v>
      </c>
      <c r="H1168" s="23">
        <f t="shared" si="54"/>
        <v>18</v>
      </c>
    </row>
    <row r="1169" spans="1:8" x14ac:dyDescent="0.25">
      <c r="A1169" s="22">
        <v>41895.774305555555</v>
      </c>
      <c r="B1169">
        <v>477.9</v>
      </c>
      <c r="C1169">
        <v>94.5</v>
      </c>
      <c r="D1169">
        <v>11.7</v>
      </c>
      <c r="E1169">
        <v>7.4</v>
      </c>
      <c r="G1169">
        <v>13</v>
      </c>
      <c r="H1169" s="23">
        <f t="shared" si="54"/>
        <v>18</v>
      </c>
    </row>
    <row r="1170" spans="1:8" x14ac:dyDescent="0.25">
      <c r="A1170" s="22">
        <v>41895.777777777781</v>
      </c>
      <c r="B1170">
        <v>484.6</v>
      </c>
      <c r="C1170">
        <v>94.5</v>
      </c>
      <c r="D1170">
        <v>11.9</v>
      </c>
      <c r="E1170">
        <v>7.5</v>
      </c>
      <c r="G1170">
        <v>13</v>
      </c>
      <c r="H1170" s="23">
        <f t="shared" si="54"/>
        <v>18</v>
      </c>
    </row>
    <row r="1171" spans="1:8" x14ac:dyDescent="0.25">
      <c r="A1171" s="22">
        <v>41895.78125</v>
      </c>
      <c r="B1171">
        <v>478.8</v>
      </c>
      <c r="C1171">
        <v>94.5</v>
      </c>
      <c r="D1171">
        <v>12.2</v>
      </c>
      <c r="E1171">
        <v>7.8</v>
      </c>
      <c r="G1171">
        <v>13</v>
      </c>
      <c r="H1171" s="23">
        <f t="shared" si="54"/>
        <v>18</v>
      </c>
    </row>
    <row r="1172" spans="1:8" x14ac:dyDescent="0.25">
      <c r="A1172" s="22">
        <v>41895.784722222219</v>
      </c>
      <c r="B1172">
        <v>478.8</v>
      </c>
      <c r="C1172">
        <v>94.4</v>
      </c>
      <c r="D1172">
        <v>12.1</v>
      </c>
      <c r="E1172">
        <v>7.7</v>
      </c>
      <c r="G1172">
        <v>13</v>
      </c>
      <c r="H1172" s="23">
        <f t="shared" si="54"/>
        <v>18</v>
      </c>
    </row>
    <row r="1173" spans="1:8" x14ac:dyDescent="0.25">
      <c r="A1173" s="22">
        <v>41895.788194444445</v>
      </c>
      <c r="B1173">
        <v>481.8</v>
      </c>
      <c r="C1173">
        <v>94.5</v>
      </c>
      <c r="D1173">
        <v>12.1</v>
      </c>
      <c r="E1173">
        <v>7.7</v>
      </c>
      <c r="G1173">
        <v>13</v>
      </c>
      <c r="H1173" s="23">
        <f t="shared" si="54"/>
        <v>18</v>
      </c>
    </row>
    <row r="1174" spans="1:8" x14ac:dyDescent="0.25">
      <c r="A1174" s="22">
        <v>41895.791666666664</v>
      </c>
      <c r="B1174">
        <v>482.1</v>
      </c>
      <c r="C1174">
        <v>94.6</v>
      </c>
      <c r="D1174">
        <v>12.2</v>
      </c>
      <c r="E1174">
        <v>7.8</v>
      </c>
      <c r="G1174">
        <v>13</v>
      </c>
      <c r="H1174" s="23">
        <f t="shared" si="54"/>
        <v>19</v>
      </c>
    </row>
    <row r="1175" spans="1:8" x14ac:dyDescent="0.25">
      <c r="A1175" s="22">
        <v>41895.795138888891</v>
      </c>
      <c r="B1175">
        <v>485</v>
      </c>
      <c r="C1175">
        <v>94.6</v>
      </c>
      <c r="D1175">
        <v>12.3</v>
      </c>
      <c r="E1175">
        <v>7.9</v>
      </c>
      <c r="G1175">
        <v>13</v>
      </c>
      <c r="H1175" s="23">
        <f t="shared" si="54"/>
        <v>19</v>
      </c>
    </row>
    <row r="1176" spans="1:8" x14ac:dyDescent="0.25">
      <c r="A1176" s="22">
        <v>41895.798611111109</v>
      </c>
      <c r="B1176">
        <v>485.5</v>
      </c>
      <c r="C1176">
        <v>94.5</v>
      </c>
      <c r="D1176">
        <v>12.4</v>
      </c>
      <c r="E1176">
        <v>8</v>
      </c>
      <c r="G1176">
        <v>13</v>
      </c>
      <c r="H1176" s="23">
        <f t="shared" si="54"/>
        <v>19</v>
      </c>
    </row>
    <row r="1177" spans="1:8" x14ac:dyDescent="0.25">
      <c r="A1177" s="22">
        <v>41895.802083333336</v>
      </c>
      <c r="B1177">
        <v>486.4</v>
      </c>
      <c r="C1177">
        <v>94.6</v>
      </c>
      <c r="D1177">
        <v>12.5</v>
      </c>
      <c r="E1177">
        <v>8.1</v>
      </c>
      <c r="G1177">
        <v>13</v>
      </c>
      <c r="H1177" s="23">
        <f t="shared" si="54"/>
        <v>19</v>
      </c>
    </row>
    <row r="1178" spans="1:8" x14ac:dyDescent="0.25">
      <c r="A1178" s="22">
        <v>41895.805555555555</v>
      </c>
      <c r="B1178">
        <v>487.4</v>
      </c>
      <c r="C1178">
        <v>94.6</v>
      </c>
      <c r="D1178">
        <v>12.6</v>
      </c>
      <c r="E1178">
        <v>8.1</v>
      </c>
      <c r="G1178">
        <v>13</v>
      </c>
      <c r="H1178" s="23">
        <f t="shared" si="54"/>
        <v>19</v>
      </c>
    </row>
    <row r="1179" spans="1:8" x14ac:dyDescent="0.25">
      <c r="A1179" s="22">
        <v>41895.809027777781</v>
      </c>
      <c r="B1179">
        <v>489</v>
      </c>
      <c r="C1179">
        <v>94.7</v>
      </c>
      <c r="D1179">
        <v>12.6</v>
      </c>
      <c r="E1179">
        <v>8.1999999999999993</v>
      </c>
      <c r="G1179">
        <v>13</v>
      </c>
      <c r="H1179" s="23">
        <f t="shared" si="54"/>
        <v>19</v>
      </c>
    </row>
    <row r="1180" spans="1:8" x14ac:dyDescent="0.25">
      <c r="A1180" s="22">
        <v>41895.8125</v>
      </c>
      <c r="B1180">
        <v>490.6</v>
      </c>
      <c r="C1180">
        <v>94.6</v>
      </c>
      <c r="D1180">
        <v>12.7</v>
      </c>
      <c r="E1180">
        <v>8.3000000000000007</v>
      </c>
      <c r="G1180">
        <v>13</v>
      </c>
      <c r="H1180" s="23">
        <f t="shared" si="54"/>
        <v>19</v>
      </c>
    </row>
    <row r="1181" spans="1:8" x14ac:dyDescent="0.25">
      <c r="A1181" s="22">
        <v>41895.815972222219</v>
      </c>
      <c r="B1181">
        <v>488.1</v>
      </c>
      <c r="C1181">
        <v>94.6</v>
      </c>
      <c r="D1181">
        <v>12.8</v>
      </c>
      <c r="E1181">
        <v>8.3000000000000007</v>
      </c>
      <c r="G1181">
        <v>13</v>
      </c>
      <c r="H1181" s="23">
        <f t="shared" si="54"/>
        <v>19</v>
      </c>
    </row>
    <row r="1182" spans="1:8" x14ac:dyDescent="0.25">
      <c r="A1182" s="22">
        <v>41895.819444444445</v>
      </c>
      <c r="B1182">
        <v>490.4</v>
      </c>
      <c r="C1182">
        <v>94.6</v>
      </c>
      <c r="D1182">
        <v>12.8</v>
      </c>
      <c r="E1182">
        <v>8.4</v>
      </c>
      <c r="G1182">
        <v>13</v>
      </c>
      <c r="H1182" s="23">
        <f t="shared" si="54"/>
        <v>19</v>
      </c>
    </row>
    <row r="1183" spans="1:8" x14ac:dyDescent="0.25">
      <c r="A1183" s="22">
        <v>41895.822916666664</v>
      </c>
      <c r="B1183">
        <v>490.4</v>
      </c>
      <c r="C1183">
        <v>94.6</v>
      </c>
      <c r="D1183">
        <v>12.9</v>
      </c>
      <c r="E1183">
        <v>8.4</v>
      </c>
      <c r="G1183">
        <v>13</v>
      </c>
      <c r="H1183" s="23">
        <f t="shared" si="54"/>
        <v>19</v>
      </c>
    </row>
    <row r="1184" spans="1:8" x14ac:dyDescent="0.25">
      <c r="A1184" s="22">
        <v>41895.826388888891</v>
      </c>
      <c r="B1184">
        <v>489.7</v>
      </c>
      <c r="C1184">
        <v>94.5</v>
      </c>
      <c r="D1184">
        <v>12.9</v>
      </c>
      <c r="E1184">
        <v>8.5</v>
      </c>
      <c r="G1184">
        <v>13</v>
      </c>
      <c r="H1184" s="23">
        <f t="shared" si="54"/>
        <v>19</v>
      </c>
    </row>
    <row r="1185" spans="1:8" x14ac:dyDescent="0.25">
      <c r="A1185" s="22">
        <v>41895.829861111109</v>
      </c>
      <c r="B1185">
        <v>488.7</v>
      </c>
      <c r="C1185">
        <v>94.6</v>
      </c>
      <c r="D1185">
        <v>13</v>
      </c>
      <c r="E1185">
        <v>8.5</v>
      </c>
      <c r="G1185">
        <v>13</v>
      </c>
      <c r="H1185" s="23">
        <f t="shared" si="54"/>
        <v>19</v>
      </c>
    </row>
    <row r="1186" spans="1:8" x14ac:dyDescent="0.25">
      <c r="A1186" s="22">
        <v>41895.833333333336</v>
      </c>
      <c r="B1186">
        <v>490</v>
      </c>
      <c r="C1186">
        <v>94.6</v>
      </c>
      <c r="D1186">
        <v>13</v>
      </c>
      <c r="E1186">
        <v>8.6</v>
      </c>
      <c r="G1186">
        <v>13</v>
      </c>
      <c r="H1186" s="23">
        <f t="shared" si="54"/>
        <v>20</v>
      </c>
    </row>
    <row r="1187" spans="1:8" x14ac:dyDescent="0.25">
      <c r="A1187" s="22">
        <v>41895.836805555555</v>
      </c>
      <c r="B1187">
        <v>492.1</v>
      </c>
      <c r="C1187">
        <v>94.7</v>
      </c>
      <c r="D1187">
        <v>13</v>
      </c>
      <c r="E1187">
        <v>8.6</v>
      </c>
      <c r="G1187">
        <v>13</v>
      </c>
      <c r="H1187" s="23">
        <f t="shared" si="54"/>
        <v>20</v>
      </c>
    </row>
    <row r="1188" spans="1:8" x14ac:dyDescent="0.25">
      <c r="A1188" s="22">
        <v>41895.840277777781</v>
      </c>
      <c r="B1188">
        <v>494.4</v>
      </c>
      <c r="C1188">
        <v>94.7</v>
      </c>
      <c r="D1188">
        <v>13.1</v>
      </c>
      <c r="E1188">
        <v>8.6</v>
      </c>
      <c r="G1188">
        <v>13</v>
      </c>
      <c r="H1188" s="23">
        <f t="shared" si="54"/>
        <v>20</v>
      </c>
    </row>
    <row r="1189" spans="1:8" x14ac:dyDescent="0.25">
      <c r="A1189" s="22">
        <v>41895.84375</v>
      </c>
      <c r="B1189">
        <v>489</v>
      </c>
      <c r="C1189">
        <v>94.6</v>
      </c>
      <c r="D1189">
        <v>13.1</v>
      </c>
      <c r="E1189">
        <v>8.6</v>
      </c>
      <c r="G1189">
        <v>13</v>
      </c>
      <c r="H1189" s="23">
        <f t="shared" si="54"/>
        <v>20</v>
      </c>
    </row>
    <row r="1190" spans="1:8" x14ac:dyDescent="0.25">
      <c r="A1190" s="22">
        <v>41895.847222222219</v>
      </c>
      <c r="B1190">
        <v>490.9</v>
      </c>
      <c r="C1190">
        <v>94.7</v>
      </c>
      <c r="D1190">
        <v>13.1</v>
      </c>
      <c r="E1190">
        <v>8.6999999999999993</v>
      </c>
      <c r="G1190">
        <v>13</v>
      </c>
      <c r="H1190" s="23">
        <f t="shared" si="54"/>
        <v>20</v>
      </c>
    </row>
    <row r="1191" spans="1:8" x14ac:dyDescent="0.25">
      <c r="A1191" s="22">
        <v>41895.850694444445</v>
      </c>
      <c r="B1191">
        <v>489.1</v>
      </c>
      <c r="C1191">
        <v>94.7</v>
      </c>
      <c r="D1191">
        <v>13.2</v>
      </c>
      <c r="E1191">
        <v>8.6999999999999993</v>
      </c>
      <c r="G1191">
        <v>13</v>
      </c>
      <c r="H1191" s="23">
        <f t="shared" si="54"/>
        <v>20</v>
      </c>
    </row>
    <row r="1192" spans="1:8" x14ac:dyDescent="0.25">
      <c r="A1192" s="22">
        <v>41895.854166666664</v>
      </c>
      <c r="B1192">
        <v>488.8</v>
      </c>
      <c r="C1192">
        <v>94.7</v>
      </c>
      <c r="D1192">
        <v>13.2</v>
      </c>
      <c r="E1192">
        <v>8.8000000000000007</v>
      </c>
      <c r="G1192">
        <v>13</v>
      </c>
      <c r="H1192" s="23">
        <f t="shared" si="54"/>
        <v>20</v>
      </c>
    </row>
    <row r="1193" spans="1:8" x14ac:dyDescent="0.25">
      <c r="A1193" s="22">
        <v>41895.857638888891</v>
      </c>
      <c r="B1193">
        <v>491.9</v>
      </c>
      <c r="C1193">
        <v>94.6</v>
      </c>
      <c r="D1193">
        <v>13.2</v>
      </c>
      <c r="E1193">
        <v>8.8000000000000007</v>
      </c>
      <c r="G1193">
        <v>13</v>
      </c>
      <c r="H1193" s="23">
        <f t="shared" si="54"/>
        <v>20</v>
      </c>
    </row>
    <row r="1194" spans="1:8" x14ac:dyDescent="0.25">
      <c r="A1194" s="22">
        <v>41895.861111111109</v>
      </c>
      <c r="B1194">
        <v>493.4</v>
      </c>
      <c r="C1194">
        <v>94.6</v>
      </c>
      <c r="D1194">
        <v>13.3</v>
      </c>
      <c r="E1194">
        <v>8.8000000000000007</v>
      </c>
      <c r="G1194">
        <v>13</v>
      </c>
      <c r="H1194" s="23">
        <f t="shared" si="54"/>
        <v>20</v>
      </c>
    </row>
    <row r="1195" spans="1:8" x14ac:dyDescent="0.25">
      <c r="A1195" s="22">
        <v>41895.864583333336</v>
      </c>
      <c r="B1195">
        <v>493.2</v>
      </c>
      <c r="C1195">
        <v>94.7</v>
      </c>
      <c r="D1195">
        <v>13.3</v>
      </c>
      <c r="E1195">
        <v>8.8000000000000007</v>
      </c>
      <c r="G1195">
        <v>13</v>
      </c>
      <c r="H1195" s="23">
        <f t="shared" si="54"/>
        <v>20</v>
      </c>
    </row>
    <row r="1196" spans="1:8" x14ac:dyDescent="0.25">
      <c r="A1196" s="22">
        <v>41895.868055555555</v>
      </c>
      <c r="B1196">
        <v>493.2</v>
      </c>
      <c r="C1196">
        <v>94.7</v>
      </c>
      <c r="D1196">
        <v>13.3</v>
      </c>
      <c r="E1196">
        <v>8.9</v>
      </c>
      <c r="G1196">
        <v>13</v>
      </c>
      <c r="H1196" s="23">
        <f t="shared" si="54"/>
        <v>20</v>
      </c>
    </row>
    <row r="1197" spans="1:8" x14ac:dyDescent="0.25">
      <c r="A1197" s="22">
        <v>41895.871527777781</v>
      </c>
      <c r="B1197">
        <v>493.9</v>
      </c>
      <c r="C1197">
        <v>94.6</v>
      </c>
      <c r="D1197">
        <v>13.4</v>
      </c>
      <c r="E1197">
        <v>8.9</v>
      </c>
      <c r="G1197">
        <v>13</v>
      </c>
      <c r="H1197" s="23">
        <f t="shared" si="54"/>
        <v>20</v>
      </c>
    </row>
    <row r="1198" spans="1:8" x14ac:dyDescent="0.25">
      <c r="A1198" s="22">
        <v>41895.875</v>
      </c>
      <c r="B1198">
        <v>491.9</v>
      </c>
      <c r="C1198">
        <v>94.7</v>
      </c>
      <c r="D1198">
        <v>13.4</v>
      </c>
      <c r="E1198">
        <v>8.9</v>
      </c>
      <c r="G1198">
        <v>13</v>
      </c>
      <c r="H1198" s="23">
        <f t="shared" si="54"/>
        <v>21</v>
      </c>
    </row>
    <row r="1199" spans="1:8" x14ac:dyDescent="0.25">
      <c r="A1199" s="22">
        <v>41895.878472222219</v>
      </c>
      <c r="B1199">
        <v>489.9</v>
      </c>
      <c r="C1199">
        <v>94.7</v>
      </c>
      <c r="D1199">
        <v>13.4</v>
      </c>
      <c r="E1199">
        <v>9</v>
      </c>
      <c r="G1199">
        <v>13</v>
      </c>
      <c r="H1199" s="23">
        <f t="shared" si="54"/>
        <v>21</v>
      </c>
    </row>
    <row r="1200" spans="1:8" x14ac:dyDescent="0.25">
      <c r="A1200" s="22">
        <v>41895.881944444445</v>
      </c>
      <c r="B1200">
        <v>490.9</v>
      </c>
      <c r="C1200">
        <v>94.8</v>
      </c>
      <c r="D1200">
        <v>13.4</v>
      </c>
      <c r="E1200">
        <v>9</v>
      </c>
      <c r="G1200">
        <v>13</v>
      </c>
      <c r="H1200" s="23">
        <f t="shared" si="54"/>
        <v>21</v>
      </c>
    </row>
    <row r="1201" spans="1:8" x14ac:dyDescent="0.25">
      <c r="A1201" s="22">
        <v>41895.885416666664</v>
      </c>
      <c r="B1201">
        <v>494.8</v>
      </c>
      <c r="C1201">
        <v>94.7</v>
      </c>
      <c r="D1201">
        <v>13.4</v>
      </c>
      <c r="E1201">
        <v>8.9</v>
      </c>
      <c r="G1201">
        <v>13</v>
      </c>
      <c r="H1201" s="23">
        <f t="shared" si="54"/>
        <v>21</v>
      </c>
    </row>
    <row r="1202" spans="1:8" x14ac:dyDescent="0.25">
      <c r="A1202" s="22">
        <v>41895.888888888891</v>
      </c>
      <c r="B1202">
        <v>491</v>
      </c>
      <c r="C1202">
        <v>94.6</v>
      </c>
      <c r="D1202">
        <v>13.4</v>
      </c>
      <c r="E1202">
        <v>9</v>
      </c>
      <c r="G1202">
        <v>13</v>
      </c>
      <c r="H1202" s="23">
        <f t="shared" si="54"/>
        <v>21</v>
      </c>
    </row>
    <row r="1203" spans="1:8" x14ac:dyDescent="0.25">
      <c r="A1203" s="22">
        <v>41895.892361111109</v>
      </c>
      <c r="B1203">
        <v>491.3</v>
      </c>
      <c r="C1203">
        <v>94.7</v>
      </c>
      <c r="D1203">
        <v>13.4</v>
      </c>
      <c r="E1203">
        <v>9</v>
      </c>
      <c r="G1203">
        <v>13</v>
      </c>
      <c r="H1203" s="23">
        <f t="shared" si="54"/>
        <v>21</v>
      </c>
    </row>
    <row r="1204" spans="1:8" x14ac:dyDescent="0.25">
      <c r="A1204" s="22">
        <v>41895.895833333336</v>
      </c>
      <c r="B1204">
        <v>492.9</v>
      </c>
      <c r="C1204">
        <v>94.7</v>
      </c>
      <c r="D1204">
        <v>13.5</v>
      </c>
      <c r="E1204">
        <v>9</v>
      </c>
      <c r="G1204">
        <v>13</v>
      </c>
      <c r="H1204" s="23">
        <f t="shared" si="54"/>
        <v>21</v>
      </c>
    </row>
    <row r="1205" spans="1:8" x14ac:dyDescent="0.25">
      <c r="A1205" s="22">
        <v>41895.899305555555</v>
      </c>
      <c r="B1205">
        <v>493.7</v>
      </c>
      <c r="C1205">
        <v>94.7</v>
      </c>
      <c r="D1205">
        <v>13.5</v>
      </c>
      <c r="E1205">
        <v>9</v>
      </c>
      <c r="G1205">
        <v>13</v>
      </c>
      <c r="H1205" s="23">
        <f t="shared" si="54"/>
        <v>21</v>
      </c>
    </row>
    <row r="1206" spans="1:8" x14ac:dyDescent="0.25">
      <c r="A1206" s="22">
        <v>41895.902777777781</v>
      </c>
      <c r="B1206">
        <v>494.2</v>
      </c>
      <c r="C1206">
        <v>94.7</v>
      </c>
      <c r="D1206">
        <v>13.5</v>
      </c>
      <c r="E1206">
        <v>9</v>
      </c>
      <c r="G1206">
        <v>13</v>
      </c>
      <c r="H1206" s="23">
        <f t="shared" si="54"/>
        <v>21</v>
      </c>
    </row>
    <row r="1207" spans="1:8" x14ac:dyDescent="0.25">
      <c r="A1207" s="22">
        <v>41895.90625</v>
      </c>
      <c r="B1207">
        <v>495.4</v>
      </c>
      <c r="C1207">
        <v>94.7</v>
      </c>
      <c r="D1207">
        <v>13.5</v>
      </c>
      <c r="E1207">
        <v>9</v>
      </c>
      <c r="G1207">
        <v>13</v>
      </c>
      <c r="H1207" s="23">
        <f t="shared" si="54"/>
        <v>21</v>
      </c>
    </row>
    <row r="1208" spans="1:8" x14ac:dyDescent="0.25">
      <c r="A1208" s="22">
        <v>41895.909722222219</v>
      </c>
      <c r="B1208">
        <v>495.4</v>
      </c>
      <c r="C1208">
        <v>94.7</v>
      </c>
      <c r="D1208">
        <v>13.5</v>
      </c>
      <c r="E1208">
        <v>9</v>
      </c>
      <c r="G1208">
        <v>13</v>
      </c>
      <c r="H1208" s="23">
        <f t="shared" si="54"/>
        <v>21</v>
      </c>
    </row>
    <row r="1209" spans="1:8" x14ac:dyDescent="0.25">
      <c r="A1209" s="22">
        <v>41895.913194444445</v>
      </c>
      <c r="B1209">
        <v>494.8</v>
      </c>
      <c r="C1209">
        <v>94.8</v>
      </c>
      <c r="D1209">
        <v>13.5</v>
      </c>
      <c r="E1209">
        <v>9</v>
      </c>
      <c r="G1209">
        <v>13</v>
      </c>
      <c r="H1209" s="23">
        <f t="shared" si="54"/>
        <v>21</v>
      </c>
    </row>
    <row r="1210" spans="1:8" x14ac:dyDescent="0.25">
      <c r="A1210" s="22">
        <v>41895.916666666664</v>
      </c>
      <c r="B1210">
        <v>494.2</v>
      </c>
      <c r="C1210">
        <v>94.7</v>
      </c>
      <c r="D1210">
        <v>13.5</v>
      </c>
      <c r="E1210">
        <v>9</v>
      </c>
      <c r="G1210">
        <v>13</v>
      </c>
      <c r="H1210" s="23">
        <f t="shared" si="54"/>
        <v>22</v>
      </c>
    </row>
    <row r="1211" spans="1:8" x14ac:dyDescent="0.25">
      <c r="A1211" s="22">
        <v>41895.920138888891</v>
      </c>
      <c r="B1211">
        <v>494.5</v>
      </c>
      <c r="C1211">
        <v>94.6</v>
      </c>
      <c r="D1211">
        <v>13.5</v>
      </c>
      <c r="E1211">
        <v>9</v>
      </c>
      <c r="G1211">
        <v>13</v>
      </c>
      <c r="H1211" s="23">
        <f t="shared" si="54"/>
        <v>22</v>
      </c>
    </row>
    <row r="1212" spans="1:8" x14ac:dyDescent="0.25">
      <c r="A1212" s="22">
        <v>41895.923611111109</v>
      </c>
      <c r="B1212">
        <v>494.6</v>
      </c>
      <c r="C1212">
        <v>94.7</v>
      </c>
      <c r="D1212">
        <v>13.5</v>
      </c>
      <c r="E1212">
        <v>9</v>
      </c>
      <c r="G1212">
        <v>13</v>
      </c>
      <c r="H1212" s="23">
        <f t="shared" si="54"/>
        <v>22</v>
      </c>
    </row>
    <row r="1213" spans="1:8" x14ac:dyDescent="0.25">
      <c r="A1213" s="22">
        <v>41895.927083333336</v>
      </c>
      <c r="B1213">
        <v>493.1</v>
      </c>
      <c r="C1213">
        <v>94.7</v>
      </c>
      <c r="D1213">
        <v>13.5</v>
      </c>
      <c r="E1213">
        <v>9</v>
      </c>
      <c r="G1213">
        <v>13</v>
      </c>
      <c r="H1213" s="23">
        <f t="shared" si="54"/>
        <v>22</v>
      </c>
    </row>
    <row r="1214" spans="1:8" x14ac:dyDescent="0.25">
      <c r="A1214" s="22">
        <v>41895.930555555555</v>
      </c>
      <c r="B1214">
        <v>490.4</v>
      </c>
      <c r="C1214">
        <v>94.8</v>
      </c>
      <c r="D1214">
        <v>13.5</v>
      </c>
      <c r="E1214">
        <v>9.1</v>
      </c>
      <c r="G1214">
        <v>13</v>
      </c>
      <c r="H1214" s="23">
        <f t="shared" si="54"/>
        <v>22</v>
      </c>
    </row>
    <row r="1215" spans="1:8" x14ac:dyDescent="0.25">
      <c r="A1215" s="22">
        <v>41895.934027777781</v>
      </c>
      <c r="B1215">
        <v>490</v>
      </c>
      <c r="C1215">
        <v>94.7</v>
      </c>
      <c r="D1215">
        <v>13.5</v>
      </c>
      <c r="E1215">
        <v>9.1</v>
      </c>
      <c r="G1215">
        <v>13</v>
      </c>
      <c r="H1215" s="23">
        <f t="shared" si="54"/>
        <v>22</v>
      </c>
    </row>
    <row r="1216" spans="1:8" x14ac:dyDescent="0.25">
      <c r="A1216" s="22">
        <v>41895.9375</v>
      </c>
      <c r="B1216">
        <v>492.1</v>
      </c>
      <c r="C1216">
        <v>94.7</v>
      </c>
      <c r="D1216">
        <v>13.5</v>
      </c>
      <c r="E1216">
        <v>9.1</v>
      </c>
      <c r="G1216">
        <v>13</v>
      </c>
      <c r="H1216" s="23">
        <f t="shared" si="54"/>
        <v>22</v>
      </c>
    </row>
    <row r="1217" spans="1:8" x14ac:dyDescent="0.25">
      <c r="A1217" s="22">
        <v>41895.940972222219</v>
      </c>
      <c r="B1217">
        <v>491</v>
      </c>
      <c r="C1217">
        <v>94.7</v>
      </c>
      <c r="D1217">
        <v>13.5</v>
      </c>
      <c r="E1217">
        <v>9</v>
      </c>
      <c r="G1217">
        <v>13</v>
      </c>
      <c r="H1217" s="23">
        <f t="shared" si="54"/>
        <v>22</v>
      </c>
    </row>
    <row r="1218" spans="1:8" x14ac:dyDescent="0.25">
      <c r="A1218" s="22">
        <v>41895.944444444445</v>
      </c>
      <c r="B1218">
        <v>495.3</v>
      </c>
      <c r="C1218">
        <v>94.7</v>
      </c>
      <c r="D1218">
        <v>13.4</v>
      </c>
      <c r="E1218">
        <v>8.9</v>
      </c>
      <c r="G1218">
        <v>13</v>
      </c>
      <c r="H1218" s="23">
        <f t="shared" si="54"/>
        <v>22</v>
      </c>
    </row>
    <row r="1219" spans="1:8" x14ac:dyDescent="0.25">
      <c r="A1219" s="22">
        <v>41895.947916666664</v>
      </c>
      <c r="B1219">
        <v>491.8</v>
      </c>
      <c r="C1219">
        <v>94.7</v>
      </c>
      <c r="D1219">
        <v>13.6</v>
      </c>
      <c r="E1219">
        <v>9.1</v>
      </c>
      <c r="G1219">
        <v>13</v>
      </c>
      <c r="H1219" s="23">
        <f t="shared" si="54"/>
        <v>22</v>
      </c>
    </row>
    <row r="1220" spans="1:8" x14ac:dyDescent="0.25">
      <c r="A1220" s="22">
        <v>41895.951388888891</v>
      </c>
      <c r="B1220">
        <v>489.1</v>
      </c>
      <c r="C1220">
        <v>94.6</v>
      </c>
      <c r="D1220">
        <v>13.3</v>
      </c>
      <c r="E1220">
        <v>8.8000000000000007</v>
      </c>
      <c r="G1220">
        <v>13</v>
      </c>
      <c r="H1220" s="23">
        <f t="shared" si="54"/>
        <v>22</v>
      </c>
    </row>
    <row r="1221" spans="1:8" x14ac:dyDescent="0.25">
      <c r="A1221" s="22">
        <v>41895.954861111109</v>
      </c>
      <c r="B1221">
        <v>492.4</v>
      </c>
      <c r="C1221">
        <v>94.7</v>
      </c>
      <c r="D1221">
        <v>13.2</v>
      </c>
      <c r="E1221">
        <v>8.6999999999999993</v>
      </c>
      <c r="G1221">
        <v>13</v>
      </c>
      <c r="H1221" s="23">
        <f t="shared" si="54"/>
        <v>22</v>
      </c>
    </row>
    <row r="1222" spans="1:8" x14ac:dyDescent="0.25">
      <c r="A1222" s="22">
        <v>41895.958333333336</v>
      </c>
      <c r="B1222">
        <v>491.1</v>
      </c>
      <c r="C1222">
        <v>94.8</v>
      </c>
      <c r="D1222">
        <v>13.1</v>
      </c>
      <c r="E1222">
        <v>8.6999999999999993</v>
      </c>
      <c r="G1222">
        <v>13</v>
      </c>
      <c r="H1222" s="23">
        <f t="shared" ref="H1222:H1285" si="55">+HOUR(A1222)</f>
        <v>23</v>
      </c>
    </row>
    <row r="1223" spans="1:8" x14ac:dyDescent="0.25">
      <c r="A1223" s="22">
        <v>41895.961805555555</v>
      </c>
      <c r="B1223">
        <v>490.9</v>
      </c>
      <c r="C1223">
        <v>94.6</v>
      </c>
      <c r="D1223">
        <v>13.1</v>
      </c>
      <c r="E1223">
        <v>8.6</v>
      </c>
      <c r="G1223">
        <v>13</v>
      </c>
      <c r="H1223" s="23">
        <f t="shared" si="55"/>
        <v>23</v>
      </c>
    </row>
    <row r="1224" spans="1:8" x14ac:dyDescent="0.25">
      <c r="A1224" s="22">
        <v>41895.965277777781</v>
      </c>
      <c r="B1224">
        <v>490.5</v>
      </c>
      <c r="C1224">
        <v>94.6</v>
      </c>
      <c r="D1224">
        <v>13</v>
      </c>
      <c r="E1224">
        <v>8.6</v>
      </c>
      <c r="G1224">
        <v>13</v>
      </c>
      <c r="H1224" s="23">
        <f t="shared" si="55"/>
        <v>23</v>
      </c>
    </row>
    <row r="1225" spans="1:8" x14ac:dyDescent="0.25">
      <c r="A1225" s="22">
        <v>41895.96875</v>
      </c>
      <c r="B1225">
        <v>488.6</v>
      </c>
      <c r="C1225">
        <v>94.7</v>
      </c>
      <c r="D1225">
        <v>12.9</v>
      </c>
      <c r="E1225">
        <v>8.5</v>
      </c>
      <c r="G1225">
        <v>13</v>
      </c>
      <c r="H1225" s="23">
        <f t="shared" si="55"/>
        <v>23</v>
      </c>
    </row>
    <row r="1226" spans="1:8" x14ac:dyDescent="0.25">
      <c r="A1226" s="22">
        <v>41895.972222222219</v>
      </c>
      <c r="B1226">
        <v>488.1</v>
      </c>
      <c r="C1226">
        <v>94.6</v>
      </c>
      <c r="D1226">
        <v>12.8</v>
      </c>
      <c r="E1226">
        <v>8.4</v>
      </c>
      <c r="G1226">
        <v>13</v>
      </c>
      <c r="H1226" s="23">
        <f t="shared" si="55"/>
        <v>23</v>
      </c>
    </row>
    <row r="1227" spans="1:8" x14ac:dyDescent="0.25">
      <c r="A1227" s="22">
        <v>41895.975694444445</v>
      </c>
      <c r="B1227">
        <v>489.7</v>
      </c>
      <c r="C1227">
        <v>94.7</v>
      </c>
      <c r="D1227">
        <v>12.8</v>
      </c>
      <c r="E1227">
        <v>8.3000000000000007</v>
      </c>
      <c r="G1227">
        <v>13</v>
      </c>
      <c r="H1227" s="23">
        <f t="shared" si="55"/>
        <v>23</v>
      </c>
    </row>
    <row r="1228" spans="1:8" x14ac:dyDescent="0.25">
      <c r="A1228" s="22">
        <v>41895.979166666664</v>
      </c>
      <c r="B1228">
        <v>489.3</v>
      </c>
      <c r="C1228">
        <v>94.6</v>
      </c>
      <c r="D1228">
        <v>12.7</v>
      </c>
      <c r="E1228">
        <v>8.3000000000000007</v>
      </c>
      <c r="G1228">
        <v>13</v>
      </c>
      <c r="H1228" s="23">
        <f t="shared" si="55"/>
        <v>23</v>
      </c>
    </row>
    <row r="1229" spans="1:8" x14ac:dyDescent="0.25">
      <c r="A1229" s="22">
        <v>41895.982638888891</v>
      </c>
      <c r="B1229">
        <v>488.9</v>
      </c>
      <c r="C1229">
        <v>94.5</v>
      </c>
      <c r="D1229">
        <v>12.7</v>
      </c>
      <c r="E1229">
        <v>8.3000000000000007</v>
      </c>
      <c r="G1229">
        <v>13</v>
      </c>
      <c r="H1229" s="23">
        <f t="shared" si="55"/>
        <v>23</v>
      </c>
    </row>
    <row r="1230" spans="1:8" x14ac:dyDescent="0.25">
      <c r="A1230" s="22">
        <v>41895.986111111109</v>
      </c>
      <c r="B1230">
        <v>488.7</v>
      </c>
      <c r="C1230">
        <v>94.6</v>
      </c>
      <c r="D1230">
        <v>12.6</v>
      </c>
      <c r="E1230">
        <v>8.1999999999999993</v>
      </c>
      <c r="G1230">
        <v>13</v>
      </c>
      <c r="H1230" s="23">
        <f t="shared" si="55"/>
        <v>23</v>
      </c>
    </row>
    <row r="1231" spans="1:8" x14ac:dyDescent="0.25">
      <c r="A1231" s="22">
        <v>41895.989583333336</v>
      </c>
      <c r="B1231">
        <v>488.6</v>
      </c>
      <c r="C1231">
        <v>94.6</v>
      </c>
      <c r="D1231">
        <v>12.6</v>
      </c>
      <c r="E1231">
        <v>8.1</v>
      </c>
      <c r="G1231">
        <v>13</v>
      </c>
      <c r="H1231" s="23">
        <f t="shared" si="55"/>
        <v>23</v>
      </c>
    </row>
    <row r="1232" spans="1:8" x14ac:dyDescent="0.25">
      <c r="A1232" s="22">
        <v>41895.993055555555</v>
      </c>
      <c r="B1232">
        <v>490</v>
      </c>
      <c r="C1232">
        <v>94.6</v>
      </c>
      <c r="D1232">
        <v>12.5</v>
      </c>
      <c r="E1232">
        <v>8.1</v>
      </c>
      <c r="G1232">
        <v>13</v>
      </c>
      <c r="H1232" s="23">
        <f t="shared" si="55"/>
        <v>23</v>
      </c>
    </row>
    <row r="1233" spans="1:8" x14ac:dyDescent="0.25">
      <c r="A1233" s="22">
        <v>41895.996527777781</v>
      </c>
      <c r="B1233">
        <v>489.5</v>
      </c>
      <c r="C1233">
        <v>94.5</v>
      </c>
      <c r="D1233">
        <v>12.5</v>
      </c>
      <c r="E1233">
        <v>8</v>
      </c>
      <c r="G1233">
        <v>13</v>
      </c>
      <c r="H1233" s="23">
        <f t="shared" si="55"/>
        <v>23</v>
      </c>
    </row>
    <row r="1234" spans="1:8" x14ac:dyDescent="0.25">
      <c r="A1234" s="22">
        <v>41896</v>
      </c>
      <c r="B1234">
        <v>489.6</v>
      </c>
      <c r="C1234">
        <v>94.5</v>
      </c>
      <c r="D1234">
        <v>12.4</v>
      </c>
      <c r="E1234">
        <v>8</v>
      </c>
      <c r="G1234">
        <v>14</v>
      </c>
      <c r="H1234" s="23">
        <f t="shared" si="55"/>
        <v>0</v>
      </c>
    </row>
    <row r="1235" spans="1:8" x14ac:dyDescent="0.25">
      <c r="A1235" s="22">
        <v>41896.003472222219</v>
      </c>
      <c r="B1235">
        <v>489.6</v>
      </c>
      <c r="C1235">
        <v>94.5</v>
      </c>
      <c r="D1235">
        <v>12.4</v>
      </c>
      <c r="E1235">
        <v>8</v>
      </c>
      <c r="G1235">
        <v>14</v>
      </c>
      <c r="H1235" s="23">
        <f t="shared" si="55"/>
        <v>0</v>
      </c>
    </row>
    <row r="1236" spans="1:8" x14ac:dyDescent="0.25">
      <c r="A1236" s="22">
        <v>41896.006944444445</v>
      </c>
      <c r="B1236">
        <v>489.3</v>
      </c>
      <c r="C1236">
        <v>94.6</v>
      </c>
      <c r="D1236">
        <v>12.3</v>
      </c>
      <c r="E1236">
        <v>7.9</v>
      </c>
      <c r="G1236">
        <v>14</v>
      </c>
      <c r="H1236" s="23">
        <f t="shared" si="55"/>
        <v>0</v>
      </c>
    </row>
    <row r="1237" spans="1:8" x14ac:dyDescent="0.25">
      <c r="A1237" s="22">
        <v>41896.010416666664</v>
      </c>
      <c r="B1237">
        <v>489.2</v>
      </c>
      <c r="C1237">
        <v>94.5</v>
      </c>
      <c r="D1237">
        <v>12.3</v>
      </c>
      <c r="E1237">
        <v>7.9</v>
      </c>
      <c r="G1237">
        <v>14</v>
      </c>
      <c r="H1237" s="23">
        <f t="shared" si="55"/>
        <v>0</v>
      </c>
    </row>
    <row r="1238" spans="1:8" x14ac:dyDescent="0.25">
      <c r="A1238" s="22">
        <v>41896.013888888891</v>
      </c>
      <c r="B1238">
        <v>488.7</v>
      </c>
      <c r="C1238">
        <v>94.5</v>
      </c>
      <c r="D1238">
        <v>12.3</v>
      </c>
      <c r="E1238">
        <v>7.8</v>
      </c>
      <c r="G1238">
        <v>14</v>
      </c>
      <c r="H1238" s="23">
        <f t="shared" si="55"/>
        <v>0</v>
      </c>
    </row>
    <row r="1239" spans="1:8" x14ac:dyDescent="0.25">
      <c r="A1239" s="22">
        <v>41896.017361111109</v>
      </c>
      <c r="B1239">
        <v>487.8</v>
      </c>
      <c r="C1239">
        <v>94.6</v>
      </c>
      <c r="D1239">
        <v>12.2</v>
      </c>
      <c r="E1239">
        <v>7.8</v>
      </c>
      <c r="G1239">
        <v>14</v>
      </c>
      <c r="H1239" s="23">
        <f t="shared" si="55"/>
        <v>0</v>
      </c>
    </row>
    <row r="1240" spans="1:8" x14ac:dyDescent="0.25">
      <c r="A1240" s="22">
        <v>41896.020833333336</v>
      </c>
      <c r="B1240">
        <v>487.4</v>
      </c>
      <c r="C1240">
        <v>94.5</v>
      </c>
      <c r="D1240">
        <v>12.2</v>
      </c>
      <c r="E1240">
        <v>7.8</v>
      </c>
      <c r="G1240">
        <v>14</v>
      </c>
      <c r="H1240" s="23">
        <f t="shared" si="55"/>
        <v>0</v>
      </c>
    </row>
    <row r="1241" spans="1:8" x14ac:dyDescent="0.25">
      <c r="A1241" s="22">
        <v>41896.024305555555</v>
      </c>
      <c r="B1241">
        <v>486.1</v>
      </c>
      <c r="C1241">
        <v>94.5</v>
      </c>
      <c r="D1241">
        <v>12.2</v>
      </c>
      <c r="E1241">
        <v>7.7</v>
      </c>
      <c r="G1241">
        <v>14</v>
      </c>
      <c r="H1241" s="23">
        <f t="shared" si="55"/>
        <v>0</v>
      </c>
    </row>
    <row r="1242" spans="1:8" x14ac:dyDescent="0.25">
      <c r="A1242" s="22">
        <v>41896.027777777781</v>
      </c>
      <c r="B1242">
        <v>487</v>
      </c>
      <c r="C1242">
        <v>94.4</v>
      </c>
      <c r="D1242">
        <v>12.1</v>
      </c>
      <c r="E1242">
        <v>7.7</v>
      </c>
      <c r="G1242">
        <v>14</v>
      </c>
      <c r="H1242" s="23">
        <f t="shared" si="55"/>
        <v>0</v>
      </c>
    </row>
    <row r="1243" spans="1:8" x14ac:dyDescent="0.25">
      <c r="A1243" s="22">
        <v>41896.03125</v>
      </c>
      <c r="B1243">
        <v>486.4</v>
      </c>
      <c r="C1243">
        <v>94.4</v>
      </c>
      <c r="D1243">
        <v>12.1</v>
      </c>
      <c r="E1243">
        <v>7.7</v>
      </c>
      <c r="G1243">
        <v>14</v>
      </c>
      <c r="H1243" s="23">
        <f t="shared" si="55"/>
        <v>0</v>
      </c>
    </row>
    <row r="1244" spans="1:8" x14ac:dyDescent="0.25">
      <c r="A1244" s="22">
        <v>41896.034722222219</v>
      </c>
      <c r="B1244">
        <v>486.4</v>
      </c>
      <c r="C1244">
        <v>94.5</v>
      </c>
      <c r="D1244">
        <v>12</v>
      </c>
      <c r="E1244">
        <v>7.6</v>
      </c>
      <c r="G1244">
        <v>14</v>
      </c>
      <c r="H1244" s="23">
        <f t="shared" si="55"/>
        <v>0</v>
      </c>
    </row>
    <row r="1245" spans="1:8" x14ac:dyDescent="0.25">
      <c r="A1245" s="22">
        <v>41896.038194444445</v>
      </c>
      <c r="B1245">
        <v>486.4</v>
      </c>
      <c r="C1245">
        <v>94.4</v>
      </c>
      <c r="D1245">
        <v>12</v>
      </c>
      <c r="E1245">
        <v>7.6</v>
      </c>
      <c r="G1245">
        <v>14</v>
      </c>
      <c r="H1245" s="23">
        <f t="shared" si="55"/>
        <v>0</v>
      </c>
    </row>
    <row r="1246" spans="1:8" x14ac:dyDescent="0.25">
      <c r="A1246" s="22">
        <v>41896.041666666664</v>
      </c>
      <c r="B1246">
        <v>484.2</v>
      </c>
      <c r="C1246">
        <v>94.3</v>
      </c>
      <c r="D1246">
        <v>12</v>
      </c>
      <c r="E1246">
        <v>7.6</v>
      </c>
      <c r="G1246">
        <v>14</v>
      </c>
      <c r="H1246" s="23">
        <f t="shared" si="55"/>
        <v>1</v>
      </c>
    </row>
    <row r="1247" spans="1:8" x14ac:dyDescent="0.25">
      <c r="A1247" s="22">
        <v>41896.045138888891</v>
      </c>
      <c r="B1247">
        <v>484.3</v>
      </c>
      <c r="C1247">
        <v>94.3</v>
      </c>
      <c r="D1247">
        <v>11.9</v>
      </c>
      <c r="E1247">
        <v>7.5</v>
      </c>
      <c r="G1247">
        <v>14</v>
      </c>
      <c r="H1247" s="23">
        <f t="shared" si="55"/>
        <v>1</v>
      </c>
    </row>
    <row r="1248" spans="1:8" x14ac:dyDescent="0.25">
      <c r="A1248" s="22">
        <v>41896.048611111109</v>
      </c>
      <c r="B1248">
        <v>485.2</v>
      </c>
      <c r="C1248">
        <v>94.5</v>
      </c>
      <c r="D1248">
        <v>11.9</v>
      </c>
      <c r="E1248">
        <v>7.5</v>
      </c>
      <c r="G1248">
        <v>14</v>
      </c>
      <c r="H1248" s="23">
        <f t="shared" si="55"/>
        <v>1</v>
      </c>
    </row>
    <row r="1249" spans="1:8" x14ac:dyDescent="0.25">
      <c r="A1249" s="22">
        <v>41896.052083333336</v>
      </c>
      <c r="B1249">
        <v>483.4</v>
      </c>
      <c r="C1249">
        <v>94.4</v>
      </c>
      <c r="D1249">
        <v>11.9</v>
      </c>
      <c r="E1249">
        <v>7.5</v>
      </c>
      <c r="G1249">
        <v>14</v>
      </c>
      <c r="H1249" s="23">
        <f t="shared" si="55"/>
        <v>1</v>
      </c>
    </row>
    <row r="1250" spans="1:8" x14ac:dyDescent="0.25">
      <c r="A1250" s="22">
        <v>41896.055555555555</v>
      </c>
      <c r="B1250">
        <v>482.2</v>
      </c>
      <c r="C1250">
        <v>94.4</v>
      </c>
      <c r="D1250">
        <v>11.8</v>
      </c>
      <c r="E1250">
        <v>7.4</v>
      </c>
      <c r="G1250">
        <v>14</v>
      </c>
      <c r="H1250" s="23">
        <f t="shared" si="55"/>
        <v>1</v>
      </c>
    </row>
    <row r="1251" spans="1:8" x14ac:dyDescent="0.25">
      <c r="A1251" s="22">
        <v>41896.059027777781</v>
      </c>
      <c r="B1251">
        <v>481.5</v>
      </c>
      <c r="C1251">
        <v>94.4</v>
      </c>
      <c r="D1251">
        <v>11.8</v>
      </c>
      <c r="E1251">
        <v>7.4</v>
      </c>
      <c r="G1251">
        <v>14</v>
      </c>
      <c r="H1251" s="23">
        <f t="shared" si="55"/>
        <v>1</v>
      </c>
    </row>
    <row r="1252" spans="1:8" x14ac:dyDescent="0.25">
      <c r="A1252" s="22">
        <v>41896.0625</v>
      </c>
      <c r="B1252">
        <v>481.1</v>
      </c>
      <c r="C1252">
        <v>94.4</v>
      </c>
      <c r="D1252">
        <v>11.8</v>
      </c>
      <c r="E1252">
        <v>7.4</v>
      </c>
      <c r="G1252">
        <v>14</v>
      </c>
      <c r="H1252" s="23">
        <f t="shared" si="55"/>
        <v>1</v>
      </c>
    </row>
    <row r="1253" spans="1:8" x14ac:dyDescent="0.25">
      <c r="A1253" s="22">
        <v>41896.065972222219</v>
      </c>
      <c r="B1253">
        <v>479.5</v>
      </c>
      <c r="C1253">
        <v>94.5</v>
      </c>
      <c r="D1253">
        <v>11.8</v>
      </c>
      <c r="E1253">
        <v>7.4</v>
      </c>
      <c r="G1253">
        <v>14</v>
      </c>
      <c r="H1253" s="23">
        <f t="shared" si="55"/>
        <v>1</v>
      </c>
    </row>
    <row r="1254" spans="1:8" x14ac:dyDescent="0.25">
      <c r="A1254" s="22">
        <v>41896.069444444445</v>
      </c>
      <c r="B1254">
        <v>478</v>
      </c>
      <c r="C1254">
        <v>94.3</v>
      </c>
      <c r="D1254">
        <v>11.7</v>
      </c>
      <c r="E1254">
        <v>7.4</v>
      </c>
      <c r="G1254">
        <v>14</v>
      </c>
      <c r="H1254" s="23">
        <f t="shared" si="55"/>
        <v>1</v>
      </c>
    </row>
    <row r="1255" spans="1:8" x14ac:dyDescent="0.25">
      <c r="A1255" s="22">
        <v>41896.072916666664</v>
      </c>
      <c r="B1255">
        <v>477.9</v>
      </c>
      <c r="C1255">
        <v>94.3</v>
      </c>
      <c r="D1255">
        <v>11.7</v>
      </c>
      <c r="E1255">
        <v>7.3</v>
      </c>
      <c r="G1255">
        <v>14</v>
      </c>
      <c r="H1255" s="23">
        <f t="shared" si="55"/>
        <v>1</v>
      </c>
    </row>
    <row r="1256" spans="1:8" x14ac:dyDescent="0.25">
      <c r="A1256" s="22">
        <v>41896.076388888891</v>
      </c>
      <c r="B1256">
        <v>478</v>
      </c>
      <c r="C1256">
        <v>94.4</v>
      </c>
      <c r="D1256">
        <v>11.6</v>
      </c>
      <c r="E1256">
        <v>7.3</v>
      </c>
      <c r="G1256">
        <v>14</v>
      </c>
      <c r="H1256" s="23">
        <f t="shared" si="55"/>
        <v>1</v>
      </c>
    </row>
    <row r="1257" spans="1:8" x14ac:dyDescent="0.25">
      <c r="A1257" s="22">
        <v>41896.079861111109</v>
      </c>
      <c r="B1257">
        <v>477.8</v>
      </c>
      <c r="C1257">
        <v>94.4</v>
      </c>
      <c r="D1257">
        <v>11.6</v>
      </c>
      <c r="E1257">
        <v>7.2</v>
      </c>
      <c r="G1257">
        <v>14</v>
      </c>
      <c r="H1257" s="23">
        <f t="shared" si="55"/>
        <v>1</v>
      </c>
    </row>
    <row r="1258" spans="1:8" x14ac:dyDescent="0.25">
      <c r="A1258" s="22">
        <v>41896.083333333336</v>
      </c>
      <c r="B1258">
        <v>477.5</v>
      </c>
      <c r="C1258">
        <v>94.4</v>
      </c>
      <c r="D1258">
        <v>11.5</v>
      </c>
      <c r="E1258">
        <v>7.2</v>
      </c>
      <c r="G1258">
        <v>14</v>
      </c>
      <c r="H1258" s="23">
        <f t="shared" si="55"/>
        <v>2</v>
      </c>
    </row>
    <row r="1259" spans="1:8" x14ac:dyDescent="0.25">
      <c r="A1259" s="22">
        <v>41896.086805555555</v>
      </c>
      <c r="B1259">
        <v>478.8</v>
      </c>
      <c r="C1259">
        <v>94.3</v>
      </c>
      <c r="D1259">
        <v>11.5</v>
      </c>
      <c r="E1259">
        <v>7.1</v>
      </c>
      <c r="G1259">
        <v>14</v>
      </c>
      <c r="H1259" s="23">
        <f t="shared" si="55"/>
        <v>2</v>
      </c>
    </row>
    <row r="1260" spans="1:8" x14ac:dyDescent="0.25">
      <c r="A1260" s="22">
        <v>41896.090277777781</v>
      </c>
      <c r="B1260">
        <v>477.9</v>
      </c>
      <c r="C1260">
        <v>94.3</v>
      </c>
      <c r="D1260">
        <v>11.4</v>
      </c>
      <c r="E1260">
        <v>7.1</v>
      </c>
      <c r="G1260">
        <v>14</v>
      </c>
      <c r="H1260" s="23">
        <f t="shared" si="55"/>
        <v>2</v>
      </c>
    </row>
    <row r="1261" spans="1:8" x14ac:dyDescent="0.25">
      <c r="A1261" s="22">
        <v>41896.09375</v>
      </c>
      <c r="B1261">
        <v>478.4</v>
      </c>
      <c r="C1261">
        <v>94.4</v>
      </c>
      <c r="D1261">
        <v>11.4</v>
      </c>
      <c r="E1261">
        <v>7</v>
      </c>
      <c r="G1261">
        <v>14</v>
      </c>
      <c r="H1261" s="23">
        <f t="shared" si="55"/>
        <v>2</v>
      </c>
    </row>
    <row r="1262" spans="1:8" x14ac:dyDescent="0.25">
      <c r="A1262" s="22">
        <v>41896.097222222219</v>
      </c>
      <c r="B1262">
        <v>477.2</v>
      </c>
      <c r="C1262">
        <v>94.4</v>
      </c>
      <c r="D1262">
        <v>11.4</v>
      </c>
      <c r="E1262">
        <v>7</v>
      </c>
      <c r="G1262">
        <v>14</v>
      </c>
      <c r="H1262" s="23">
        <f t="shared" si="55"/>
        <v>2</v>
      </c>
    </row>
    <row r="1263" spans="1:8" x14ac:dyDescent="0.25">
      <c r="A1263" s="22">
        <v>41896.100694444445</v>
      </c>
      <c r="B1263">
        <v>475.9</v>
      </c>
      <c r="C1263">
        <v>94.3</v>
      </c>
      <c r="D1263">
        <v>11.3</v>
      </c>
      <c r="E1263">
        <v>7</v>
      </c>
      <c r="G1263">
        <v>14</v>
      </c>
      <c r="H1263" s="23">
        <f t="shared" si="55"/>
        <v>2</v>
      </c>
    </row>
    <row r="1264" spans="1:8" x14ac:dyDescent="0.25">
      <c r="A1264" s="22">
        <v>41896.104166666664</v>
      </c>
      <c r="B1264">
        <v>475.2</v>
      </c>
      <c r="C1264">
        <v>94.3</v>
      </c>
      <c r="D1264">
        <v>11.3</v>
      </c>
      <c r="E1264">
        <v>7</v>
      </c>
      <c r="G1264">
        <v>14</v>
      </c>
      <c r="H1264" s="23">
        <f t="shared" si="55"/>
        <v>2</v>
      </c>
    </row>
    <row r="1265" spans="1:8" x14ac:dyDescent="0.25">
      <c r="A1265" s="22">
        <v>41896.107638888891</v>
      </c>
      <c r="B1265">
        <v>474.9</v>
      </c>
      <c r="C1265">
        <v>94.4</v>
      </c>
      <c r="D1265">
        <v>11.3</v>
      </c>
      <c r="E1265">
        <v>6.9</v>
      </c>
      <c r="G1265">
        <v>14</v>
      </c>
      <c r="H1265" s="23">
        <f t="shared" si="55"/>
        <v>2</v>
      </c>
    </row>
    <row r="1266" spans="1:8" x14ac:dyDescent="0.25">
      <c r="A1266" s="22">
        <v>41896.111111111109</v>
      </c>
      <c r="B1266">
        <v>476.3</v>
      </c>
      <c r="C1266">
        <v>94.4</v>
      </c>
      <c r="D1266">
        <v>11.2</v>
      </c>
      <c r="E1266">
        <v>6.9</v>
      </c>
      <c r="G1266">
        <v>14</v>
      </c>
      <c r="H1266" s="23">
        <f t="shared" si="55"/>
        <v>2</v>
      </c>
    </row>
    <row r="1267" spans="1:8" x14ac:dyDescent="0.25">
      <c r="A1267" s="22">
        <v>41896.114583333336</v>
      </c>
      <c r="B1267">
        <v>474.4</v>
      </c>
      <c r="C1267">
        <v>94.3</v>
      </c>
      <c r="D1267">
        <v>11.2</v>
      </c>
      <c r="E1267">
        <v>6.9</v>
      </c>
      <c r="G1267">
        <v>14</v>
      </c>
      <c r="H1267" s="23">
        <f t="shared" si="55"/>
        <v>2</v>
      </c>
    </row>
    <row r="1268" spans="1:8" x14ac:dyDescent="0.25">
      <c r="A1268" s="22">
        <v>41896.118055555555</v>
      </c>
      <c r="B1268">
        <v>475.2</v>
      </c>
      <c r="C1268">
        <v>94.3</v>
      </c>
      <c r="D1268">
        <v>11.1</v>
      </c>
      <c r="E1268">
        <v>6.8</v>
      </c>
      <c r="G1268">
        <v>14</v>
      </c>
      <c r="H1268" s="23">
        <f t="shared" si="55"/>
        <v>2</v>
      </c>
    </row>
    <row r="1269" spans="1:8" x14ac:dyDescent="0.25">
      <c r="A1269" s="22">
        <v>41896.121527777781</v>
      </c>
      <c r="B1269">
        <v>475</v>
      </c>
      <c r="C1269">
        <v>94.4</v>
      </c>
      <c r="D1269">
        <v>11.1</v>
      </c>
      <c r="E1269">
        <v>6.8</v>
      </c>
      <c r="G1269">
        <v>14</v>
      </c>
      <c r="H1269" s="23">
        <f t="shared" si="55"/>
        <v>2</v>
      </c>
    </row>
    <row r="1270" spans="1:8" x14ac:dyDescent="0.25">
      <c r="A1270" s="22">
        <v>41896.125</v>
      </c>
      <c r="B1270">
        <v>473.1</v>
      </c>
      <c r="C1270">
        <v>94.3</v>
      </c>
      <c r="D1270">
        <v>11</v>
      </c>
      <c r="E1270">
        <v>6.7</v>
      </c>
      <c r="G1270">
        <v>14</v>
      </c>
      <c r="H1270" s="23">
        <f t="shared" si="55"/>
        <v>3</v>
      </c>
    </row>
    <row r="1271" spans="1:8" x14ac:dyDescent="0.25">
      <c r="A1271" s="22">
        <v>41896.128472222219</v>
      </c>
      <c r="B1271">
        <v>474.5</v>
      </c>
      <c r="C1271">
        <v>94.4</v>
      </c>
      <c r="D1271">
        <v>11</v>
      </c>
      <c r="E1271">
        <v>6.7</v>
      </c>
      <c r="G1271">
        <v>14</v>
      </c>
      <c r="H1271" s="23">
        <f t="shared" si="55"/>
        <v>3</v>
      </c>
    </row>
    <row r="1272" spans="1:8" x14ac:dyDescent="0.25">
      <c r="A1272" s="22">
        <v>41896.131944444445</v>
      </c>
      <c r="B1272">
        <v>472.4</v>
      </c>
      <c r="C1272">
        <v>94.3</v>
      </c>
      <c r="D1272">
        <v>11</v>
      </c>
      <c r="E1272">
        <v>6.7</v>
      </c>
      <c r="G1272">
        <v>14</v>
      </c>
      <c r="H1272" s="23">
        <f t="shared" si="55"/>
        <v>3</v>
      </c>
    </row>
    <row r="1273" spans="1:8" x14ac:dyDescent="0.25">
      <c r="A1273" s="22">
        <v>41896.135416666664</v>
      </c>
      <c r="B1273">
        <v>471.9</v>
      </c>
      <c r="C1273">
        <v>94.2</v>
      </c>
      <c r="D1273">
        <v>10.9</v>
      </c>
      <c r="E1273">
        <v>6.6</v>
      </c>
      <c r="G1273">
        <v>14</v>
      </c>
      <c r="H1273" s="23">
        <f t="shared" si="55"/>
        <v>3</v>
      </c>
    </row>
    <row r="1274" spans="1:8" x14ac:dyDescent="0.25">
      <c r="A1274" s="22">
        <v>41896.138888888891</v>
      </c>
      <c r="B1274">
        <v>472.1</v>
      </c>
      <c r="C1274">
        <v>94.4</v>
      </c>
      <c r="D1274">
        <v>10.9</v>
      </c>
      <c r="E1274">
        <v>6.6</v>
      </c>
      <c r="G1274">
        <v>14</v>
      </c>
      <c r="H1274" s="23">
        <f t="shared" si="55"/>
        <v>3</v>
      </c>
    </row>
    <row r="1275" spans="1:8" x14ac:dyDescent="0.25">
      <c r="A1275" s="22">
        <v>41896.142361111109</v>
      </c>
      <c r="B1275">
        <v>470.6</v>
      </c>
      <c r="C1275">
        <v>94.3</v>
      </c>
      <c r="D1275">
        <v>10.9</v>
      </c>
      <c r="E1275">
        <v>6.6</v>
      </c>
      <c r="G1275">
        <v>14</v>
      </c>
      <c r="H1275" s="23">
        <f t="shared" si="55"/>
        <v>3</v>
      </c>
    </row>
    <row r="1276" spans="1:8" x14ac:dyDescent="0.25">
      <c r="A1276" s="22">
        <v>41896.145833333336</v>
      </c>
      <c r="B1276">
        <v>470.7</v>
      </c>
      <c r="C1276">
        <v>94.2</v>
      </c>
      <c r="D1276">
        <v>10.9</v>
      </c>
      <c r="E1276">
        <v>6.6</v>
      </c>
      <c r="G1276">
        <v>14</v>
      </c>
      <c r="H1276" s="23">
        <f t="shared" si="55"/>
        <v>3</v>
      </c>
    </row>
    <row r="1277" spans="1:8" x14ac:dyDescent="0.25">
      <c r="A1277" s="22">
        <v>41896.149305555555</v>
      </c>
      <c r="B1277">
        <v>470.1</v>
      </c>
      <c r="C1277">
        <v>94.2</v>
      </c>
      <c r="D1277">
        <v>10.8</v>
      </c>
      <c r="E1277">
        <v>6.6</v>
      </c>
      <c r="G1277">
        <v>14</v>
      </c>
      <c r="H1277" s="23">
        <f t="shared" si="55"/>
        <v>3</v>
      </c>
    </row>
    <row r="1278" spans="1:8" x14ac:dyDescent="0.25">
      <c r="A1278" s="22">
        <v>41896.152777777781</v>
      </c>
      <c r="B1278">
        <v>471.7</v>
      </c>
      <c r="C1278">
        <v>94.3</v>
      </c>
      <c r="D1278">
        <v>10.8</v>
      </c>
      <c r="E1278">
        <v>6.5</v>
      </c>
      <c r="G1278">
        <v>14</v>
      </c>
      <c r="H1278" s="23">
        <f t="shared" si="55"/>
        <v>3</v>
      </c>
    </row>
    <row r="1279" spans="1:8" x14ac:dyDescent="0.25">
      <c r="A1279" s="22">
        <v>41896.15625</v>
      </c>
      <c r="B1279">
        <v>471.5</v>
      </c>
      <c r="C1279">
        <v>94.2</v>
      </c>
      <c r="D1279">
        <v>10.8</v>
      </c>
      <c r="E1279">
        <v>6.5</v>
      </c>
      <c r="G1279">
        <v>14</v>
      </c>
      <c r="H1279" s="23">
        <f t="shared" si="55"/>
        <v>3</v>
      </c>
    </row>
    <row r="1280" spans="1:8" x14ac:dyDescent="0.25">
      <c r="A1280" s="22">
        <v>41896.159722222219</v>
      </c>
      <c r="B1280">
        <v>472.8</v>
      </c>
      <c r="C1280">
        <v>94.3</v>
      </c>
      <c r="D1280">
        <v>10.8</v>
      </c>
      <c r="E1280">
        <v>6.5</v>
      </c>
      <c r="G1280">
        <v>14</v>
      </c>
      <c r="H1280" s="23">
        <f t="shared" si="55"/>
        <v>3</v>
      </c>
    </row>
    <row r="1281" spans="1:8" x14ac:dyDescent="0.25">
      <c r="A1281" s="22">
        <v>41896.163194444445</v>
      </c>
      <c r="B1281">
        <v>473.3</v>
      </c>
      <c r="C1281">
        <v>94.2</v>
      </c>
      <c r="D1281">
        <v>10.7</v>
      </c>
      <c r="E1281">
        <v>6.4</v>
      </c>
      <c r="G1281">
        <v>14</v>
      </c>
      <c r="H1281" s="23">
        <f t="shared" si="55"/>
        <v>3</v>
      </c>
    </row>
    <row r="1282" spans="1:8" x14ac:dyDescent="0.25">
      <c r="A1282" s="22">
        <v>41896.166666666664</v>
      </c>
      <c r="B1282">
        <v>473.2</v>
      </c>
      <c r="C1282">
        <v>94.3</v>
      </c>
      <c r="D1282">
        <v>10.7</v>
      </c>
      <c r="E1282">
        <v>6.4</v>
      </c>
      <c r="G1282">
        <v>14</v>
      </c>
      <c r="H1282" s="23">
        <f t="shared" si="55"/>
        <v>4</v>
      </c>
    </row>
    <row r="1283" spans="1:8" x14ac:dyDescent="0.25">
      <c r="A1283" s="22">
        <v>41896.170138888891</v>
      </c>
      <c r="B1283">
        <v>472.3</v>
      </c>
      <c r="C1283">
        <v>94.2</v>
      </c>
      <c r="D1283">
        <v>10.7</v>
      </c>
      <c r="E1283">
        <v>6.4</v>
      </c>
      <c r="G1283">
        <v>14</v>
      </c>
      <c r="H1283" s="23">
        <f t="shared" si="55"/>
        <v>4</v>
      </c>
    </row>
    <row r="1284" spans="1:8" x14ac:dyDescent="0.25">
      <c r="A1284" s="22">
        <v>41896.173611111109</v>
      </c>
      <c r="B1284">
        <v>473.8</v>
      </c>
      <c r="C1284">
        <v>94.3</v>
      </c>
      <c r="D1284">
        <v>10.6</v>
      </c>
      <c r="E1284">
        <v>6.3</v>
      </c>
      <c r="G1284">
        <v>14</v>
      </c>
      <c r="H1284" s="23">
        <f t="shared" si="55"/>
        <v>4</v>
      </c>
    </row>
    <row r="1285" spans="1:8" x14ac:dyDescent="0.25">
      <c r="A1285" s="22">
        <v>41896.177083333336</v>
      </c>
      <c r="B1285">
        <v>474.2</v>
      </c>
      <c r="C1285">
        <v>94.3</v>
      </c>
      <c r="D1285">
        <v>10.6</v>
      </c>
      <c r="E1285">
        <v>6.3</v>
      </c>
      <c r="G1285">
        <v>14</v>
      </c>
      <c r="H1285" s="23">
        <f t="shared" si="55"/>
        <v>4</v>
      </c>
    </row>
    <row r="1286" spans="1:8" x14ac:dyDescent="0.25">
      <c r="A1286" s="22">
        <v>41896.180555555555</v>
      </c>
      <c r="B1286">
        <v>473.2</v>
      </c>
      <c r="C1286">
        <v>94.1</v>
      </c>
      <c r="D1286">
        <v>10.6</v>
      </c>
      <c r="E1286">
        <v>6.3</v>
      </c>
      <c r="G1286">
        <v>14</v>
      </c>
      <c r="H1286" s="23">
        <f t="shared" ref="H1286:H1349" si="56">+HOUR(A1286)</f>
        <v>4</v>
      </c>
    </row>
    <row r="1287" spans="1:8" x14ac:dyDescent="0.25">
      <c r="A1287" s="22">
        <v>41896.184027777781</v>
      </c>
      <c r="B1287">
        <v>472.9</v>
      </c>
      <c r="C1287">
        <v>94.2</v>
      </c>
      <c r="D1287">
        <v>10.5</v>
      </c>
      <c r="E1287">
        <v>6.2</v>
      </c>
      <c r="G1287">
        <v>14</v>
      </c>
      <c r="H1287" s="23">
        <f t="shared" si="56"/>
        <v>4</v>
      </c>
    </row>
    <row r="1288" spans="1:8" x14ac:dyDescent="0.25">
      <c r="A1288" s="22">
        <v>41896.1875</v>
      </c>
      <c r="B1288">
        <v>473.5</v>
      </c>
      <c r="C1288">
        <v>94.3</v>
      </c>
      <c r="D1288">
        <v>10.5</v>
      </c>
      <c r="E1288">
        <v>6.2</v>
      </c>
      <c r="G1288">
        <v>14</v>
      </c>
      <c r="H1288" s="23">
        <f t="shared" si="56"/>
        <v>4</v>
      </c>
    </row>
    <row r="1289" spans="1:8" x14ac:dyDescent="0.25">
      <c r="A1289" s="22">
        <v>41896.190972222219</v>
      </c>
      <c r="B1289">
        <v>476</v>
      </c>
      <c r="C1289">
        <v>94.1</v>
      </c>
      <c r="D1289">
        <v>10.4</v>
      </c>
      <c r="E1289">
        <v>6.1</v>
      </c>
      <c r="G1289">
        <v>14</v>
      </c>
      <c r="H1289" s="23">
        <f t="shared" si="56"/>
        <v>4</v>
      </c>
    </row>
    <row r="1290" spans="1:8" x14ac:dyDescent="0.25">
      <c r="A1290" s="22">
        <v>41896.194444444445</v>
      </c>
      <c r="B1290">
        <v>476.8</v>
      </c>
      <c r="C1290">
        <v>94.2</v>
      </c>
      <c r="D1290">
        <v>10.4</v>
      </c>
      <c r="E1290">
        <v>6.1</v>
      </c>
      <c r="G1290">
        <v>14</v>
      </c>
      <c r="H1290" s="23">
        <f t="shared" si="56"/>
        <v>4</v>
      </c>
    </row>
    <row r="1291" spans="1:8" x14ac:dyDescent="0.25">
      <c r="A1291" s="22">
        <v>41896.197916666664</v>
      </c>
      <c r="B1291">
        <v>475.7</v>
      </c>
      <c r="C1291">
        <v>94.2</v>
      </c>
      <c r="D1291">
        <v>10.4</v>
      </c>
      <c r="E1291">
        <v>6</v>
      </c>
      <c r="G1291">
        <v>14</v>
      </c>
      <c r="H1291" s="23">
        <f t="shared" si="56"/>
        <v>4</v>
      </c>
    </row>
    <row r="1292" spans="1:8" x14ac:dyDescent="0.25">
      <c r="A1292" s="22">
        <v>41896.201388888891</v>
      </c>
      <c r="B1292">
        <v>473.5</v>
      </c>
      <c r="C1292">
        <v>94.3</v>
      </c>
      <c r="D1292">
        <v>10.3</v>
      </c>
      <c r="E1292">
        <v>6</v>
      </c>
      <c r="G1292">
        <v>14</v>
      </c>
      <c r="H1292" s="23">
        <f t="shared" si="56"/>
        <v>4</v>
      </c>
    </row>
    <row r="1293" spans="1:8" x14ac:dyDescent="0.25">
      <c r="A1293" s="22">
        <v>41896.204861111109</v>
      </c>
      <c r="B1293">
        <v>470.9</v>
      </c>
      <c r="C1293">
        <v>94.3</v>
      </c>
      <c r="D1293">
        <v>10.3</v>
      </c>
      <c r="E1293">
        <v>6</v>
      </c>
      <c r="G1293">
        <v>14</v>
      </c>
      <c r="H1293" s="23">
        <f t="shared" si="56"/>
        <v>4</v>
      </c>
    </row>
    <row r="1294" spans="1:8" x14ac:dyDescent="0.25">
      <c r="A1294" s="22">
        <v>41896.208333333336</v>
      </c>
      <c r="B1294">
        <v>468.8</v>
      </c>
      <c r="C1294">
        <v>94.2</v>
      </c>
      <c r="D1294">
        <v>10.199999999999999</v>
      </c>
      <c r="E1294">
        <v>6</v>
      </c>
      <c r="G1294">
        <v>14</v>
      </c>
      <c r="H1294" s="23">
        <f t="shared" si="56"/>
        <v>5</v>
      </c>
    </row>
    <row r="1295" spans="1:8" x14ac:dyDescent="0.25">
      <c r="A1295" s="22">
        <v>41896.211805555555</v>
      </c>
      <c r="B1295">
        <v>467.2</v>
      </c>
      <c r="C1295">
        <v>94.3</v>
      </c>
      <c r="D1295">
        <v>10.199999999999999</v>
      </c>
      <c r="E1295">
        <v>6</v>
      </c>
      <c r="G1295">
        <v>14</v>
      </c>
      <c r="H1295" s="23">
        <f t="shared" si="56"/>
        <v>5</v>
      </c>
    </row>
    <row r="1296" spans="1:8" x14ac:dyDescent="0.25">
      <c r="A1296" s="22">
        <v>41896.215277777781</v>
      </c>
      <c r="B1296">
        <v>467.3</v>
      </c>
      <c r="C1296">
        <v>94.2</v>
      </c>
      <c r="D1296">
        <v>10.199999999999999</v>
      </c>
      <c r="E1296">
        <v>5.9</v>
      </c>
      <c r="G1296">
        <v>14</v>
      </c>
      <c r="H1296" s="23">
        <f t="shared" si="56"/>
        <v>5</v>
      </c>
    </row>
    <row r="1297" spans="1:8" x14ac:dyDescent="0.25">
      <c r="A1297" s="22">
        <v>41896.21875</v>
      </c>
      <c r="B1297">
        <v>467.2</v>
      </c>
      <c r="C1297">
        <v>94.2</v>
      </c>
      <c r="D1297">
        <v>10.199999999999999</v>
      </c>
      <c r="E1297">
        <v>5.9</v>
      </c>
      <c r="G1297">
        <v>14</v>
      </c>
      <c r="H1297" s="23">
        <f t="shared" si="56"/>
        <v>5</v>
      </c>
    </row>
    <row r="1298" spans="1:8" x14ac:dyDescent="0.25">
      <c r="A1298" s="22">
        <v>41896.222222222219</v>
      </c>
      <c r="B1298">
        <v>465.8</v>
      </c>
      <c r="C1298">
        <v>94.1</v>
      </c>
      <c r="D1298">
        <v>10.1</v>
      </c>
      <c r="E1298">
        <v>5.9</v>
      </c>
      <c r="G1298">
        <v>14</v>
      </c>
      <c r="H1298" s="23">
        <f t="shared" si="56"/>
        <v>5</v>
      </c>
    </row>
    <row r="1299" spans="1:8" x14ac:dyDescent="0.25">
      <c r="A1299" s="22">
        <v>41896.225694444445</v>
      </c>
      <c r="B1299">
        <v>463</v>
      </c>
      <c r="C1299">
        <v>94.2</v>
      </c>
      <c r="D1299">
        <v>10.1</v>
      </c>
      <c r="E1299">
        <v>5.9</v>
      </c>
      <c r="G1299">
        <v>14</v>
      </c>
      <c r="H1299" s="23">
        <f t="shared" si="56"/>
        <v>5</v>
      </c>
    </row>
    <row r="1300" spans="1:8" x14ac:dyDescent="0.25">
      <c r="A1300" s="22">
        <v>41896.229166666664</v>
      </c>
      <c r="B1300">
        <v>462.8</v>
      </c>
      <c r="C1300">
        <v>94.2</v>
      </c>
      <c r="D1300">
        <v>10.1</v>
      </c>
      <c r="E1300">
        <v>5.8</v>
      </c>
      <c r="G1300">
        <v>14</v>
      </c>
      <c r="H1300" s="23">
        <f t="shared" si="56"/>
        <v>5</v>
      </c>
    </row>
    <row r="1301" spans="1:8" x14ac:dyDescent="0.25">
      <c r="A1301" s="22">
        <v>41896.232638888891</v>
      </c>
      <c r="B1301">
        <v>462.8</v>
      </c>
      <c r="C1301">
        <v>94.3</v>
      </c>
      <c r="D1301">
        <v>10</v>
      </c>
      <c r="E1301">
        <v>5.8</v>
      </c>
      <c r="G1301">
        <v>14</v>
      </c>
      <c r="H1301" s="23">
        <f t="shared" si="56"/>
        <v>5</v>
      </c>
    </row>
    <row r="1302" spans="1:8" x14ac:dyDescent="0.25">
      <c r="A1302" s="22">
        <v>41896.236111111109</v>
      </c>
      <c r="B1302">
        <v>461.2</v>
      </c>
      <c r="C1302">
        <v>94.1</v>
      </c>
      <c r="D1302">
        <v>10</v>
      </c>
      <c r="E1302">
        <v>5.8</v>
      </c>
      <c r="G1302">
        <v>14</v>
      </c>
      <c r="H1302" s="23">
        <f t="shared" si="56"/>
        <v>5</v>
      </c>
    </row>
    <row r="1303" spans="1:8" x14ac:dyDescent="0.25">
      <c r="A1303" s="22">
        <v>41896.239583333336</v>
      </c>
      <c r="B1303">
        <v>458</v>
      </c>
      <c r="C1303">
        <v>94.1</v>
      </c>
      <c r="D1303">
        <v>10</v>
      </c>
      <c r="E1303">
        <v>5.8</v>
      </c>
      <c r="G1303">
        <v>14</v>
      </c>
      <c r="H1303" s="23">
        <f t="shared" si="56"/>
        <v>5</v>
      </c>
    </row>
    <row r="1304" spans="1:8" x14ac:dyDescent="0.25">
      <c r="A1304" s="22">
        <v>41896.243055555555</v>
      </c>
      <c r="B1304">
        <v>456.5</v>
      </c>
      <c r="C1304">
        <v>94.2</v>
      </c>
      <c r="D1304">
        <v>10</v>
      </c>
      <c r="E1304">
        <v>5.8</v>
      </c>
      <c r="G1304">
        <v>14</v>
      </c>
      <c r="H1304" s="23">
        <f t="shared" si="56"/>
        <v>5</v>
      </c>
    </row>
    <row r="1305" spans="1:8" x14ac:dyDescent="0.25">
      <c r="A1305" s="22">
        <v>41896.246527777781</v>
      </c>
      <c r="B1305">
        <v>453.6</v>
      </c>
      <c r="C1305">
        <v>94.3</v>
      </c>
      <c r="D1305">
        <v>9.9</v>
      </c>
      <c r="E1305">
        <v>5.8</v>
      </c>
      <c r="G1305">
        <v>14</v>
      </c>
      <c r="H1305" s="23">
        <f t="shared" si="56"/>
        <v>5</v>
      </c>
    </row>
    <row r="1306" spans="1:8" x14ac:dyDescent="0.25">
      <c r="A1306" s="22">
        <v>41896.25</v>
      </c>
      <c r="B1306">
        <v>449.4</v>
      </c>
      <c r="C1306">
        <v>94.2</v>
      </c>
      <c r="D1306">
        <v>9.9</v>
      </c>
      <c r="E1306">
        <v>5.8</v>
      </c>
      <c r="G1306">
        <v>14</v>
      </c>
      <c r="H1306" s="23">
        <f t="shared" si="56"/>
        <v>6</v>
      </c>
    </row>
    <row r="1307" spans="1:8" x14ac:dyDescent="0.25">
      <c r="A1307" s="22">
        <v>41896.253472222219</v>
      </c>
      <c r="B1307">
        <v>446</v>
      </c>
      <c r="C1307">
        <v>94.2</v>
      </c>
      <c r="D1307">
        <v>9.9</v>
      </c>
      <c r="E1307">
        <v>5.8</v>
      </c>
      <c r="G1307">
        <v>14</v>
      </c>
      <c r="H1307" s="23">
        <f t="shared" si="56"/>
        <v>6</v>
      </c>
    </row>
    <row r="1308" spans="1:8" x14ac:dyDescent="0.25">
      <c r="A1308" s="22">
        <v>41896.256944444445</v>
      </c>
      <c r="B1308">
        <v>443.2</v>
      </c>
      <c r="C1308">
        <v>94.2</v>
      </c>
      <c r="D1308">
        <v>9.8000000000000007</v>
      </c>
      <c r="E1308">
        <v>5.8</v>
      </c>
      <c r="G1308">
        <v>14</v>
      </c>
      <c r="H1308" s="23">
        <f t="shared" si="56"/>
        <v>6</v>
      </c>
    </row>
    <row r="1309" spans="1:8" x14ac:dyDescent="0.25">
      <c r="A1309" s="22">
        <v>41896.260416666664</v>
      </c>
      <c r="B1309">
        <v>438.9</v>
      </c>
      <c r="C1309">
        <v>94.2</v>
      </c>
      <c r="D1309">
        <v>9.8000000000000007</v>
      </c>
      <c r="E1309">
        <v>5.8</v>
      </c>
      <c r="G1309">
        <v>14</v>
      </c>
      <c r="H1309" s="23">
        <f t="shared" si="56"/>
        <v>6</v>
      </c>
    </row>
    <row r="1310" spans="1:8" x14ac:dyDescent="0.25">
      <c r="A1310" s="22">
        <v>41896.263888888891</v>
      </c>
      <c r="B1310">
        <v>437.1</v>
      </c>
      <c r="C1310">
        <v>94.2</v>
      </c>
      <c r="D1310">
        <v>9.8000000000000007</v>
      </c>
      <c r="E1310">
        <v>5.8</v>
      </c>
      <c r="G1310">
        <v>14</v>
      </c>
      <c r="H1310" s="23">
        <f t="shared" si="56"/>
        <v>6</v>
      </c>
    </row>
    <row r="1311" spans="1:8" x14ac:dyDescent="0.25">
      <c r="A1311" s="22">
        <v>41896.267361111109</v>
      </c>
      <c r="B1311">
        <v>435</v>
      </c>
      <c r="C1311">
        <v>94.1</v>
      </c>
      <c r="D1311">
        <v>9.8000000000000007</v>
      </c>
      <c r="E1311">
        <v>5.8</v>
      </c>
      <c r="G1311">
        <v>14</v>
      </c>
      <c r="H1311" s="23">
        <f t="shared" si="56"/>
        <v>6</v>
      </c>
    </row>
    <row r="1312" spans="1:8" x14ac:dyDescent="0.25">
      <c r="A1312" s="22">
        <v>41896.270833333336</v>
      </c>
      <c r="B1312">
        <v>433.4</v>
      </c>
      <c r="C1312">
        <v>94.1</v>
      </c>
      <c r="D1312">
        <v>9.8000000000000007</v>
      </c>
      <c r="E1312">
        <v>5.8</v>
      </c>
      <c r="G1312">
        <v>14</v>
      </c>
      <c r="H1312" s="23">
        <f t="shared" si="56"/>
        <v>6</v>
      </c>
    </row>
    <row r="1313" spans="1:8" x14ac:dyDescent="0.25">
      <c r="A1313" s="22">
        <v>41896.274305555555</v>
      </c>
      <c r="B1313">
        <v>441.3</v>
      </c>
      <c r="C1313">
        <v>94.3</v>
      </c>
      <c r="D1313">
        <v>9.8000000000000007</v>
      </c>
      <c r="E1313">
        <v>5.8</v>
      </c>
      <c r="G1313">
        <v>14</v>
      </c>
      <c r="H1313" s="23">
        <f t="shared" si="56"/>
        <v>6</v>
      </c>
    </row>
    <row r="1314" spans="1:8" x14ac:dyDescent="0.25">
      <c r="A1314" s="22">
        <v>41896.277777777781</v>
      </c>
      <c r="B1314">
        <v>417.9</v>
      </c>
      <c r="C1314">
        <v>94.3</v>
      </c>
      <c r="D1314">
        <v>9.6</v>
      </c>
      <c r="E1314">
        <v>5.8</v>
      </c>
      <c r="G1314">
        <v>14</v>
      </c>
      <c r="H1314" s="23">
        <f t="shared" si="56"/>
        <v>6</v>
      </c>
    </row>
    <row r="1315" spans="1:8" x14ac:dyDescent="0.25">
      <c r="A1315" s="22">
        <v>41896.28125</v>
      </c>
      <c r="B1315">
        <v>461.1</v>
      </c>
      <c r="C1315">
        <v>94.2</v>
      </c>
      <c r="D1315">
        <v>10.1</v>
      </c>
      <c r="E1315">
        <v>5.9</v>
      </c>
      <c r="G1315">
        <v>14</v>
      </c>
      <c r="H1315" s="23">
        <f t="shared" si="56"/>
        <v>6</v>
      </c>
    </row>
    <row r="1316" spans="1:8" x14ac:dyDescent="0.25">
      <c r="A1316" s="22">
        <v>41896.284722222219</v>
      </c>
      <c r="B1316">
        <v>464</v>
      </c>
      <c r="C1316">
        <v>94.2</v>
      </c>
      <c r="D1316">
        <v>10.199999999999999</v>
      </c>
      <c r="E1316">
        <v>6</v>
      </c>
      <c r="G1316">
        <v>14</v>
      </c>
      <c r="H1316" s="23">
        <f t="shared" si="56"/>
        <v>6</v>
      </c>
    </row>
    <row r="1317" spans="1:8" x14ac:dyDescent="0.25">
      <c r="A1317" s="22">
        <v>41896.288194444445</v>
      </c>
      <c r="B1317">
        <v>467.4</v>
      </c>
      <c r="C1317">
        <v>94.2</v>
      </c>
      <c r="D1317">
        <v>10.199999999999999</v>
      </c>
      <c r="E1317">
        <v>5.9</v>
      </c>
      <c r="G1317">
        <v>14</v>
      </c>
      <c r="H1317" s="23">
        <f t="shared" si="56"/>
        <v>6</v>
      </c>
    </row>
    <row r="1318" spans="1:8" x14ac:dyDescent="0.25">
      <c r="A1318" s="22">
        <v>41896.291666666664</v>
      </c>
      <c r="B1318">
        <v>467.2</v>
      </c>
      <c r="C1318">
        <v>94.3</v>
      </c>
      <c r="D1318">
        <v>10.199999999999999</v>
      </c>
      <c r="E1318">
        <v>6</v>
      </c>
      <c r="G1318">
        <v>14</v>
      </c>
      <c r="H1318" s="23">
        <f t="shared" si="56"/>
        <v>7</v>
      </c>
    </row>
    <row r="1319" spans="1:8" x14ac:dyDescent="0.25">
      <c r="A1319" s="22">
        <v>41896.295138888891</v>
      </c>
      <c r="B1319">
        <v>465.8</v>
      </c>
      <c r="C1319">
        <v>94.1</v>
      </c>
      <c r="D1319">
        <v>10.199999999999999</v>
      </c>
      <c r="E1319">
        <v>6</v>
      </c>
      <c r="G1319">
        <v>14</v>
      </c>
      <c r="H1319" s="23">
        <f t="shared" si="56"/>
        <v>7</v>
      </c>
    </row>
    <row r="1320" spans="1:8" x14ac:dyDescent="0.25">
      <c r="A1320" s="22">
        <v>41896.298611111109</v>
      </c>
      <c r="B1320">
        <v>467.3</v>
      </c>
      <c r="C1320">
        <v>94.2</v>
      </c>
      <c r="D1320">
        <v>10.3</v>
      </c>
      <c r="E1320">
        <v>6</v>
      </c>
      <c r="G1320">
        <v>14</v>
      </c>
      <c r="H1320" s="23">
        <f t="shared" si="56"/>
        <v>7</v>
      </c>
    </row>
    <row r="1321" spans="1:8" x14ac:dyDescent="0.25">
      <c r="A1321" s="22">
        <v>41896.302083333336</v>
      </c>
      <c r="B1321">
        <v>463.6</v>
      </c>
      <c r="C1321">
        <v>94.2</v>
      </c>
      <c r="D1321">
        <v>10.4</v>
      </c>
      <c r="E1321">
        <v>6.1</v>
      </c>
      <c r="G1321">
        <v>14</v>
      </c>
      <c r="H1321" s="23">
        <f t="shared" si="56"/>
        <v>7</v>
      </c>
    </row>
    <row r="1322" spans="1:8" x14ac:dyDescent="0.25">
      <c r="A1322" s="22">
        <v>41896.305555555555</v>
      </c>
      <c r="B1322">
        <v>465.7</v>
      </c>
      <c r="C1322">
        <v>94.3</v>
      </c>
      <c r="D1322">
        <v>10.4</v>
      </c>
      <c r="E1322">
        <v>6.1</v>
      </c>
      <c r="G1322">
        <v>14</v>
      </c>
      <c r="H1322" s="23">
        <f t="shared" si="56"/>
        <v>7</v>
      </c>
    </row>
    <row r="1323" spans="1:8" x14ac:dyDescent="0.25">
      <c r="A1323" s="22">
        <v>41896.309027777781</v>
      </c>
      <c r="B1323">
        <v>467.1</v>
      </c>
      <c r="C1323">
        <v>94.3</v>
      </c>
      <c r="D1323">
        <v>10.4</v>
      </c>
      <c r="E1323">
        <v>6.1</v>
      </c>
      <c r="G1323">
        <v>14</v>
      </c>
      <c r="H1323" s="23">
        <f t="shared" si="56"/>
        <v>7</v>
      </c>
    </row>
    <row r="1324" spans="1:8" x14ac:dyDescent="0.25">
      <c r="A1324" s="22">
        <v>41896.3125</v>
      </c>
      <c r="B1324">
        <v>466.9</v>
      </c>
      <c r="C1324">
        <v>94.3</v>
      </c>
      <c r="D1324">
        <v>10.4</v>
      </c>
      <c r="E1324">
        <v>6.2</v>
      </c>
      <c r="G1324">
        <v>14</v>
      </c>
      <c r="H1324" s="23">
        <f t="shared" si="56"/>
        <v>7</v>
      </c>
    </row>
    <row r="1325" spans="1:8" x14ac:dyDescent="0.25">
      <c r="A1325" s="22">
        <v>41896.315972222219</v>
      </c>
      <c r="B1325">
        <v>467</v>
      </c>
      <c r="C1325">
        <v>94.3</v>
      </c>
      <c r="D1325">
        <v>10.4</v>
      </c>
      <c r="E1325">
        <v>6.2</v>
      </c>
      <c r="G1325">
        <v>14</v>
      </c>
      <c r="H1325" s="23">
        <f t="shared" si="56"/>
        <v>7</v>
      </c>
    </row>
    <row r="1326" spans="1:8" x14ac:dyDescent="0.25">
      <c r="A1326" s="22">
        <v>41896.319444444445</v>
      </c>
      <c r="B1326">
        <v>465.8</v>
      </c>
      <c r="C1326">
        <v>94.3</v>
      </c>
      <c r="D1326">
        <v>10.5</v>
      </c>
      <c r="E1326">
        <v>6.2</v>
      </c>
      <c r="G1326">
        <v>14</v>
      </c>
      <c r="H1326" s="23">
        <f t="shared" si="56"/>
        <v>7</v>
      </c>
    </row>
    <row r="1327" spans="1:8" x14ac:dyDescent="0.25">
      <c r="A1327" s="22">
        <v>41896.322916666664</v>
      </c>
      <c r="B1327">
        <v>465.7</v>
      </c>
      <c r="C1327">
        <v>94.3</v>
      </c>
      <c r="D1327">
        <v>10.5</v>
      </c>
      <c r="E1327">
        <v>6.2</v>
      </c>
      <c r="G1327">
        <v>14</v>
      </c>
      <c r="H1327" s="23">
        <f t="shared" si="56"/>
        <v>7</v>
      </c>
    </row>
    <row r="1328" spans="1:8" x14ac:dyDescent="0.25">
      <c r="A1328" s="22">
        <v>41896.326388888891</v>
      </c>
      <c r="B1328">
        <v>464.7</v>
      </c>
      <c r="C1328">
        <v>94.3</v>
      </c>
      <c r="D1328">
        <v>10.5</v>
      </c>
      <c r="E1328">
        <v>6.3</v>
      </c>
      <c r="G1328">
        <v>14</v>
      </c>
      <c r="H1328" s="23">
        <f t="shared" si="56"/>
        <v>7</v>
      </c>
    </row>
    <row r="1329" spans="1:8" x14ac:dyDescent="0.25">
      <c r="A1329" s="22">
        <v>41896.329861111109</v>
      </c>
      <c r="B1329">
        <v>466.6</v>
      </c>
      <c r="C1329">
        <v>94.2</v>
      </c>
      <c r="D1329">
        <v>10.5</v>
      </c>
      <c r="E1329">
        <v>6.3</v>
      </c>
      <c r="G1329">
        <v>14</v>
      </c>
      <c r="H1329" s="23">
        <f t="shared" si="56"/>
        <v>7</v>
      </c>
    </row>
    <row r="1330" spans="1:8" x14ac:dyDescent="0.25">
      <c r="A1330" s="22">
        <v>41896.333333333336</v>
      </c>
      <c r="B1330">
        <v>466.4</v>
      </c>
      <c r="C1330">
        <v>94.3</v>
      </c>
      <c r="D1330">
        <v>10.6</v>
      </c>
      <c r="E1330">
        <v>6.3</v>
      </c>
      <c r="G1330">
        <v>14</v>
      </c>
      <c r="H1330" s="23">
        <f t="shared" si="56"/>
        <v>8</v>
      </c>
    </row>
    <row r="1331" spans="1:8" x14ac:dyDescent="0.25">
      <c r="A1331" s="22">
        <v>41896.336805555555</v>
      </c>
      <c r="B1331">
        <v>465.4</v>
      </c>
      <c r="C1331">
        <v>94.4</v>
      </c>
      <c r="D1331">
        <v>10.6</v>
      </c>
      <c r="E1331">
        <v>6.4</v>
      </c>
      <c r="G1331">
        <v>14</v>
      </c>
      <c r="H1331" s="23">
        <f t="shared" si="56"/>
        <v>8</v>
      </c>
    </row>
    <row r="1332" spans="1:8" x14ac:dyDescent="0.25">
      <c r="A1332" s="22">
        <v>41896.340277777781</v>
      </c>
      <c r="B1332">
        <v>466</v>
      </c>
      <c r="C1332">
        <v>94.4</v>
      </c>
      <c r="D1332">
        <v>10.7</v>
      </c>
      <c r="E1332">
        <v>6.4</v>
      </c>
      <c r="G1332">
        <v>14</v>
      </c>
      <c r="H1332" s="23">
        <f t="shared" si="56"/>
        <v>8</v>
      </c>
    </row>
    <row r="1333" spans="1:8" x14ac:dyDescent="0.25">
      <c r="A1333" s="22">
        <v>41896.34375</v>
      </c>
      <c r="B1333">
        <v>468.7</v>
      </c>
      <c r="C1333">
        <v>94.3</v>
      </c>
      <c r="D1333">
        <v>10.7</v>
      </c>
      <c r="E1333">
        <v>6.4</v>
      </c>
      <c r="G1333">
        <v>14</v>
      </c>
      <c r="H1333" s="23">
        <f t="shared" si="56"/>
        <v>8</v>
      </c>
    </row>
    <row r="1334" spans="1:8" x14ac:dyDescent="0.25">
      <c r="A1334" s="22">
        <v>41896.347222222219</v>
      </c>
      <c r="B1334">
        <v>468.3</v>
      </c>
      <c r="C1334">
        <v>94.3</v>
      </c>
      <c r="D1334">
        <v>10.7</v>
      </c>
      <c r="E1334">
        <v>6.5</v>
      </c>
      <c r="G1334">
        <v>14</v>
      </c>
      <c r="H1334" s="23">
        <f t="shared" si="56"/>
        <v>8</v>
      </c>
    </row>
    <row r="1335" spans="1:8" x14ac:dyDescent="0.25">
      <c r="A1335" s="22">
        <v>41896.350694444445</v>
      </c>
      <c r="B1335">
        <v>469.6</v>
      </c>
      <c r="C1335">
        <v>94.4</v>
      </c>
      <c r="D1335">
        <v>10.7</v>
      </c>
      <c r="E1335">
        <v>6.5</v>
      </c>
      <c r="G1335">
        <v>14</v>
      </c>
      <c r="H1335" s="23">
        <f t="shared" si="56"/>
        <v>8</v>
      </c>
    </row>
    <row r="1336" spans="1:8" x14ac:dyDescent="0.25">
      <c r="A1336" s="22">
        <v>41896.354166666664</v>
      </c>
      <c r="B1336">
        <v>468.1</v>
      </c>
      <c r="C1336">
        <v>94.3</v>
      </c>
      <c r="D1336">
        <v>10.8</v>
      </c>
      <c r="E1336">
        <v>6.5</v>
      </c>
      <c r="G1336">
        <v>14</v>
      </c>
      <c r="H1336" s="23">
        <f t="shared" si="56"/>
        <v>8</v>
      </c>
    </row>
    <row r="1337" spans="1:8" x14ac:dyDescent="0.25">
      <c r="A1337" s="22">
        <v>41896.357638888891</v>
      </c>
      <c r="B1337">
        <v>466.6</v>
      </c>
      <c r="C1337">
        <v>94.4</v>
      </c>
      <c r="D1337">
        <v>10.8</v>
      </c>
      <c r="E1337">
        <v>6.6</v>
      </c>
      <c r="G1337">
        <v>14</v>
      </c>
      <c r="H1337" s="23">
        <f t="shared" si="56"/>
        <v>8</v>
      </c>
    </row>
    <row r="1338" spans="1:8" x14ac:dyDescent="0.25">
      <c r="A1338" s="22">
        <v>41896.361111111109</v>
      </c>
      <c r="B1338">
        <v>464.6</v>
      </c>
      <c r="C1338">
        <v>94.2</v>
      </c>
      <c r="D1338">
        <v>10.8</v>
      </c>
      <c r="E1338">
        <v>6.6</v>
      </c>
      <c r="G1338">
        <v>14</v>
      </c>
      <c r="H1338" s="23">
        <f t="shared" si="56"/>
        <v>8</v>
      </c>
    </row>
    <row r="1339" spans="1:8" x14ac:dyDescent="0.25">
      <c r="A1339" s="22">
        <v>41896.364583333336</v>
      </c>
      <c r="B1339">
        <v>464.2</v>
      </c>
      <c r="C1339">
        <v>94.4</v>
      </c>
      <c r="D1339">
        <v>10.8</v>
      </c>
      <c r="E1339">
        <v>6.6</v>
      </c>
      <c r="G1339">
        <v>14</v>
      </c>
      <c r="H1339" s="23">
        <f t="shared" si="56"/>
        <v>8</v>
      </c>
    </row>
    <row r="1340" spans="1:8" x14ac:dyDescent="0.25">
      <c r="A1340" s="22">
        <v>41896.368055555555</v>
      </c>
      <c r="B1340">
        <v>461.6</v>
      </c>
      <c r="C1340">
        <v>94.4</v>
      </c>
      <c r="D1340">
        <v>10.9</v>
      </c>
      <c r="E1340">
        <v>6.7</v>
      </c>
      <c r="G1340">
        <v>14</v>
      </c>
      <c r="H1340" s="23">
        <f t="shared" si="56"/>
        <v>8</v>
      </c>
    </row>
    <row r="1341" spans="1:8" x14ac:dyDescent="0.25">
      <c r="A1341" s="22">
        <v>41896.371527777781</v>
      </c>
      <c r="B1341">
        <v>460.9</v>
      </c>
      <c r="C1341">
        <v>94.4</v>
      </c>
      <c r="D1341">
        <v>10.9</v>
      </c>
      <c r="E1341">
        <v>6.7</v>
      </c>
      <c r="G1341">
        <v>14</v>
      </c>
      <c r="H1341" s="23">
        <f t="shared" si="56"/>
        <v>8</v>
      </c>
    </row>
    <row r="1342" spans="1:8" x14ac:dyDescent="0.25">
      <c r="A1342" s="22">
        <v>41896.375</v>
      </c>
      <c r="B1342">
        <v>464.4</v>
      </c>
      <c r="C1342">
        <v>94.4</v>
      </c>
      <c r="D1342">
        <v>10.9</v>
      </c>
      <c r="E1342">
        <v>6.7</v>
      </c>
      <c r="G1342">
        <v>14</v>
      </c>
      <c r="H1342" s="23">
        <f t="shared" si="56"/>
        <v>9</v>
      </c>
    </row>
    <row r="1343" spans="1:8" x14ac:dyDescent="0.25">
      <c r="A1343" s="22">
        <v>41896.378472222219</v>
      </c>
      <c r="B1343">
        <v>463.6</v>
      </c>
      <c r="C1343">
        <v>94.3</v>
      </c>
      <c r="D1343">
        <v>10.9</v>
      </c>
      <c r="E1343">
        <v>6.7</v>
      </c>
      <c r="G1343">
        <v>14</v>
      </c>
      <c r="H1343" s="23">
        <f t="shared" si="56"/>
        <v>9</v>
      </c>
    </row>
    <row r="1344" spans="1:8" x14ac:dyDescent="0.25">
      <c r="A1344" s="22">
        <v>41896.381944444445</v>
      </c>
      <c r="B1344">
        <v>469.8</v>
      </c>
      <c r="C1344">
        <v>94.4</v>
      </c>
      <c r="D1344">
        <v>10.9</v>
      </c>
      <c r="E1344">
        <v>6.6</v>
      </c>
      <c r="G1344">
        <v>14</v>
      </c>
      <c r="H1344" s="23">
        <f t="shared" si="56"/>
        <v>9</v>
      </c>
    </row>
    <row r="1345" spans="1:8" x14ac:dyDescent="0.25">
      <c r="A1345" s="22">
        <v>41896.385416666664</v>
      </c>
      <c r="B1345">
        <v>467.9</v>
      </c>
      <c r="C1345">
        <v>94.4</v>
      </c>
      <c r="D1345">
        <v>10.9</v>
      </c>
      <c r="E1345">
        <v>6.7</v>
      </c>
      <c r="G1345">
        <v>14</v>
      </c>
      <c r="H1345" s="23">
        <f t="shared" si="56"/>
        <v>9</v>
      </c>
    </row>
    <row r="1346" spans="1:8" x14ac:dyDescent="0.25">
      <c r="A1346" s="22">
        <v>41896.388888888891</v>
      </c>
      <c r="B1346">
        <v>466.5</v>
      </c>
      <c r="C1346">
        <v>94.3</v>
      </c>
      <c r="D1346">
        <v>10.9</v>
      </c>
      <c r="E1346">
        <v>6.7</v>
      </c>
      <c r="G1346">
        <v>14</v>
      </c>
      <c r="H1346" s="23">
        <f t="shared" si="56"/>
        <v>9</v>
      </c>
    </row>
    <row r="1347" spans="1:8" x14ac:dyDescent="0.25">
      <c r="A1347" s="22">
        <v>41896.392361111109</v>
      </c>
      <c r="B1347">
        <v>465.4</v>
      </c>
      <c r="C1347">
        <v>94.3</v>
      </c>
      <c r="D1347">
        <v>10.9</v>
      </c>
      <c r="E1347">
        <v>6.7</v>
      </c>
      <c r="G1347">
        <v>14</v>
      </c>
      <c r="H1347" s="23">
        <f t="shared" si="56"/>
        <v>9</v>
      </c>
    </row>
    <row r="1348" spans="1:8" x14ac:dyDescent="0.25">
      <c r="A1348" s="22">
        <v>41896.395833333336</v>
      </c>
      <c r="B1348">
        <v>461.7</v>
      </c>
      <c r="C1348">
        <v>94.3</v>
      </c>
      <c r="D1348">
        <v>10.9</v>
      </c>
      <c r="E1348">
        <v>6.7</v>
      </c>
      <c r="G1348">
        <v>14</v>
      </c>
      <c r="H1348" s="23">
        <f t="shared" si="56"/>
        <v>9</v>
      </c>
    </row>
    <row r="1349" spans="1:8" x14ac:dyDescent="0.25">
      <c r="A1349" s="22">
        <v>41896.399305555555</v>
      </c>
      <c r="B1349">
        <v>462.6</v>
      </c>
      <c r="C1349">
        <v>94.4</v>
      </c>
      <c r="D1349">
        <v>10.9</v>
      </c>
      <c r="E1349">
        <v>6.7</v>
      </c>
      <c r="G1349">
        <v>14</v>
      </c>
      <c r="H1349" s="23">
        <f t="shared" si="56"/>
        <v>9</v>
      </c>
    </row>
    <row r="1350" spans="1:8" x14ac:dyDescent="0.25">
      <c r="A1350" s="22">
        <v>41896.402777777781</v>
      </c>
      <c r="B1350">
        <v>461.5</v>
      </c>
      <c r="C1350">
        <v>94.3</v>
      </c>
      <c r="D1350">
        <v>10.9</v>
      </c>
      <c r="E1350">
        <v>6.7</v>
      </c>
      <c r="G1350">
        <v>14</v>
      </c>
      <c r="H1350" s="23">
        <f t="shared" ref="H1350:H1413" si="57">+HOUR(A1350)</f>
        <v>9</v>
      </c>
    </row>
    <row r="1351" spans="1:8" x14ac:dyDescent="0.25">
      <c r="A1351" s="22">
        <v>41896.40625</v>
      </c>
      <c r="B1351">
        <v>461.6</v>
      </c>
      <c r="C1351">
        <v>94.2</v>
      </c>
      <c r="D1351">
        <v>10.9</v>
      </c>
      <c r="E1351">
        <v>6.7</v>
      </c>
      <c r="G1351">
        <v>14</v>
      </c>
      <c r="H1351" s="23">
        <f t="shared" si="57"/>
        <v>9</v>
      </c>
    </row>
    <row r="1352" spans="1:8" x14ac:dyDescent="0.25">
      <c r="A1352" s="22">
        <v>41896.409722222219</v>
      </c>
      <c r="B1352">
        <v>465.5</v>
      </c>
      <c r="C1352">
        <v>94.3</v>
      </c>
      <c r="D1352">
        <v>10.9</v>
      </c>
      <c r="E1352">
        <v>6.7</v>
      </c>
      <c r="G1352">
        <v>14</v>
      </c>
      <c r="H1352" s="23">
        <f t="shared" si="57"/>
        <v>9</v>
      </c>
    </row>
    <row r="1353" spans="1:8" x14ac:dyDescent="0.25">
      <c r="A1353" s="22">
        <v>41896.413194444445</v>
      </c>
      <c r="B1353">
        <v>465.6</v>
      </c>
      <c r="C1353">
        <v>94.4</v>
      </c>
      <c r="D1353">
        <v>11</v>
      </c>
      <c r="E1353">
        <v>6.7</v>
      </c>
      <c r="G1353">
        <v>14</v>
      </c>
      <c r="H1353" s="23">
        <f t="shared" si="57"/>
        <v>9</v>
      </c>
    </row>
    <row r="1354" spans="1:8" x14ac:dyDescent="0.25">
      <c r="A1354" s="22">
        <v>41896.416666666664</v>
      </c>
      <c r="B1354">
        <v>466.5</v>
      </c>
      <c r="C1354">
        <v>94.3</v>
      </c>
      <c r="D1354">
        <v>11</v>
      </c>
      <c r="E1354">
        <v>6.8</v>
      </c>
      <c r="G1354">
        <v>14</v>
      </c>
      <c r="H1354" s="23">
        <f t="shared" si="57"/>
        <v>10</v>
      </c>
    </row>
    <row r="1355" spans="1:8" x14ac:dyDescent="0.25">
      <c r="A1355" s="22">
        <v>41896.420138888891</v>
      </c>
      <c r="B1355">
        <v>469.1</v>
      </c>
      <c r="C1355">
        <v>94.4</v>
      </c>
      <c r="D1355">
        <v>11</v>
      </c>
      <c r="E1355">
        <v>6.8</v>
      </c>
      <c r="G1355">
        <v>14</v>
      </c>
      <c r="H1355" s="23">
        <f t="shared" si="57"/>
        <v>10</v>
      </c>
    </row>
    <row r="1356" spans="1:8" x14ac:dyDescent="0.25">
      <c r="A1356" s="22">
        <v>41896.423611111109</v>
      </c>
      <c r="B1356">
        <v>470.7</v>
      </c>
      <c r="C1356">
        <v>94.3</v>
      </c>
      <c r="D1356">
        <v>11</v>
      </c>
      <c r="E1356">
        <v>6.8</v>
      </c>
      <c r="G1356">
        <v>14</v>
      </c>
      <c r="H1356" s="23">
        <f t="shared" si="57"/>
        <v>10</v>
      </c>
    </row>
    <row r="1357" spans="1:8" x14ac:dyDescent="0.25">
      <c r="A1357" s="22">
        <v>41896.427083333336</v>
      </c>
      <c r="B1357">
        <v>472.9</v>
      </c>
      <c r="C1357">
        <v>94.3</v>
      </c>
      <c r="D1357">
        <v>11.1</v>
      </c>
      <c r="E1357">
        <v>6.8</v>
      </c>
      <c r="G1357">
        <v>14</v>
      </c>
      <c r="H1357" s="23">
        <f t="shared" si="57"/>
        <v>10</v>
      </c>
    </row>
    <row r="1358" spans="1:8" x14ac:dyDescent="0.25">
      <c r="A1358" s="22">
        <v>41896.430555555555</v>
      </c>
      <c r="B1358">
        <v>466.9</v>
      </c>
      <c r="C1358">
        <v>94.4</v>
      </c>
      <c r="D1358">
        <v>10.9</v>
      </c>
      <c r="E1358">
        <v>6.6</v>
      </c>
      <c r="G1358">
        <v>14</v>
      </c>
      <c r="H1358" s="23">
        <f t="shared" si="57"/>
        <v>10</v>
      </c>
    </row>
    <row r="1359" spans="1:8" x14ac:dyDescent="0.25">
      <c r="A1359" s="22">
        <v>41896.434027777781</v>
      </c>
      <c r="B1359">
        <v>470.9</v>
      </c>
      <c r="C1359">
        <v>94.2</v>
      </c>
      <c r="D1359">
        <v>10.7</v>
      </c>
      <c r="E1359">
        <v>6.4</v>
      </c>
      <c r="G1359">
        <v>14</v>
      </c>
      <c r="H1359" s="23">
        <f t="shared" si="57"/>
        <v>10</v>
      </c>
    </row>
    <row r="1360" spans="1:8" x14ac:dyDescent="0.25">
      <c r="A1360" s="22">
        <v>41896.4375</v>
      </c>
      <c r="B1360">
        <v>469.1</v>
      </c>
      <c r="C1360">
        <v>94.2</v>
      </c>
      <c r="D1360">
        <v>10.7</v>
      </c>
      <c r="E1360">
        <v>6.4</v>
      </c>
      <c r="G1360">
        <v>14</v>
      </c>
      <c r="H1360" s="23">
        <f t="shared" si="57"/>
        <v>10</v>
      </c>
    </row>
    <row r="1361" spans="1:8" x14ac:dyDescent="0.25">
      <c r="A1361" s="22">
        <v>41896.440972222219</v>
      </c>
      <c r="B1361">
        <v>468.4</v>
      </c>
      <c r="C1361">
        <v>94.3</v>
      </c>
      <c r="D1361">
        <v>10.6</v>
      </c>
      <c r="E1361">
        <v>6.3</v>
      </c>
      <c r="G1361">
        <v>14</v>
      </c>
      <c r="H1361" s="23">
        <f t="shared" si="57"/>
        <v>10</v>
      </c>
    </row>
    <row r="1362" spans="1:8" x14ac:dyDescent="0.25">
      <c r="A1362" s="22">
        <v>41896.444444444445</v>
      </c>
      <c r="B1362">
        <v>465.3</v>
      </c>
      <c r="C1362">
        <v>94.3</v>
      </c>
      <c r="D1362">
        <v>10.5</v>
      </c>
      <c r="E1362">
        <v>6.3</v>
      </c>
      <c r="G1362">
        <v>14</v>
      </c>
      <c r="H1362" s="23">
        <f t="shared" si="57"/>
        <v>10</v>
      </c>
    </row>
    <row r="1363" spans="1:8" x14ac:dyDescent="0.25">
      <c r="A1363" s="22">
        <v>41896.447916666664</v>
      </c>
      <c r="B1363">
        <v>466.1</v>
      </c>
      <c r="C1363">
        <v>94.3</v>
      </c>
      <c r="D1363">
        <v>10.4</v>
      </c>
      <c r="E1363">
        <v>6.2</v>
      </c>
      <c r="G1363">
        <v>14</v>
      </c>
      <c r="H1363" s="23">
        <f t="shared" si="57"/>
        <v>10</v>
      </c>
    </row>
    <row r="1364" spans="1:8" x14ac:dyDescent="0.25">
      <c r="A1364" s="22">
        <v>41896.451388888891</v>
      </c>
      <c r="B1364">
        <v>465</v>
      </c>
      <c r="C1364">
        <v>94.2</v>
      </c>
      <c r="D1364">
        <v>10.4</v>
      </c>
      <c r="E1364">
        <v>6.1</v>
      </c>
      <c r="G1364">
        <v>14</v>
      </c>
      <c r="H1364" s="23">
        <f t="shared" si="57"/>
        <v>10</v>
      </c>
    </row>
    <row r="1365" spans="1:8" x14ac:dyDescent="0.25">
      <c r="A1365" s="22">
        <v>41896.454861111109</v>
      </c>
      <c r="B1365">
        <v>464.3</v>
      </c>
      <c r="C1365">
        <v>94.2</v>
      </c>
      <c r="D1365">
        <v>10.3</v>
      </c>
      <c r="E1365">
        <v>6.1</v>
      </c>
      <c r="G1365">
        <v>14</v>
      </c>
      <c r="H1365" s="23">
        <f t="shared" si="57"/>
        <v>10</v>
      </c>
    </row>
    <row r="1366" spans="1:8" x14ac:dyDescent="0.25">
      <c r="A1366" s="22">
        <v>41896.458333333336</v>
      </c>
      <c r="B1366">
        <v>464</v>
      </c>
      <c r="C1366">
        <v>94.2</v>
      </c>
      <c r="D1366">
        <v>10.3</v>
      </c>
      <c r="E1366">
        <v>6.1</v>
      </c>
      <c r="G1366">
        <v>14</v>
      </c>
      <c r="H1366" s="23">
        <f t="shared" si="57"/>
        <v>11</v>
      </c>
    </row>
    <row r="1367" spans="1:8" x14ac:dyDescent="0.25">
      <c r="A1367" s="22">
        <v>41896.461805555555</v>
      </c>
      <c r="B1367">
        <v>461.2</v>
      </c>
      <c r="C1367">
        <v>94.2</v>
      </c>
      <c r="D1367">
        <v>10.199999999999999</v>
      </c>
      <c r="E1367">
        <v>6</v>
      </c>
      <c r="G1367">
        <v>14</v>
      </c>
      <c r="H1367" s="23">
        <f t="shared" si="57"/>
        <v>11</v>
      </c>
    </row>
    <row r="1368" spans="1:8" x14ac:dyDescent="0.25">
      <c r="A1368" s="22">
        <v>41896.465277777781</v>
      </c>
      <c r="B1368">
        <v>458.1</v>
      </c>
      <c r="C1368">
        <v>94.1</v>
      </c>
      <c r="D1368">
        <v>10.199999999999999</v>
      </c>
      <c r="E1368">
        <v>6</v>
      </c>
      <c r="G1368">
        <v>14</v>
      </c>
      <c r="H1368" s="23">
        <f t="shared" si="57"/>
        <v>11</v>
      </c>
    </row>
    <row r="1369" spans="1:8" x14ac:dyDescent="0.25">
      <c r="A1369" s="22">
        <v>41896.46875</v>
      </c>
      <c r="B1369">
        <v>456.4</v>
      </c>
      <c r="C1369">
        <v>94.2</v>
      </c>
      <c r="D1369">
        <v>10.1</v>
      </c>
      <c r="E1369">
        <v>6</v>
      </c>
      <c r="G1369">
        <v>14</v>
      </c>
      <c r="H1369" s="23">
        <f t="shared" si="57"/>
        <v>11</v>
      </c>
    </row>
    <row r="1370" spans="1:8" x14ac:dyDescent="0.25">
      <c r="A1370" s="22">
        <v>41896.472222222219</v>
      </c>
      <c r="B1370">
        <v>457.9</v>
      </c>
      <c r="C1370">
        <v>94.2</v>
      </c>
      <c r="D1370">
        <v>10.1</v>
      </c>
      <c r="E1370">
        <v>6</v>
      </c>
      <c r="G1370">
        <v>14</v>
      </c>
      <c r="H1370" s="23">
        <f t="shared" si="57"/>
        <v>11</v>
      </c>
    </row>
    <row r="1371" spans="1:8" x14ac:dyDescent="0.25">
      <c r="A1371" s="22">
        <v>41896.475694444445</v>
      </c>
      <c r="B1371">
        <v>455.7</v>
      </c>
      <c r="C1371">
        <v>94.2</v>
      </c>
      <c r="D1371">
        <v>10.1</v>
      </c>
      <c r="E1371">
        <v>5.9</v>
      </c>
      <c r="G1371">
        <v>14</v>
      </c>
      <c r="H1371" s="23">
        <f t="shared" si="57"/>
        <v>11</v>
      </c>
    </row>
    <row r="1372" spans="1:8" x14ac:dyDescent="0.25">
      <c r="A1372" s="22">
        <v>41896.479166666664</v>
      </c>
      <c r="B1372">
        <v>452.5</v>
      </c>
      <c r="C1372">
        <v>94.1</v>
      </c>
      <c r="D1372">
        <v>10</v>
      </c>
      <c r="E1372">
        <v>5.9</v>
      </c>
      <c r="G1372">
        <v>14</v>
      </c>
      <c r="H1372" s="23">
        <f t="shared" si="57"/>
        <v>11</v>
      </c>
    </row>
    <row r="1373" spans="1:8" x14ac:dyDescent="0.25">
      <c r="A1373" s="22">
        <v>41896.482638888891</v>
      </c>
      <c r="B1373">
        <v>452.4</v>
      </c>
      <c r="C1373">
        <v>94.1</v>
      </c>
      <c r="D1373">
        <v>9.9</v>
      </c>
      <c r="E1373">
        <v>5.8</v>
      </c>
      <c r="G1373">
        <v>14</v>
      </c>
      <c r="H1373" s="23">
        <f t="shared" si="57"/>
        <v>11</v>
      </c>
    </row>
    <row r="1374" spans="1:8" x14ac:dyDescent="0.25">
      <c r="A1374" s="22">
        <v>41896.486111111109</v>
      </c>
      <c r="B1374">
        <v>451.5</v>
      </c>
      <c r="C1374">
        <v>94.1</v>
      </c>
      <c r="D1374">
        <v>9.9</v>
      </c>
      <c r="E1374">
        <v>5.8</v>
      </c>
      <c r="G1374">
        <v>14</v>
      </c>
      <c r="H1374" s="23">
        <f t="shared" si="57"/>
        <v>11</v>
      </c>
    </row>
    <row r="1375" spans="1:8" x14ac:dyDescent="0.25">
      <c r="A1375" s="22">
        <v>41896.489583333336</v>
      </c>
      <c r="B1375">
        <v>448.7</v>
      </c>
      <c r="C1375">
        <v>94.2</v>
      </c>
      <c r="D1375">
        <v>9.9</v>
      </c>
      <c r="E1375">
        <v>5.8</v>
      </c>
      <c r="G1375">
        <v>14</v>
      </c>
      <c r="H1375" s="23">
        <f t="shared" si="57"/>
        <v>11</v>
      </c>
    </row>
    <row r="1376" spans="1:8" x14ac:dyDescent="0.25">
      <c r="A1376" s="22">
        <v>41896.493055555555</v>
      </c>
      <c r="B1376">
        <v>445.7</v>
      </c>
      <c r="C1376">
        <v>94.2</v>
      </c>
      <c r="D1376">
        <v>9.9</v>
      </c>
      <c r="E1376">
        <v>5.8</v>
      </c>
      <c r="G1376">
        <v>14</v>
      </c>
      <c r="H1376" s="23">
        <f t="shared" si="57"/>
        <v>11</v>
      </c>
    </row>
    <row r="1377" spans="1:8" x14ac:dyDescent="0.25">
      <c r="A1377" s="22">
        <v>41896.496527777781</v>
      </c>
      <c r="B1377">
        <v>444.7</v>
      </c>
      <c r="C1377">
        <v>94.2</v>
      </c>
      <c r="D1377">
        <v>9.8000000000000007</v>
      </c>
      <c r="E1377">
        <v>5.8</v>
      </c>
      <c r="G1377">
        <v>14</v>
      </c>
      <c r="H1377" s="23">
        <f t="shared" si="57"/>
        <v>11</v>
      </c>
    </row>
    <row r="1378" spans="1:8" x14ac:dyDescent="0.25">
      <c r="A1378" s="22">
        <v>41896.5</v>
      </c>
      <c r="B1378">
        <v>440.7</v>
      </c>
      <c r="C1378">
        <v>94.1</v>
      </c>
      <c r="D1378">
        <v>9.8000000000000007</v>
      </c>
      <c r="E1378">
        <v>5.8</v>
      </c>
      <c r="G1378">
        <v>14</v>
      </c>
      <c r="H1378" s="23">
        <f t="shared" si="57"/>
        <v>12</v>
      </c>
    </row>
    <row r="1379" spans="1:8" x14ac:dyDescent="0.25">
      <c r="A1379" s="22">
        <v>41896.503472222219</v>
      </c>
      <c r="B1379">
        <v>440</v>
      </c>
      <c r="C1379">
        <v>94.2</v>
      </c>
      <c r="D1379">
        <v>9.8000000000000007</v>
      </c>
      <c r="E1379">
        <v>5.8</v>
      </c>
      <c r="G1379">
        <v>14</v>
      </c>
      <c r="H1379" s="23">
        <f t="shared" si="57"/>
        <v>12</v>
      </c>
    </row>
    <row r="1380" spans="1:8" x14ac:dyDescent="0.25">
      <c r="A1380" s="22">
        <v>41896.506944444445</v>
      </c>
      <c r="B1380">
        <v>439.4</v>
      </c>
      <c r="C1380">
        <v>94.2</v>
      </c>
      <c r="D1380">
        <v>9.8000000000000007</v>
      </c>
      <c r="E1380">
        <v>5.8</v>
      </c>
      <c r="G1380">
        <v>14</v>
      </c>
      <c r="H1380" s="23">
        <f t="shared" si="57"/>
        <v>12</v>
      </c>
    </row>
    <row r="1381" spans="1:8" x14ac:dyDescent="0.25">
      <c r="A1381" s="22">
        <v>41896.510416666664</v>
      </c>
      <c r="B1381">
        <v>440.4</v>
      </c>
      <c r="C1381">
        <v>94.1</v>
      </c>
      <c r="D1381">
        <v>9.8000000000000007</v>
      </c>
      <c r="E1381">
        <v>5.8</v>
      </c>
      <c r="G1381">
        <v>14</v>
      </c>
      <c r="H1381" s="23">
        <f t="shared" si="57"/>
        <v>12</v>
      </c>
    </row>
    <row r="1382" spans="1:8" x14ac:dyDescent="0.25">
      <c r="A1382" s="22">
        <v>41896.513888888891</v>
      </c>
      <c r="B1382">
        <v>442.3</v>
      </c>
      <c r="C1382">
        <v>94.2</v>
      </c>
      <c r="D1382">
        <v>9.8000000000000007</v>
      </c>
      <c r="E1382">
        <v>5.8</v>
      </c>
      <c r="G1382">
        <v>14</v>
      </c>
      <c r="H1382" s="23">
        <f t="shared" si="57"/>
        <v>12</v>
      </c>
    </row>
    <row r="1383" spans="1:8" x14ac:dyDescent="0.25">
      <c r="A1383" s="22">
        <v>41896.517361111109</v>
      </c>
      <c r="B1383">
        <v>454.3</v>
      </c>
      <c r="C1383">
        <v>94.2</v>
      </c>
      <c r="D1383">
        <v>10</v>
      </c>
      <c r="E1383">
        <v>5.9</v>
      </c>
      <c r="G1383">
        <v>14</v>
      </c>
      <c r="H1383" s="23">
        <f t="shared" si="57"/>
        <v>12</v>
      </c>
    </row>
    <row r="1384" spans="1:8" x14ac:dyDescent="0.25">
      <c r="A1384" s="22">
        <v>41896.520833333336</v>
      </c>
      <c r="B1384">
        <v>466.2</v>
      </c>
      <c r="C1384">
        <v>94.3</v>
      </c>
      <c r="D1384">
        <v>10.5</v>
      </c>
      <c r="E1384">
        <v>6.3</v>
      </c>
      <c r="G1384">
        <v>14</v>
      </c>
      <c r="H1384" s="23">
        <f t="shared" si="57"/>
        <v>12</v>
      </c>
    </row>
    <row r="1385" spans="1:8" x14ac:dyDescent="0.25">
      <c r="A1385" s="22">
        <v>41896.524305555555</v>
      </c>
      <c r="B1385">
        <v>462.1</v>
      </c>
      <c r="C1385">
        <v>94.3</v>
      </c>
      <c r="D1385">
        <v>10.6</v>
      </c>
      <c r="E1385">
        <v>6.4</v>
      </c>
      <c r="G1385">
        <v>14</v>
      </c>
      <c r="H1385" s="23">
        <f t="shared" si="57"/>
        <v>12</v>
      </c>
    </row>
    <row r="1386" spans="1:8" x14ac:dyDescent="0.25">
      <c r="A1386" s="22">
        <v>41896.527777777781</v>
      </c>
      <c r="B1386">
        <v>462.5</v>
      </c>
      <c r="C1386">
        <v>94.2</v>
      </c>
      <c r="D1386">
        <v>10.6</v>
      </c>
      <c r="E1386">
        <v>6.3</v>
      </c>
      <c r="G1386">
        <v>14</v>
      </c>
      <c r="H1386" s="23">
        <f t="shared" si="57"/>
        <v>12</v>
      </c>
    </row>
    <row r="1387" spans="1:8" x14ac:dyDescent="0.25">
      <c r="A1387" s="22">
        <v>41896.53125</v>
      </c>
      <c r="B1387">
        <v>461.9</v>
      </c>
      <c r="C1387">
        <v>94.3</v>
      </c>
      <c r="D1387">
        <v>10.6</v>
      </c>
      <c r="E1387">
        <v>6.4</v>
      </c>
      <c r="G1387">
        <v>14</v>
      </c>
      <c r="H1387" s="23">
        <f t="shared" si="57"/>
        <v>12</v>
      </c>
    </row>
    <row r="1388" spans="1:8" x14ac:dyDescent="0.25">
      <c r="A1388" s="22">
        <v>41896.534722222219</v>
      </c>
      <c r="B1388">
        <v>462.8</v>
      </c>
      <c r="C1388">
        <v>94.3</v>
      </c>
      <c r="D1388">
        <v>10.6</v>
      </c>
      <c r="E1388">
        <v>6.4</v>
      </c>
      <c r="G1388">
        <v>14</v>
      </c>
      <c r="H1388" s="23">
        <f t="shared" si="57"/>
        <v>12</v>
      </c>
    </row>
    <row r="1389" spans="1:8" x14ac:dyDescent="0.25">
      <c r="A1389" s="22">
        <v>41896.538194444445</v>
      </c>
      <c r="B1389">
        <v>464.5</v>
      </c>
      <c r="C1389">
        <v>94.3</v>
      </c>
      <c r="D1389">
        <v>10.7</v>
      </c>
      <c r="E1389">
        <v>6.5</v>
      </c>
      <c r="G1389">
        <v>14</v>
      </c>
      <c r="H1389" s="23">
        <f t="shared" si="57"/>
        <v>12</v>
      </c>
    </row>
    <row r="1390" spans="1:8" x14ac:dyDescent="0.25">
      <c r="A1390" s="22">
        <v>41896.541666666664</v>
      </c>
      <c r="B1390">
        <v>468.4</v>
      </c>
      <c r="C1390">
        <v>94.3</v>
      </c>
      <c r="D1390">
        <v>10.8</v>
      </c>
      <c r="E1390">
        <v>6.6</v>
      </c>
      <c r="G1390">
        <v>14</v>
      </c>
      <c r="H1390" s="23">
        <f t="shared" si="57"/>
        <v>13</v>
      </c>
    </row>
    <row r="1391" spans="1:8" x14ac:dyDescent="0.25">
      <c r="A1391" s="22">
        <v>41896.545138888891</v>
      </c>
      <c r="B1391">
        <v>469.5</v>
      </c>
      <c r="C1391">
        <v>94.2</v>
      </c>
      <c r="D1391">
        <v>10.9</v>
      </c>
      <c r="E1391">
        <v>6.6</v>
      </c>
      <c r="G1391">
        <v>14</v>
      </c>
      <c r="H1391" s="23">
        <f t="shared" si="57"/>
        <v>13</v>
      </c>
    </row>
    <row r="1392" spans="1:8" x14ac:dyDescent="0.25">
      <c r="A1392" s="22">
        <v>41896.548611111109</v>
      </c>
      <c r="B1392">
        <v>467.7</v>
      </c>
      <c r="C1392">
        <v>94.3</v>
      </c>
      <c r="D1392">
        <v>10.9</v>
      </c>
      <c r="E1392">
        <v>6.6</v>
      </c>
      <c r="G1392">
        <v>14</v>
      </c>
      <c r="H1392" s="23">
        <f t="shared" si="57"/>
        <v>13</v>
      </c>
    </row>
    <row r="1393" spans="1:8" x14ac:dyDescent="0.25">
      <c r="A1393" s="22">
        <v>41896.552083333336</v>
      </c>
      <c r="B1393">
        <v>470.1</v>
      </c>
      <c r="C1393">
        <v>94.4</v>
      </c>
      <c r="D1393">
        <v>10.9</v>
      </c>
      <c r="E1393">
        <v>6.7</v>
      </c>
      <c r="G1393">
        <v>14</v>
      </c>
      <c r="H1393" s="23">
        <f t="shared" si="57"/>
        <v>13</v>
      </c>
    </row>
    <row r="1394" spans="1:8" x14ac:dyDescent="0.25">
      <c r="A1394" s="22">
        <v>41896.555555555555</v>
      </c>
      <c r="B1394">
        <v>470</v>
      </c>
      <c r="C1394">
        <v>94.3</v>
      </c>
      <c r="D1394">
        <v>11</v>
      </c>
      <c r="E1394">
        <v>6.7</v>
      </c>
      <c r="G1394">
        <v>14</v>
      </c>
      <c r="H1394" s="23">
        <f t="shared" si="57"/>
        <v>13</v>
      </c>
    </row>
    <row r="1395" spans="1:8" x14ac:dyDescent="0.25">
      <c r="A1395" s="22">
        <v>41896.559027777781</v>
      </c>
      <c r="B1395">
        <v>470.3</v>
      </c>
      <c r="C1395">
        <v>94.2</v>
      </c>
      <c r="D1395">
        <v>11</v>
      </c>
      <c r="E1395">
        <v>6.7</v>
      </c>
      <c r="G1395">
        <v>14</v>
      </c>
      <c r="H1395" s="23">
        <f t="shared" si="57"/>
        <v>13</v>
      </c>
    </row>
    <row r="1396" spans="1:8" x14ac:dyDescent="0.25">
      <c r="A1396" s="22">
        <v>41896.5625</v>
      </c>
      <c r="B1396">
        <v>472</v>
      </c>
      <c r="C1396">
        <v>94.3</v>
      </c>
      <c r="D1396">
        <v>11.1</v>
      </c>
      <c r="E1396">
        <v>6.8</v>
      </c>
      <c r="G1396">
        <v>14</v>
      </c>
      <c r="H1396" s="23">
        <f t="shared" si="57"/>
        <v>13</v>
      </c>
    </row>
    <row r="1397" spans="1:8" x14ac:dyDescent="0.25">
      <c r="A1397" s="22">
        <v>41896.565972222219</v>
      </c>
      <c r="B1397">
        <v>472.5</v>
      </c>
      <c r="C1397">
        <v>94.3</v>
      </c>
      <c r="D1397">
        <v>11.1</v>
      </c>
      <c r="E1397">
        <v>6.8</v>
      </c>
      <c r="G1397">
        <v>14</v>
      </c>
      <c r="H1397" s="23">
        <f t="shared" si="57"/>
        <v>13</v>
      </c>
    </row>
    <row r="1398" spans="1:8" x14ac:dyDescent="0.25">
      <c r="A1398" s="22">
        <v>41896.569444444445</v>
      </c>
      <c r="B1398">
        <v>472.8</v>
      </c>
      <c r="C1398">
        <v>94.3</v>
      </c>
      <c r="D1398">
        <v>11.2</v>
      </c>
      <c r="E1398">
        <v>6.9</v>
      </c>
      <c r="G1398">
        <v>14</v>
      </c>
      <c r="H1398" s="23">
        <f t="shared" si="57"/>
        <v>13</v>
      </c>
    </row>
    <row r="1399" spans="1:8" x14ac:dyDescent="0.25">
      <c r="A1399" s="22">
        <v>41896.572916666664</v>
      </c>
      <c r="B1399">
        <v>473.4</v>
      </c>
      <c r="C1399">
        <v>94.4</v>
      </c>
      <c r="D1399">
        <v>11.2</v>
      </c>
      <c r="E1399">
        <v>6.9</v>
      </c>
      <c r="G1399">
        <v>14</v>
      </c>
      <c r="H1399" s="23">
        <f t="shared" si="57"/>
        <v>13</v>
      </c>
    </row>
    <row r="1400" spans="1:8" x14ac:dyDescent="0.25">
      <c r="A1400" s="22">
        <v>41896.576388888891</v>
      </c>
      <c r="B1400">
        <v>470.8</v>
      </c>
      <c r="C1400">
        <v>94.3</v>
      </c>
      <c r="D1400">
        <v>11.2</v>
      </c>
      <c r="E1400">
        <v>7</v>
      </c>
      <c r="G1400">
        <v>14</v>
      </c>
      <c r="H1400" s="23">
        <f t="shared" si="57"/>
        <v>13</v>
      </c>
    </row>
    <row r="1401" spans="1:8" x14ac:dyDescent="0.25">
      <c r="A1401" s="22">
        <v>41896.579861111109</v>
      </c>
      <c r="B1401">
        <v>472.3</v>
      </c>
      <c r="C1401">
        <v>94.5</v>
      </c>
      <c r="D1401">
        <v>11.3</v>
      </c>
      <c r="E1401">
        <v>7</v>
      </c>
      <c r="G1401">
        <v>14</v>
      </c>
      <c r="H1401" s="23">
        <f t="shared" si="57"/>
        <v>13</v>
      </c>
    </row>
    <row r="1402" spans="1:8" x14ac:dyDescent="0.25">
      <c r="A1402" s="22">
        <v>41896.583333333336</v>
      </c>
      <c r="B1402">
        <v>473.7</v>
      </c>
      <c r="C1402">
        <v>94.4</v>
      </c>
      <c r="D1402">
        <v>11.4</v>
      </c>
      <c r="E1402">
        <v>7.1</v>
      </c>
      <c r="G1402">
        <v>14</v>
      </c>
      <c r="H1402" s="23">
        <f t="shared" si="57"/>
        <v>14</v>
      </c>
    </row>
    <row r="1403" spans="1:8" x14ac:dyDescent="0.25">
      <c r="A1403" s="22">
        <v>41896.586805555555</v>
      </c>
      <c r="B1403">
        <v>474.7</v>
      </c>
      <c r="C1403">
        <v>94.4</v>
      </c>
      <c r="D1403">
        <v>11.4</v>
      </c>
      <c r="E1403">
        <v>7.1</v>
      </c>
      <c r="G1403">
        <v>14</v>
      </c>
      <c r="H1403" s="23">
        <f t="shared" si="57"/>
        <v>14</v>
      </c>
    </row>
    <row r="1404" spans="1:8" x14ac:dyDescent="0.25">
      <c r="A1404" s="22">
        <v>41896.590277777781</v>
      </c>
      <c r="B1404">
        <v>476.1</v>
      </c>
      <c r="C1404">
        <v>94.3</v>
      </c>
      <c r="D1404">
        <v>11.5</v>
      </c>
      <c r="E1404">
        <v>7.2</v>
      </c>
      <c r="G1404">
        <v>14</v>
      </c>
      <c r="H1404" s="23">
        <f t="shared" si="57"/>
        <v>14</v>
      </c>
    </row>
    <row r="1405" spans="1:8" x14ac:dyDescent="0.25">
      <c r="A1405" s="22">
        <v>41896.59375</v>
      </c>
      <c r="B1405">
        <v>475.5</v>
      </c>
      <c r="C1405">
        <v>94.5</v>
      </c>
      <c r="D1405">
        <v>11.5</v>
      </c>
      <c r="E1405">
        <v>7.2</v>
      </c>
      <c r="G1405">
        <v>14</v>
      </c>
      <c r="H1405" s="23">
        <f t="shared" si="57"/>
        <v>14</v>
      </c>
    </row>
    <row r="1406" spans="1:8" x14ac:dyDescent="0.25">
      <c r="A1406" s="22">
        <v>41896.597222222219</v>
      </c>
      <c r="B1406">
        <v>476.2</v>
      </c>
      <c r="C1406">
        <v>94.6</v>
      </c>
      <c r="D1406">
        <v>11.6</v>
      </c>
      <c r="E1406">
        <v>7.3</v>
      </c>
      <c r="G1406">
        <v>14</v>
      </c>
      <c r="H1406" s="23">
        <f t="shared" si="57"/>
        <v>14</v>
      </c>
    </row>
    <row r="1407" spans="1:8" x14ac:dyDescent="0.25">
      <c r="A1407" s="22">
        <v>41896.600694444445</v>
      </c>
      <c r="B1407">
        <v>471.3</v>
      </c>
      <c r="C1407">
        <v>94.4</v>
      </c>
      <c r="D1407">
        <v>11.6</v>
      </c>
      <c r="E1407">
        <v>7.4</v>
      </c>
      <c r="G1407">
        <v>14</v>
      </c>
      <c r="H1407" s="23">
        <f t="shared" si="57"/>
        <v>14</v>
      </c>
    </row>
    <row r="1408" spans="1:8" x14ac:dyDescent="0.25">
      <c r="A1408" s="22">
        <v>41896.604166666664</v>
      </c>
      <c r="B1408">
        <v>472.1</v>
      </c>
      <c r="C1408">
        <v>94.4</v>
      </c>
      <c r="D1408">
        <v>11.7</v>
      </c>
      <c r="E1408">
        <v>7.4</v>
      </c>
      <c r="G1408">
        <v>14</v>
      </c>
      <c r="H1408" s="23">
        <f t="shared" si="57"/>
        <v>14</v>
      </c>
    </row>
    <row r="1409" spans="1:8" x14ac:dyDescent="0.25">
      <c r="A1409" s="22">
        <v>41896.607638888891</v>
      </c>
      <c r="B1409">
        <v>472.2</v>
      </c>
      <c r="C1409">
        <v>94.5</v>
      </c>
      <c r="D1409">
        <v>11.7</v>
      </c>
      <c r="E1409">
        <v>7.4</v>
      </c>
      <c r="G1409">
        <v>14</v>
      </c>
      <c r="H1409" s="23">
        <f t="shared" si="57"/>
        <v>14</v>
      </c>
    </row>
    <row r="1410" spans="1:8" x14ac:dyDescent="0.25">
      <c r="A1410" s="22">
        <v>41896.611111111109</v>
      </c>
      <c r="B1410">
        <v>472.6</v>
      </c>
      <c r="C1410">
        <v>94.5</v>
      </c>
      <c r="D1410">
        <v>11.8</v>
      </c>
      <c r="E1410">
        <v>7.5</v>
      </c>
      <c r="G1410">
        <v>14</v>
      </c>
      <c r="H1410" s="23">
        <f t="shared" si="57"/>
        <v>14</v>
      </c>
    </row>
    <row r="1411" spans="1:8" x14ac:dyDescent="0.25">
      <c r="A1411" s="22">
        <v>41896.614583333336</v>
      </c>
      <c r="B1411">
        <v>474.7</v>
      </c>
      <c r="C1411">
        <v>94.4</v>
      </c>
      <c r="D1411">
        <v>11.9</v>
      </c>
      <c r="E1411">
        <v>7.5</v>
      </c>
      <c r="G1411">
        <v>14</v>
      </c>
      <c r="H1411" s="23">
        <f t="shared" si="57"/>
        <v>14</v>
      </c>
    </row>
    <row r="1412" spans="1:8" x14ac:dyDescent="0.25">
      <c r="A1412" s="22">
        <v>41896.618055555555</v>
      </c>
      <c r="B1412">
        <v>475.9</v>
      </c>
      <c r="C1412">
        <v>94.5</v>
      </c>
      <c r="D1412">
        <v>11.9</v>
      </c>
      <c r="E1412">
        <v>7.6</v>
      </c>
      <c r="G1412">
        <v>14</v>
      </c>
      <c r="H1412" s="23">
        <f t="shared" si="57"/>
        <v>14</v>
      </c>
    </row>
    <row r="1413" spans="1:8" x14ac:dyDescent="0.25">
      <c r="A1413" s="22">
        <v>41896.621527777781</v>
      </c>
      <c r="B1413">
        <v>476.6</v>
      </c>
      <c r="C1413">
        <v>94.5</v>
      </c>
      <c r="D1413">
        <v>12</v>
      </c>
      <c r="E1413">
        <v>7.6</v>
      </c>
      <c r="G1413">
        <v>14</v>
      </c>
      <c r="H1413" s="23">
        <f t="shared" si="57"/>
        <v>14</v>
      </c>
    </row>
    <row r="1414" spans="1:8" x14ac:dyDescent="0.25">
      <c r="A1414" s="22">
        <v>41896.625</v>
      </c>
      <c r="B1414">
        <v>477</v>
      </c>
      <c r="C1414">
        <v>94.5</v>
      </c>
      <c r="D1414">
        <v>12</v>
      </c>
      <c r="E1414">
        <v>7.7</v>
      </c>
      <c r="G1414">
        <v>14</v>
      </c>
      <c r="H1414" s="23">
        <f t="shared" ref="H1414:H1477" si="58">+HOUR(A1414)</f>
        <v>15</v>
      </c>
    </row>
    <row r="1415" spans="1:8" x14ac:dyDescent="0.25">
      <c r="A1415" s="22">
        <v>41896.628472222219</v>
      </c>
      <c r="B1415">
        <v>476.9</v>
      </c>
      <c r="C1415">
        <v>94.6</v>
      </c>
      <c r="D1415">
        <v>12.1</v>
      </c>
      <c r="E1415">
        <v>7.7</v>
      </c>
      <c r="G1415">
        <v>14</v>
      </c>
      <c r="H1415" s="23">
        <f t="shared" si="58"/>
        <v>15</v>
      </c>
    </row>
    <row r="1416" spans="1:8" x14ac:dyDescent="0.25">
      <c r="A1416" s="22">
        <v>41896.631944444445</v>
      </c>
      <c r="B1416">
        <v>477.9</v>
      </c>
      <c r="C1416">
        <v>94.5</v>
      </c>
      <c r="D1416">
        <v>12.1</v>
      </c>
      <c r="E1416">
        <v>7.8</v>
      </c>
      <c r="G1416">
        <v>14</v>
      </c>
      <c r="H1416" s="23">
        <f t="shared" si="58"/>
        <v>15</v>
      </c>
    </row>
    <row r="1417" spans="1:8" x14ac:dyDescent="0.25">
      <c r="A1417" s="22">
        <v>41896.635416666664</v>
      </c>
      <c r="B1417">
        <v>481.4</v>
      </c>
      <c r="C1417">
        <v>94.5</v>
      </c>
      <c r="D1417">
        <v>12.1</v>
      </c>
      <c r="E1417">
        <v>7.7</v>
      </c>
      <c r="G1417">
        <v>14</v>
      </c>
      <c r="H1417" s="23">
        <f t="shared" si="58"/>
        <v>15</v>
      </c>
    </row>
    <row r="1418" spans="1:8" x14ac:dyDescent="0.25">
      <c r="A1418" s="22">
        <v>41896.638888888891</v>
      </c>
      <c r="B1418">
        <v>483.7</v>
      </c>
      <c r="C1418">
        <v>94.6</v>
      </c>
      <c r="D1418">
        <v>12.1</v>
      </c>
      <c r="E1418">
        <v>7.8</v>
      </c>
      <c r="G1418">
        <v>14</v>
      </c>
      <c r="H1418" s="23">
        <f t="shared" si="58"/>
        <v>15</v>
      </c>
    </row>
    <row r="1419" spans="1:8" x14ac:dyDescent="0.25">
      <c r="A1419" s="22">
        <v>41896.642361111109</v>
      </c>
      <c r="B1419">
        <v>486.3</v>
      </c>
      <c r="C1419">
        <v>94.5</v>
      </c>
      <c r="D1419">
        <v>12.2</v>
      </c>
      <c r="E1419">
        <v>7.8</v>
      </c>
      <c r="G1419">
        <v>14</v>
      </c>
      <c r="H1419" s="23">
        <f t="shared" si="58"/>
        <v>15</v>
      </c>
    </row>
    <row r="1420" spans="1:8" x14ac:dyDescent="0.25">
      <c r="A1420" s="22">
        <v>41896.645833333336</v>
      </c>
      <c r="B1420">
        <v>486.4</v>
      </c>
      <c r="C1420">
        <v>94.6</v>
      </c>
      <c r="D1420">
        <v>12.2</v>
      </c>
      <c r="E1420">
        <v>7.8</v>
      </c>
      <c r="G1420">
        <v>14</v>
      </c>
      <c r="H1420" s="23">
        <f t="shared" si="58"/>
        <v>15</v>
      </c>
    </row>
    <row r="1421" spans="1:8" x14ac:dyDescent="0.25">
      <c r="A1421" s="22">
        <v>41896.649305555555</v>
      </c>
      <c r="B1421">
        <v>479.1</v>
      </c>
      <c r="C1421">
        <v>94.4</v>
      </c>
      <c r="D1421">
        <v>11.9</v>
      </c>
      <c r="E1421">
        <v>7.5</v>
      </c>
      <c r="G1421">
        <v>14</v>
      </c>
      <c r="H1421" s="23">
        <f t="shared" si="58"/>
        <v>15</v>
      </c>
    </row>
    <row r="1422" spans="1:8" x14ac:dyDescent="0.25">
      <c r="A1422" s="22">
        <v>41896.652777777781</v>
      </c>
      <c r="B1422">
        <v>477.2</v>
      </c>
      <c r="C1422">
        <v>94.5</v>
      </c>
      <c r="D1422">
        <v>11.6</v>
      </c>
      <c r="E1422">
        <v>7.3</v>
      </c>
      <c r="G1422">
        <v>14</v>
      </c>
      <c r="H1422" s="23">
        <f t="shared" si="58"/>
        <v>15</v>
      </c>
    </row>
    <row r="1423" spans="1:8" x14ac:dyDescent="0.25">
      <c r="A1423" s="22">
        <v>41896.65625</v>
      </c>
      <c r="B1423">
        <v>478.4</v>
      </c>
      <c r="C1423">
        <v>94.5</v>
      </c>
      <c r="D1423">
        <v>11.6</v>
      </c>
      <c r="E1423">
        <v>7.2</v>
      </c>
      <c r="G1423">
        <v>14</v>
      </c>
      <c r="H1423" s="23">
        <f t="shared" si="58"/>
        <v>15</v>
      </c>
    </row>
    <row r="1424" spans="1:8" x14ac:dyDescent="0.25">
      <c r="A1424" s="22">
        <v>41896.659722222219</v>
      </c>
      <c r="B1424">
        <v>477.8</v>
      </c>
      <c r="C1424">
        <v>94.5</v>
      </c>
      <c r="D1424">
        <v>11.6</v>
      </c>
      <c r="E1424">
        <v>7.2</v>
      </c>
      <c r="G1424">
        <v>14</v>
      </c>
      <c r="H1424" s="23">
        <f t="shared" si="58"/>
        <v>15</v>
      </c>
    </row>
    <row r="1425" spans="1:8" x14ac:dyDescent="0.25">
      <c r="A1425" s="22">
        <v>41896.663194444445</v>
      </c>
      <c r="B1425">
        <v>475.3</v>
      </c>
      <c r="C1425">
        <v>94.3</v>
      </c>
      <c r="D1425">
        <v>11.5</v>
      </c>
      <c r="E1425">
        <v>7.2</v>
      </c>
      <c r="G1425">
        <v>14</v>
      </c>
      <c r="H1425" s="23">
        <f t="shared" si="58"/>
        <v>15</v>
      </c>
    </row>
    <row r="1426" spans="1:8" x14ac:dyDescent="0.25">
      <c r="A1426" s="22">
        <v>41896.666666666664</v>
      </c>
      <c r="B1426">
        <v>475</v>
      </c>
      <c r="C1426">
        <v>94.4</v>
      </c>
      <c r="D1426">
        <v>11.4</v>
      </c>
      <c r="E1426">
        <v>7.1</v>
      </c>
      <c r="G1426">
        <v>14</v>
      </c>
      <c r="H1426" s="23">
        <f t="shared" si="58"/>
        <v>16</v>
      </c>
    </row>
    <row r="1427" spans="1:8" x14ac:dyDescent="0.25">
      <c r="A1427" s="22">
        <v>41896.670138888891</v>
      </c>
      <c r="B1427">
        <v>473.9</v>
      </c>
      <c r="C1427">
        <v>94.3</v>
      </c>
      <c r="D1427">
        <v>11.3</v>
      </c>
      <c r="E1427">
        <v>6.9</v>
      </c>
      <c r="G1427">
        <v>14</v>
      </c>
      <c r="H1427" s="23">
        <f t="shared" si="58"/>
        <v>16</v>
      </c>
    </row>
    <row r="1428" spans="1:8" x14ac:dyDescent="0.25">
      <c r="A1428" s="22">
        <v>41896.673611111109</v>
      </c>
      <c r="B1428">
        <v>473.4</v>
      </c>
      <c r="C1428">
        <v>94.3</v>
      </c>
      <c r="D1428">
        <v>11.1</v>
      </c>
      <c r="E1428">
        <v>6.8</v>
      </c>
      <c r="G1428">
        <v>14</v>
      </c>
      <c r="H1428" s="23">
        <f t="shared" si="58"/>
        <v>16</v>
      </c>
    </row>
    <row r="1429" spans="1:8" x14ac:dyDescent="0.25">
      <c r="A1429" s="22">
        <v>41896.677083333336</v>
      </c>
      <c r="B1429">
        <v>472.8</v>
      </c>
      <c r="C1429">
        <v>94.3</v>
      </c>
      <c r="D1429">
        <v>11.1</v>
      </c>
      <c r="E1429">
        <v>6.7</v>
      </c>
      <c r="G1429">
        <v>14</v>
      </c>
      <c r="H1429" s="23">
        <f t="shared" si="58"/>
        <v>16</v>
      </c>
    </row>
    <row r="1430" spans="1:8" x14ac:dyDescent="0.25">
      <c r="A1430" s="22">
        <v>41896.680555555555</v>
      </c>
      <c r="B1430">
        <v>471.4</v>
      </c>
      <c r="C1430">
        <v>94.3</v>
      </c>
      <c r="D1430">
        <v>11</v>
      </c>
      <c r="E1430">
        <v>6.7</v>
      </c>
      <c r="G1430">
        <v>14</v>
      </c>
      <c r="H1430" s="23">
        <f t="shared" si="58"/>
        <v>16</v>
      </c>
    </row>
    <row r="1431" spans="1:8" x14ac:dyDescent="0.25">
      <c r="A1431" s="22">
        <v>41896.684027777781</v>
      </c>
      <c r="B1431">
        <v>466.8</v>
      </c>
      <c r="C1431">
        <v>94.4</v>
      </c>
      <c r="D1431">
        <v>10.9</v>
      </c>
      <c r="E1431">
        <v>6.7</v>
      </c>
      <c r="G1431">
        <v>14</v>
      </c>
      <c r="H1431" s="23">
        <f t="shared" si="58"/>
        <v>16</v>
      </c>
    </row>
    <row r="1432" spans="1:8" x14ac:dyDescent="0.25">
      <c r="A1432" s="22">
        <v>41896.6875</v>
      </c>
      <c r="B1432">
        <v>467.1</v>
      </c>
      <c r="C1432">
        <v>94.4</v>
      </c>
      <c r="D1432">
        <v>10.9</v>
      </c>
      <c r="E1432">
        <v>6.6</v>
      </c>
      <c r="G1432">
        <v>14</v>
      </c>
      <c r="H1432" s="23">
        <f t="shared" si="58"/>
        <v>16</v>
      </c>
    </row>
    <row r="1433" spans="1:8" x14ac:dyDescent="0.25">
      <c r="A1433" s="22">
        <v>41896.690972222219</v>
      </c>
      <c r="B1433">
        <v>466.6</v>
      </c>
      <c r="C1433">
        <v>94.3</v>
      </c>
      <c r="D1433">
        <v>10.8</v>
      </c>
      <c r="E1433">
        <v>6.5</v>
      </c>
      <c r="G1433">
        <v>14</v>
      </c>
      <c r="H1433" s="23">
        <f t="shared" si="58"/>
        <v>16</v>
      </c>
    </row>
    <row r="1434" spans="1:8" x14ac:dyDescent="0.25">
      <c r="A1434" s="22">
        <v>41896.694444444445</v>
      </c>
      <c r="B1434">
        <v>467.6</v>
      </c>
      <c r="C1434">
        <v>94.3</v>
      </c>
      <c r="D1434">
        <v>10.7</v>
      </c>
      <c r="E1434">
        <v>6.5</v>
      </c>
      <c r="G1434">
        <v>14</v>
      </c>
      <c r="H1434" s="23">
        <f t="shared" si="58"/>
        <v>16</v>
      </c>
    </row>
    <row r="1435" spans="1:8" x14ac:dyDescent="0.25">
      <c r="A1435" s="22">
        <v>41896.697916666664</v>
      </c>
      <c r="B1435">
        <v>467.5</v>
      </c>
      <c r="C1435">
        <v>94.2</v>
      </c>
      <c r="D1435">
        <v>10.6</v>
      </c>
      <c r="E1435">
        <v>6.4</v>
      </c>
      <c r="G1435">
        <v>14</v>
      </c>
      <c r="H1435" s="23">
        <f t="shared" si="58"/>
        <v>16</v>
      </c>
    </row>
    <row r="1436" spans="1:8" x14ac:dyDescent="0.25">
      <c r="A1436" s="22">
        <v>41896.701388888891</v>
      </c>
      <c r="B1436">
        <v>466.7</v>
      </c>
      <c r="C1436">
        <v>94.3</v>
      </c>
      <c r="D1436">
        <v>10.6</v>
      </c>
      <c r="E1436">
        <v>6.3</v>
      </c>
      <c r="G1436">
        <v>14</v>
      </c>
      <c r="H1436" s="23">
        <f t="shared" si="58"/>
        <v>16</v>
      </c>
    </row>
    <row r="1437" spans="1:8" x14ac:dyDescent="0.25">
      <c r="A1437" s="22">
        <v>41896.704861111109</v>
      </c>
      <c r="B1437">
        <v>465.9</v>
      </c>
      <c r="C1437">
        <v>94.2</v>
      </c>
      <c r="D1437">
        <v>10.5</v>
      </c>
      <c r="E1437">
        <v>6.3</v>
      </c>
      <c r="G1437">
        <v>14</v>
      </c>
      <c r="H1437" s="23">
        <f t="shared" si="58"/>
        <v>16</v>
      </c>
    </row>
    <row r="1438" spans="1:8" x14ac:dyDescent="0.25">
      <c r="A1438" s="22">
        <v>41896.708333333336</v>
      </c>
      <c r="B1438">
        <v>464.6</v>
      </c>
      <c r="C1438">
        <v>94.2</v>
      </c>
      <c r="D1438">
        <v>10.5</v>
      </c>
      <c r="E1438">
        <v>6.2</v>
      </c>
      <c r="G1438">
        <v>14</v>
      </c>
      <c r="H1438" s="23">
        <f t="shared" si="58"/>
        <v>17</v>
      </c>
    </row>
    <row r="1439" spans="1:8" x14ac:dyDescent="0.25">
      <c r="A1439" s="22">
        <v>41896.711805555555</v>
      </c>
      <c r="B1439">
        <v>465</v>
      </c>
      <c r="C1439">
        <v>94.1</v>
      </c>
      <c r="D1439">
        <v>10.4</v>
      </c>
      <c r="E1439">
        <v>6.2</v>
      </c>
      <c r="G1439">
        <v>14</v>
      </c>
      <c r="H1439" s="23">
        <f t="shared" si="58"/>
        <v>17</v>
      </c>
    </row>
    <row r="1440" spans="1:8" x14ac:dyDescent="0.25">
      <c r="A1440" s="22">
        <v>41896.715277777781</v>
      </c>
      <c r="B1440">
        <v>467.2</v>
      </c>
      <c r="C1440">
        <v>94.3</v>
      </c>
      <c r="D1440">
        <v>10.4</v>
      </c>
      <c r="E1440">
        <v>6.1</v>
      </c>
      <c r="G1440">
        <v>14</v>
      </c>
      <c r="H1440" s="23">
        <f t="shared" si="58"/>
        <v>17</v>
      </c>
    </row>
    <row r="1441" spans="1:8" x14ac:dyDescent="0.25">
      <c r="A1441" s="22">
        <v>41896.71875</v>
      </c>
      <c r="B1441">
        <v>467.6</v>
      </c>
      <c r="C1441">
        <v>94.2</v>
      </c>
      <c r="D1441">
        <v>10.4</v>
      </c>
      <c r="E1441">
        <v>6.1</v>
      </c>
      <c r="G1441">
        <v>14</v>
      </c>
      <c r="H1441" s="23">
        <f t="shared" si="58"/>
        <v>17</v>
      </c>
    </row>
    <row r="1442" spans="1:8" x14ac:dyDescent="0.25">
      <c r="A1442" s="22">
        <v>41896.722222222219</v>
      </c>
      <c r="B1442">
        <v>465.5</v>
      </c>
      <c r="C1442">
        <v>94.2</v>
      </c>
      <c r="D1442">
        <v>10.4</v>
      </c>
      <c r="E1442">
        <v>6.2</v>
      </c>
      <c r="G1442">
        <v>14</v>
      </c>
      <c r="H1442" s="23">
        <f t="shared" si="58"/>
        <v>17</v>
      </c>
    </row>
    <row r="1443" spans="1:8" x14ac:dyDescent="0.25">
      <c r="A1443" s="22">
        <v>41896.725694444445</v>
      </c>
      <c r="B1443">
        <v>461</v>
      </c>
      <c r="C1443">
        <v>94.2</v>
      </c>
      <c r="D1443">
        <v>10.4</v>
      </c>
      <c r="E1443">
        <v>6.2</v>
      </c>
      <c r="G1443">
        <v>14</v>
      </c>
      <c r="H1443" s="23">
        <f t="shared" si="58"/>
        <v>17</v>
      </c>
    </row>
    <row r="1444" spans="1:8" x14ac:dyDescent="0.25">
      <c r="A1444" s="22">
        <v>41896.729166666664</v>
      </c>
      <c r="B1444">
        <v>460.9</v>
      </c>
      <c r="C1444">
        <v>94.1</v>
      </c>
      <c r="D1444">
        <v>10.3</v>
      </c>
      <c r="E1444">
        <v>6.1</v>
      </c>
      <c r="G1444">
        <v>14</v>
      </c>
      <c r="H1444" s="23">
        <f t="shared" si="58"/>
        <v>17</v>
      </c>
    </row>
    <row r="1445" spans="1:8" x14ac:dyDescent="0.25">
      <c r="A1445" s="22">
        <v>41896.732638888891</v>
      </c>
      <c r="B1445">
        <v>468.1</v>
      </c>
      <c r="C1445">
        <v>94.3</v>
      </c>
      <c r="D1445">
        <v>10.5</v>
      </c>
      <c r="E1445">
        <v>6.2</v>
      </c>
      <c r="G1445">
        <v>14</v>
      </c>
      <c r="H1445" s="23">
        <f t="shared" si="58"/>
        <v>17</v>
      </c>
    </row>
    <row r="1446" spans="1:8" x14ac:dyDescent="0.25">
      <c r="A1446" s="22">
        <v>41896.736111111109</v>
      </c>
      <c r="B1446">
        <v>468</v>
      </c>
      <c r="C1446">
        <v>94.2</v>
      </c>
      <c r="D1446">
        <v>10.8</v>
      </c>
      <c r="E1446">
        <v>6.5</v>
      </c>
      <c r="G1446">
        <v>14</v>
      </c>
      <c r="H1446" s="23">
        <f t="shared" si="58"/>
        <v>17</v>
      </c>
    </row>
    <row r="1447" spans="1:8" x14ac:dyDescent="0.25">
      <c r="A1447" s="22">
        <v>41896.739583333336</v>
      </c>
      <c r="B1447">
        <v>465.9</v>
      </c>
      <c r="C1447">
        <v>94.3</v>
      </c>
      <c r="D1447">
        <v>10.8</v>
      </c>
      <c r="E1447">
        <v>6.6</v>
      </c>
      <c r="G1447">
        <v>14</v>
      </c>
      <c r="H1447" s="23">
        <f t="shared" si="58"/>
        <v>17</v>
      </c>
    </row>
    <row r="1448" spans="1:8" x14ac:dyDescent="0.25">
      <c r="A1448" s="22">
        <v>41896.743055555555</v>
      </c>
      <c r="B1448">
        <v>463.4</v>
      </c>
      <c r="C1448">
        <v>94.2</v>
      </c>
      <c r="D1448">
        <v>10.8</v>
      </c>
      <c r="E1448">
        <v>6.6</v>
      </c>
      <c r="G1448">
        <v>14</v>
      </c>
      <c r="H1448" s="23">
        <f t="shared" si="58"/>
        <v>17</v>
      </c>
    </row>
    <row r="1449" spans="1:8" x14ac:dyDescent="0.25">
      <c r="A1449" s="22">
        <v>41896.746527777781</v>
      </c>
      <c r="B1449">
        <v>465.1</v>
      </c>
      <c r="C1449">
        <v>94.3</v>
      </c>
      <c r="D1449">
        <v>10.8</v>
      </c>
      <c r="E1449">
        <v>6.6</v>
      </c>
      <c r="G1449">
        <v>14</v>
      </c>
      <c r="H1449" s="23">
        <f t="shared" si="58"/>
        <v>17</v>
      </c>
    </row>
    <row r="1450" spans="1:8" x14ac:dyDescent="0.25">
      <c r="A1450" s="22">
        <v>41896.75</v>
      </c>
      <c r="B1450">
        <v>475</v>
      </c>
      <c r="C1450">
        <v>94.3</v>
      </c>
      <c r="D1450">
        <v>11.1</v>
      </c>
      <c r="E1450">
        <v>6.8</v>
      </c>
      <c r="G1450">
        <v>14</v>
      </c>
      <c r="H1450" s="23">
        <f t="shared" si="58"/>
        <v>18</v>
      </c>
    </row>
    <row r="1451" spans="1:8" x14ac:dyDescent="0.25">
      <c r="A1451" s="22">
        <v>41896.753472222219</v>
      </c>
      <c r="B1451">
        <v>471.1</v>
      </c>
      <c r="C1451">
        <v>94.3</v>
      </c>
      <c r="D1451">
        <v>11.2</v>
      </c>
      <c r="E1451">
        <v>6.9</v>
      </c>
      <c r="G1451">
        <v>14</v>
      </c>
      <c r="H1451" s="23">
        <f t="shared" si="58"/>
        <v>18</v>
      </c>
    </row>
    <row r="1452" spans="1:8" x14ac:dyDescent="0.25">
      <c r="A1452" s="22">
        <v>41896.756944444445</v>
      </c>
      <c r="B1452">
        <v>472.2</v>
      </c>
      <c r="C1452">
        <v>94.3</v>
      </c>
      <c r="D1452">
        <v>11.2</v>
      </c>
      <c r="E1452">
        <v>6.9</v>
      </c>
      <c r="G1452">
        <v>14</v>
      </c>
      <c r="H1452" s="23">
        <f t="shared" si="58"/>
        <v>18</v>
      </c>
    </row>
    <row r="1453" spans="1:8" x14ac:dyDescent="0.25">
      <c r="A1453" s="22">
        <v>41896.760416666664</v>
      </c>
      <c r="B1453">
        <v>471.7</v>
      </c>
      <c r="C1453">
        <v>94.3</v>
      </c>
      <c r="D1453">
        <v>11.2</v>
      </c>
      <c r="E1453">
        <v>6.9</v>
      </c>
      <c r="G1453">
        <v>14</v>
      </c>
      <c r="H1453" s="23">
        <f t="shared" si="58"/>
        <v>18</v>
      </c>
    </row>
    <row r="1454" spans="1:8" x14ac:dyDescent="0.25">
      <c r="A1454" s="22">
        <v>41896.763888888891</v>
      </c>
      <c r="B1454">
        <v>474.5</v>
      </c>
      <c r="C1454">
        <v>94.4</v>
      </c>
      <c r="D1454">
        <v>11.3</v>
      </c>
      <c r="E1454">
        <v>6.9</v>
      </c>
      <c r="G1454">
        <v>14</v>
      </c>
      <c r="H1454" s="23">
        <f t="shared" si="58"/>
        <v>18</v>
      </c>
    </row>
    <row r="1455" spans="1:8" x14ac:dyDescent="0.25">
      <c r="A1455" s="22">
        <v>41896.767361111109</v>
      </c>
      <c r="B1455">
        <v>477.1</v>
      </c>
      <c r="C1455">
        <v>94.4</v>
      </c>
      <c r="D1455">
        <v>11.3</v>
      </c>
      <c r="E1455">
        <v>7</v>
      </c>
      <c r="G1455">
        <v>14</v>
      </c>
      <c r="H1455" s="23">
        <f t="shared" si="58"/>
        <v>18</v>
      </c>
    </row>
    <row r="1456" spans="1:8" x14ac:dyDescent="0.25">
      <c r="A1456" s="22">
        <v>41896.770833333336</v>
      </c>
      <c r="B1456">
        <v>477</v>
      </c>
      <c r="C1456">
        <v>94.4</v>
      </c>
      <c r="D1456">
        <v>11.4</v>
      </c>
      <c r="E1456">
        <v>7.1</v>
      </c>
      <c r="G1456">
        <v>14</v>
      </c>
      <c r="H1456" s="23">
        <f t="shared" si="58"/>
        <v>18</v>
      </c>
    </row>
    <row r="1457" spans="1:8" x14ac:dyDescent="0.25">
      <c r="A1457" s="22">
        <v>41896.774305555555</v>
      </c>
      <c r="B1457">
        <v>478.6</v>
      </c>
      <c r="C1457">
        <v>94.4</v>
      </c>
      <c r="D1457">
        <v>11.5</v>
      </c>
      <c r="E1457">
        <v>7.1</v>
      </c>
      <c r="G1457">
        <v>14</v>
      </c>
      <c r="H1457" s="23">
        <f t="shared" si="58"/>
        <v>18</v>
      </c>
    </row>
    <row r="1458" spans="1:8" x14ac:dyDescent="0.25">
      <c r="A1458" s="22">
        <v>41896.777777777781</v>
      </c>
      <c r="B1458">
        <v>475.5</v>
      </c>
      <c r="C1458">
        <v>94.4</v>
      </c>
      <c r="D1458">
        <v>11.5</v>
      </c>
      <c r="E1458">
        <v>7.2</v>
      </c>
      <c r="G1458">
        <v>14</v>
      </c>
      <c r="H1458" s="23">
        <f t="shared" si="58"/>
        <v>18</v>
      </c>
    </row>
    <row r="1459" spans="1:8" x14ac:dyDescent="0.25">
      <c r="A1459" s="22">
        <v>41896.78125</v>
      </c>
      <c r="B1459">
        <v>474.4</v>
      </c>
      <c r="C1459">
        <v>94.4</v>
      </c>
      <c r="D1459">
        <v>11.5</v>
      </c>
      <c r="E1459">
        <v>7.2</v>
      </c>
      <c r="G1459">
        <v>14</v>
      </c>
      <c r="H1459" s="23">
        <f t="shared" si="58"/>
        <v>18</v>
      </c>
    </row>
    <row r="1460" spans="1:8" x14ac:dyDescent="0.25">
      <c r="A1460" s="22">
        <v>41896.784722222219</v>
      </c>
      <c r="B1460">
        <v>478</v>
      </c>
      <c r="C1460">
        <v>94.4</v>
      </c>
      <c r="D1460">
        <v>11.6</v>
      </c>
      <c r="E1460">
        <v>7.2</v>
      </c>
      <c r="G1460">
        <v>14</v>
      </c>
      <c r="H1460" s="23">
        <f t="shared" si="58"/>
        <v>18</v>
      </c>
    </row>
    <row r="1461" spans="1:8" x14ac:dyDescent="0.25">
      <c r="A1461" s="22">
        <v>41896.788194444445</v>
      </c>
      <c r="B1461">
        <v>481.1</v>
      </c>
      <c r="C1461">
        <v>94.5</v>
      </c>
      <c r="D1461">
        <v>11.6</v>
      </c>
      <c r="E1461">
        <v>7.3</v>
      </c>
      <c r="G1461">
        <v>14</v>
      </c>
      <c r="H1461" s="23">
        <f t="shared" si="58"/>
        <v>18</v>
      </c>
    </row>
    <row r="1462" spans="1:8" x14ac:dyDescent="0.25">
      <c r="A1462" s="22">
        <v>41896.791666666664</v>
      </c>
      <c r="B1462">
        <v>479.8</v>
      </c>
      <c r="C1462">
        <v>94.5</v>
      </c>
      <c r="D1462">
        <v>11.8</v>
      </c>
      <c r="E1462">
        <v>7.5</v>
      </c>
      <c r="G1462">
        <v>14</v>
      </c>
      <c r="H1462" s="23">
        <f t="shared" si="58"/>
        <v>19</v>
      </c>
    </row>
    <row r="1463" spans="1:8" x14ac:dyDescent="0.25">
      <c r="A1463" s="22">
        <v>41896.795138888891</v>
      </c>
      <c r="B1463">
        <v>479.5</v>
      </c>
      <c r="C1463">
        <v>94.6</v>
      </c>
      <c r="D1463">
        <v>11.9</v>
      </c>
      <c r="E1463">
        <v>7.5</v>
      </c>
      <c r="G1463">
        <v>14</v>
      </c>
      <c r="H1463" s="23">
        <f t="shared" si="58"/>
        <v>19</v>
      </c>
    </row>
    <row r="1464" spans="1:8" x14ac:dyDescent="0.25">
      <c r="A1464" s="22">
        <v>41896.798611111109</v>
      </c>
      <c r="B1464">
        <v>480.1</v>
      </c>
      <c r="C1464">
        <v>94.5</v>
      </c>
      <c r="D1464">
        <v>11.8</v>
      </c>
      <c r="E1464">
        <v>7.5</v>
      </c>
      <c r="G1464">
        <v>14</v>
      </c>
      <c r="H1464" s="23">
        <f t="shared" si="58"/>
        <v>19</v>
      </c>
    </row>
    <row r="1465" spans="1:8" x14ac:dyDescent="0.25">
      <c r="A1465" s="22">
        <v>41896.802083333336</v>
      </c>
      <c r="B1465">
        <v>480</v>
      </c>
      <c r="C1465">
        <v>94.4</v>
      </c>
      <c r="D1465">
        <v>11.9</v>
      </c>
      <c r="E1465">
        <v>7.5</v>
      </c>
      <c r="G1465">
        <v>14</v>
      </c>
      <c r="H1465" s="23">
        <f t="shared" si="58"/>
        <v>19</v>
      </c>
    </row>
    <row r="1466" spans="1:8" x14ac:dyDescent="0.25">
      <c r="A1466" s="22">
        <v>41896.805555555555</v>
      </c>
      <c r="B1466">
        <v>479.5</v>
      </c>
      <c r="C1466">
        <v>94.5</v>
      </c>
      <c r="D1466">
        <v>11.9</v>
      </c>
      <c r="E1466">
        <v>7.6</v>
      </c>
      <c r="G1466">
        <v>14</v>
      </c>
      <c r="H1466" s="23">
        <f t="shared" si="58"/>
        <v>19</v>
      </c>
    </row>
    <row r="1467" spans="1:8" x14ac:dyDescent="0.25">
      <c r="A1467" s="22">
        <v>41896.809027777781</v>
      </c>
      <c r="B1467">
        <v>481.6</v>
      </c>
      <c r="C1467">
        <v>94.5</v>
      </c>
      <c r="D1467">
        <v>12</v>
      </c>
      <c r="E1467">
        <v>7.6</v>
      </c>
      <c r="G1467">
        <v>14</v>
      </c>
      <c r="H1467" s="23">
        <f t="shared" si="58"/>
        <v>19</v>
      </c>
    </row>
    <row r="1468" spans="1:8" x14ac:dyDescent="0.25">
      <c r="A1468" s="22">
        <v>41896.8125</v>
      </c>
      <c r="B1468">
        <v>479.7</v>
      </c>
      <c r="C1468">
        <v>94.5</v>
      </c>
      <c r="D1468">
        <v>12</v>
      </c>
      <c r="E1468">
        <v>7.7</v>
      </c>
      <c r="G1468">
        <v>14</v>
      </c>
      <c r="H1468" s="23">
        <f t="shared" si="58"/>
        <v>19</v>
      </c>
    </row>
    <row r="1469" spans="1:8" x14ac:dyDescent="0.25">
      <c r="A1469" s="22">
        <v>41896.815972222219</v>
      </c>
      <c r="B1469">
        <v>479.1</v>
      </c>
      <c r="C1469">
        <v>94.4</v>
      </c>
      <c r="D1469">
        <v>12</v>
      </c>
      <c r="E1469">
        <v>7.7</v>
      </c>
      <c r="G1469">
        <v>14</v>
      </c>
      <c r="H1469" s="23">
        <f t="shared" si="58"/>
        <v>19</v>
      </c>
    </row>
    <row r="1470" spans="1:8" x14ac:dyDescent="0.25">
      <c r="A1470" s="22">
        <v>41896.819444444445</v>
      </c>
      <c r="B1470">
        <v>481.6</v>
      </c>
      <c r="C1470">
        <v>94.4</v>
      </c>
      <c r="D1470">
        <v>12</v>
      </c>
      <c r="E1470">
        <v>7.7</v>
      </c>
      <c r="G1470">
        <v>14</v>
      </c>
      <c r="H1470" s="23">
        <f t="shared" si="58"/>
        <v>19</v>
      </c>
    </row>
    <row r="1471" spans="1:8" x14ac:dyDescent="0.25">
      <c r="A1471" s="22">
        <v>41896.822916666664</v>
      </c>
      <c r="B1471">
        <v>481.7</v>
      </c>
      <c r="C1471">
        <v>94.5</v>
      </c>
      <c r="D1471">
        <v>12.1</v>
      </c>
      <c r="E1471">
        <v>7.7</v>
      </c>
      <c r="G1471">
        <v>14</v>
      </c>
      <c r="H1471" s="23">
        <f t="shared" si="58"/>
        <v>19</v>
      </c>
    </row>
    <row r="1472" spans="1:8" x14ac:dyDescent="0.25">
      <c r="A1472" s="22">
        <v>41896.826388888891</v>
      </c>
      <c r="B1472">
        <v>482.4</v>
      </c>
      <c r="C1472">
        <v>94.5</v>
      </c>
      <c r="D1472">
        <v>12.1</v>
      </c>
      <c r="E1472">
        <v>7.7</v>
      </c>
      <c r="G1472">
        <v>14</v>
      </c>
      <c r="H1472" s="23">
        <f t="shared" si="58"/>
        <v>19</v>
      </c>
    </row>
    <row r="1473" spans="1:8" x14ac:dyDescent="0.25">
      <c r="A1473" s="22">
        <v>41896.829861111109</v>
      </c>
      <c r="B1473">
        <v>482.1</v>
      </c>
      <c r="C1473">
        <v>94.4</v>
      </c>
      <c r="D1473">
        <v>12.1</v>
      </c>
      <c r="E1473">
        <v>7.7</v>
      </c>
      <c r="G1473">
        <v>14</v>
      </c>
      <c r="H1473" s="23">
        <f t="shared" si="58"/>
        <v>19</v>
      </c>
    </row>
    <row r="1474" spans="1:8" x14ac:dyDescent="0.25">
      <c r="A1474" s="22">
        <v>41896.833333333336</v>
      </c>
      <c r="B1474">
        <v>483.4</v>
      </c>
      <c r="C1474">
        <v>94.5</v>
      </c>
      <c r="D1474">
        <v>12.1</v>
      </c>
      <c r="E1474">
        <v>7.7</v>
      </c>
      <c r="G1474">
        <v>14</v>
      </c>
      <c r="H1474" s="23">
        <f t="shared" si="58"/>
        <v>20</v>
      </c>
    </row>
    <row r="1475" spans="1:8" x14ac:dyDescent="0.25">
      <c r="A1475" s="22">
        <v>41896.836805555555</v>
      </c>
      <c r="B1475">
        <v>482.8</v>
      </c>
      <c r="C1475">
        <v>94.4</v>
      </c>
      <c r="D1475">
        <v>12.1</v>
      </c>
      <c r="E1475">
        <v>7.7</v>
      </c>
      <c r="G1475">
        <v>14</v>
      </c>
      <c r="H1475" s="23">
        <f t="shared" si="58"/>
        <v>20</v>
      </c>
    </row>
    <row r="1476" spans="1:8" x14ac:dyDescent="0.25">
      <c r="A1476" s="22">
        <v>41896.840277777781</v>
      </c>
      <c r="B1476">
        <v>485.9</v>
      </c>
      <c r="C1476">
        <v>94.6</v>
      </c>
      <c r="D1476">
        <v>12.1</v>
      </c>
      <c r="E1476">
        <v>7.7</v>
      </c>
      <c r="G1476">
        <v>14</v>
      </c>
      <c r="H1476" s="23">
        <f t="shared" si="58"/>
        <v>20</v>
      </c>
    </row>
    <row r="1477" spans="1:8" x14ac:dyDescent="0.25">
      <c r="A1477" s="22">
        <v>41896.84375</v>
      </c>
      <c r="B1477">
        <v>484.6</v>
      </c>
      <c r="C1477">
        <v>94.5</v>
      </c>
      <c r="D1477">
        <v>12.1</v>
      </c>
      <c r="E1477">
        <v>7.7</v>
      </c>
      <c r="G1477">
        <v>14</v>
      </c>
      <c r="H1477" s="23">
        <f t="shared" si="58"/>
        <v>20</v>
      </c>
    </row>
    <row r="1478" spans="1:8" x14ac:dyDescent="0.25">
      <c r="A1478" s="22">
        <v>41896.847222222219</v>
      </c>
      <c r="B1478">
        <v>483.9</v>
      </c>
      <c r="C1478">
        <v>94.5</v>
      </c>
      <c r="D1478">
        <v>12.1</v>
      </c>
      <c r="E1478">
        <v>7.7</v>
      </c>
      <c r="G1478">
        <v>14</v>
      </c>
      <c r="H1478" s="23">
        <f t="shared" ref="H1478:H1541" si="59">+HOUR(A1478)</f>
        <v>20</v>
      </c>
    </row>
    <row r="1479" spans="1:8" x14ac:dyDescent="0.25">
      <c r="A1479" s="22">
        <v>41896.850694444445</v>
      </c>
      <c r="B1479">
        <v>483.4</v>
      </c>
      <c r="C1479">
        <v>94.6</v>
      </c>
      <c r="D1479">
        <v>12.1</v>
      </c>
      <c r="E1479">
        <v>7.7</v>
      </c>
      <c r="G1479">
        <v>14</v>
      </c>
      <c r="H1479" s="23">
        <f t="shared" si="59"/>
        <v>20</v>
      </c>
    </row>
    <row r="1480" spans="1:8" x14ac:dyDescent="0.25">
      <c r="A1480" s="22">
        <v>41896.854166666664</v>
      </c>
      <c r="B1480">
        <v>481.7</v>
      </c>
      <c r="C1480">
        <v>94.6</v>
      </c>
      <c r="D1480">
        <v>12.1</v>
      </c>
      <c r="E1480">
        <v>7.8</v>
      </c>
      <c r="G1480">
        <v>14</v>
      </c>
      <c r="H1480" s="23">
        <f t="shared" si="59"/>
        <v>20</v>
      </c>
    </row>
    <row r="1481" spans="1:8" x14ac:dyDescent="0.25">
      <c r="A1481" s="22">
        <v>41896.857638888891</v>
      </c>
      <c r="B1481">
        <v>482.1</v>
      </c>
      <c r="C1481">
        <v>94.7</v>
      </c>
      <c r="D1481">
        <v>12.1</v>
      </c>
      <c r="E1481">
        <v>7.8</v>
      </c>
      <c r="G1481">
        <v>14</v>
      </c>
      <c r="H1481" s="23">
        <f t="shared" si="59"/>
        <v>20</v>
      </c>
    </row>
    <row r="1482" spans="1:8" x14ac:dyDescent="0.25">
      <c r="A1482" s="22">
        <v>41896.861111111109</v>
      </c>
      <c r="B1482">
        <v>482.3</v>
      </c>
      <c r="C1482">
        <v>94.4</v>
      </c>
      <c r="D1482">
        <v>12.2</v>
      </c>
      <c r="E1482">
        <v>7.8</v>
      </c>
      <c r="G1482">
        <v>14</v>
      </c>
      <c r="H1482" s="23">
        <f t="shared" si="59"/>
        <v>20</v>
      </c>
    </row>
    <row r="1483" spans="1:8" x14ac:dyDescent="0.25">
      <c r="A1483" s="22">
        <v>41896.864583333336</v>
      </c>
      <c r="B1483">
        <v>484</v>
      </c>
      <c r="C1483">
        <v>94.5</v>
      </c>
      <c r="D1483">
        <v>12.2</v>
      </c>
      <c r="E1483">
        <v>7.8</v>
      </c>
      <c r="G1483">
        <v>14</v>
      </c>
      <c r="H1483" s="23">
        <f t="shared" si="59"/>
        <v>20</v>
      </c>
    </row>
    <row r="1484" spans="1:8" x14ac:dyDescent="0.25">
      <c r="A1484" s="22">
        <v>41896.868055555555</v>
      </c>
      <c r="B1484">
        <v>485</v>
      </c>
      <c r="C1484">
        <v>94.5</v>
      </c>
      <c r="D1484">
        <v>12.2</v>
      </c>
      <c r="E1484">
        <v>7.8</v>
      </c>
      <c r="G1484">
        <v>14</v>
      </c>
      <c r="H1484" s="23">
        <f t="shared" si="59"/>
        <v>20</v>
      </c>
    </row>
    <row r="1485" spans="1:8" x14ac:dyDescent="0.25">
      <c r="A1485" s="22">
        <v>41896.871527777781</v>
      </c>
      <c r="B1485">
        <v>482.9</v>
      </c>
      <c r="C1485">
        <v>94.6</v>
      </c>
      <c r="D1485">
        <v>12.2</v>
      </c>
      <c r="E1485">
        <v>7.8</v>
      </c>
      <c r="G1485">
        <v>14</v>
      </c>
      <c r="H1485" s="23">
        <f t="shared" si="59"/>
        <v>20</v>
      </c>
    </row>
    <row r="1486" spans="1:8" x14ac:dyDescent="0.25">
      <c r="A1486" s="22">
        <v>41896.875</v>
      </c>
      <c r="B1486">
        <v>482.9</v>
      </c>
      <c r="C1486">
        <v>94.5</v>
      </c>
      <c r="D1486">
        <v>12.2</v>
      </c>
      <c r="E1486">
        <v>7.8</v>
      </c>
      <c r="G1486">
        <v>14</v>
      </c>
      <c r="H1486" s="23">
        <f t="shared" si="59"/>
        <v>21</v>
      </c>
    </row>
    <row r="1487" spans="1:8" x14ac:dyDescent="0.25">
      <c r="A1487" s="22">
        <v>41896.878472222219</v>
      </c>
      <c r="B1487">
        <v>483.8</v>
      </c>
      <c r="C1487">
        <v>94.5</v>
      </c>
      <c r="D1487">
        <v>12.2</v>
      </c>
      <c r="E1487">
        <v>7.8</v>
      </c>
      <c r="G1487">
        <v>14</v>
      </c>
      <c r="H1487" s="23">
        <f t="shared" si="59"/>
        <v>21</v>
      </c>
    </row>
    <row r="1488" spans="1:8" x14ac:dyDescent="0.25">
      <c r="A1488" s="22">
        <v>41896.881944444445</v>
      </c>
      <c r="B1488">
        <v>481.4</v>
      </c>
      <c r="C1488">
        <v>94.6</v>
      </c>
      <c r="D1488">
        <v>12.2</v>
      </c>
      <c r="E1488">
        <v>7.9</v>
      </c>
      <c r="G1488">
        <v>14</v>
      </c>
      <c r="H1488" s="23">
        <f t="shared" si="59"/>
        <v>21</v>
      </c>
    </row>
    <row r="1489" spans="1:8" x14ac:dyDescent="0.25">
      <c r="A1489" s="22">
        <v>41896.885416666664</v>
      </c>
      <c r="B1489">
        <v>481.1</v>
      </c>
      <c r="C1489">
        <v>94.6</v>
      </c>
      <c r="D1489">
        <v>12.2</v>
      </c>
      <c r="E1489">
        <v>7.8</v>
      </c>
      <c r="G1489">
        <v>14</v>
      </c>
      <c r="H1489" s="23">
        <f t="shared" si="59"/>
        <v>21</v>
      </c>
    </row>
    <row r="1490" spans="1:8" x14ac:dyDescent="0.25">
      <c r="A1490" s="22">
        <v>41896.888888888891</v>
      </c>
      <c r="B1490">
        <v>480.7</v>
      </c>
      <c r="C1490">
        <v>94.5</v>
      </c>
      <c r="D1490">
        <v>12.2</v>
      </c>
      <c r="E1490">
        <v>7.8</v>
      </c>
      <c r="G1490">
        <v>14</v>
      </c>
      <c r="H1490" s="23">
        <f t="shared" si="59"/>
        <v>21</v>
      </c>
    </row>
    <row r="1491" spans="1:8" x14ac:dyDescent="0.25">
      <c r="A1491" s="22">
        <v>41896.892361111109</v>
      </c>
      <c r="B1491">
        <v>480.5</v>
      </c>
      <c r="C1491">
        <v>94.4</v>
      </c>
      <c r="D1491">
        <v>12.2</v>
      </c>
      <c r="E1491">
        <v>7.8</v>
      </c>
      <c r="G1491">
        <v>14</v>
      </c>
      <c r="H1491" s="23">
        <f t="shared" si="59"/>
        <v>21</v>
      </c>
    </row>
    <row r="1492" spans="1:8" x14ac:dyDescent="0.25">
      <c r="A1492" s="22">
        <v>41896.895833333336</v>
      </c>
      <c r="B1492">
        <v>482.8</v>
      </c>
      <c r="C1492">
        <v>94.6</v>
      </c>
      <c r="D1492">
        <v>12.2</v>
      </c>
      <c r="E1492">
        <v>7.8</v>
      </c>
      <c r="G1492">
        <v>14</v>
      </c>
      <c r="H1492" s="23">
        <f t="shared" si="59"/>
        <v>21</v>
      </c>
    </row>
    <row r="1493" spans="1:8" x14ac:dyDescent="0.25">
      <c r="A1493" s="22">
        <v>41896.899305555555</v>
      </c>
      <c r="B1493">
        <v>479.8</v>
      </c>
      <c r="C1493">
        <v>94.5</v>
      </c>
      <c r="D1493">
        <v>12.2</v>
      </c>
      <c r="E1493">
        <v>7.8</v>
      </c>
      <c r="G1493">
        <v>14</v>
      </c>
      <c r="H1493" s="23">
        <f t="shared" si="59"/>
        <v>21</v>
      </c>
    </row>
    <row r="1494" spans="1:8" x14ac:dyDescent="0.25">
      <c r="A1494" s="22">
        <v>41896.902777777781</v>
      </c>
      <c r="B1494">
        <v>478.9</v>
      </c>
      <c r="C1494">
        <v>94.6</v>
      </c>
      <c r="D1494">
        <v>12.2</v>
      </c>
      <c r="E1494">
        <v>7.8</v>
      </c>
      <c r="G1494">
        <v>14</v>
      </c>
      <c r="H1494" s="23">
        <f t="shared" si="59"/>
        <v>21</v>
      </c>
    </row>
    <row r="1495" spans="1:8" x14ac:dyDescent="0.25">
      <c r="A1495" s="22">
        <v>41896.90625</v>
      </c>
      <c r="B1495">
        <v>480.1</v>
      </c>
      <c r="C1495">
        <v>94.4</v>
      </c>
      <c r="D1495">
        <v>12.2</v>
      </c>
      <c r="E1495">
        <v>7.8</v>
      </c>
      <c r="G1495">
        <v>14</v>
      </c>
      <c r="H1495" s="23">
        <f t="shared" si="59"/>
        <v>21</v>
      </c>
    </row>
    <row r="1496" spans="1:8" x14ac:dyDescent="0.25">
      <c r="A1496" s="22">
        <v>41896.909722222219</v>
      </c>
      <c r="B1496">
        <v>476.2</v>
      </c>
      <c r="C1496">
        <v>94.5</v>
      </c>
      <c r="D1496">
        <v>12.2</v>
      </c>
      <c r="E1496">
        <v>7.9</v>
      </c>
      <c r="G1496">
        <v>14</v>
      </c>
      <c r="H1496" s="23">
        <f t="shared" si="59"/>
        <v>21</v>
      </c>
    </row>
    <row r="1497" spans="1:8" x14ac:dyDescent="0.25">
      <c r="A1497" s="22">
        <v>41896.913194444445</v>
      </c>
      <c r="B1497">
        <v>478.6</v>
      </c>
      <c r="C1497">
        <v>94.6</v>
      </c>
      <c r="D1497">
        <v>12.2</v>
      </c>
      <c r="E1497">
        <v>7.9</v>
      </c>
      <c r="G1497">
        <v>14</v>
      </c>
      <c r="H1497" s="23">
        <f t="shared" si="59"/>
        <v>21</v>
      </c>
    </row>
    <row r="1498" spans="1:8" x14ac:dyDescent="0.25">
      <c r="A1498" s="22">
        <v>41896.916666666664</v>
      </c>
      <c r="B1498">
        <v>477.5</v>
      </c>
      <c r="C1498">
        <v>94.5</v>
      </c>
      <c r="D1498">
        <v>12.2</v>
      </c>
      <c r="E1498">
        <v>7.9</v>
      </c>
      <c r="G1498">
        <v>14</v>
      </c>
      <c r="H1498" s="23">
        <f t="shared" si="59"/>
        <v>22</v>
      </c>
    </row>
    <row r="1499" spans="1:8" x14ac:dyDescent="0.25">
      <c r="A1499" s="22">
        <v>41896.920138888891</v>
      </c>
      <c r="B1499">
        <v>477.5</v>
      </c>
      <c r="C1499">
        <v>94.5</v>
      </c>
      <c r="D1499">
        <v>12.2</v>
      </c>
      <c r="E1499">
        <v>7.9</v>
      </c>
      <c r="G1499">
        <v>14</v>
      </c>
      <c r="H1499" s="23">
        <f t="shared" si="59"/>
        <v>22</v>
      </c>
    </row>
    <row r="1500" spans="1:8" x14ac:dyDescent="0.25">
      <c r="A1500" s="22">
        <v>41896.923611111109</v>
      </c>
      <c r="B1500">
        <v>479.1</v>
      </c>
      <c r="C1500">
        <v>94.5</v>
      </c>
      <c r="D1500">
        <v>12.2</v>
      </c>
      <c r="E1500">
        <v>7.8</v>
      </c>
      <c r="G1500">
        <v>14</v>
      </c>
      <c r="H1500" s="23">
        <f t="shared" si="59"/>
        <v>22</v>
      </c>
    </row>
    <row r="1501" spans="1:8" x14ac:dyDescent="0.25">
      <c r="A1501" s="22">
        <v>41896.927083333336</v>
      </c>
      <c r="B1501">
        <v>479.6</v>
      </c>
      <c r="C1501">
        <v>94.5</v>
      </c>
      <c r="D1501">
        <v>12.2</v>
      </c>
      <c r="E1501">
        <v>7.9</v>
      </c>
      <c r="G1501">
        <v>14</v>
      </c>
      <c r="H1501" s="23">
        <f t="shared" si="59"/>
        <v>22</v>
      </c>
    </row>
    <row r="1502" spans="1:8" x14ac:dyDescent="0.25">
      <c r="A1502" s="22">
        <v>41896.930555555555</v>
      </c>
      <c r="B1502">
        <v>481.1</v>
      </c>
      <c r="C1502">
        <v>94.6</v>
      </c>
      <c r="D1502">
        <v>12.2</v>
      </c>
      <c r="E1502">
        <v>7.9</v>
      </c>
      <c r="G1502">
        <v>14</v>
      </c>
      <c r="H1502" s="23">
        <f t="shared" si="59"/>
        <v>22</v>
      </c>
    </row>
    <row r="1503" spans="1:8" x14ac:dyDescent="0.25">
      <c r="A1503" s="22">
        <v>41896.934027777781</v>
      </c>
      <c r="B1503">
        <v>478.2</v>
      </c>
      <c r="C1503">
        <v>94.5</v>
      </c>
      <c r="D1503">
        <v>12.1</v>
      </c>
      <c r="E1503">
        <v>7.7</v>
      </c>
      <c r="G1503">
        <v>14</v>
      </c>
      <c r="H1503" s="23">
        <f t="shared" si="59"/>
        <v>22</v>
      </c>
    </row>
    <row r="1504" spans="1:8" x14ac:dyDescent="0.25">
      <c r="A1504" s="22">
        <v>41896.9375</v>
      </c>
      <c r="B1504">
        <v>486.9</v>
      </c>
      <c r="C1504">
        <v>94.4</v>
      </c>
      <c r="D1504">
        <v>12</v>
      </c>
      <c r="E1504">
        <v>7.6</v>
      </c>
      <c r="G1504">
        <v>14</v>
      </c>
      <c r="H1504" s="23">
        <f t="shared" si="59"/>
        <v>22</v>
      </c>
    </row>
    <row r="1505" spans="1:8" x14ac:dyDescent="0.25">
      <c r="A1505" s="22">
        <v>41896.940972222219</v>
      </c>
      <c r="B1505">
        <v>485.1</v>
      </c>
      <c r="C1505">
        <v>94.5</v>
      </c>
      <c r="D1505">
        <v>12.3</v>
      </c>
      <c r="E1505">
        <v>7.9</v>
      </c>
      <c r="G1505">
        <v>14</v>
      </c>
      <c r="H1505" s="23">
        <f t="shared" si="59"/>
        <v>22</v>
      </c>
    </row>
    <row r="1506" spans="1:8" x14ac:dyDescent="0.25">
      <c r="A1506" s="22">
        <v>41896.944444444445</v>
      </c>
      <c r="B1506">
        <v>479.8</v>
      </c>
      <c r="C1506">
        <v>94.5</v>
      </c>
      <c r="D1506">
        <v>12</v>
      </c>
      <c r="E1506">
        <v>7.6</v>
      </c>
      <c r="G1506">
        <v>14</v>
      </c>
      <c r="H1506" s="23">
        <f t="shared" si="59"/>
        <v>22</v>
      </c>
    </row>
    <row r="1507" spans="1:8" x14ac:dyDescent="0.25">
      <c r="A1507" s="22">
        <v>41896.947916666664</v>
      </c>
      <c r="B1507">
        <v>480.7</v>
      </c>
      <c r="C1507">
        <v>94.4</v>
      </c>
      <c r="D1507">
        <v>11.8</v>
      </c>
      <c r="E1507">
        <v>7.4</v>
      </c>
      <c r="G1507">
        <v>14</v>
      </c>
      <c r="H1507" s="23">
        <f t="shared" si="59"/>
        <v>22</v>
      </c>
    </row>
    <row r="1508" spans="1:8" x14ac:dyDescent="0.25">
      <c r="A1508" s="22">
        <v>41896.951388888891</v>
      </c>
      <c r="B1508">
        <v>477</v>
      </c>
      <c r="C1508">
        <v>94.4</v>
      </c>
      <c r="D1508">
        <v>11.7</v>
      </c>
      <c r="E1508">
        <v>7.4</v>
      </c>
      <c r="G1508">
        <v>14</v>
      </c>
      <c r="H1508" s="23">
        <f t="shared" si="59"/>
        <v>22</v>
      </c>
    </row>
    <row r="1509" spans="1:8" x14ac:dyDescent="0.25">
      <c r="A1509" s="22">
        <v>41896.954861111109</v>
      </c>
      <c r="B1509">
        <v>482</v>
      </c>
      <c r="C1509">
        <v>94.4</v>
      </c>
      <c r="D1509">
        <v>11.8</v>
      </c>
      <c r="E1509">
        <v>7.5</v>
      </c>
      <c r="G1509">
        <v>14</v>
      </c>
      <c r="H1509" s="23">
        <f t="shared" si="59"/>
        <v>22</v>
      </c>
    </row>
    <row r="1510" spans="1:8" x14ac:dyDescent="0.25">
      <c r="A1510" s="22">
        <v>41896.958333333336</v>
      </c>
      <c r="B1510">
        <v>478.9</v>
      </c>
      <c r="C1510">
        <v>94.6</v>
      </c>
      <c r="D1510">
        <v>11.8</v>
      </c>
      <c r="E1510">
        <v>7.5</v>
      </c>
      <c r="G1510">
        <v>14</v>
      </c>
      <c r="H1510" s="23">
        <f t="shared" si="59"/>
        <v>23</v>
      </c>
    </row>
    <row r="1511" spans="1:8" x14ac:dyDescent="0.25">
      <c r="A1511" s="22">
        <v>41896.961805555555</v>
      </c>
      <c r="B1511">
        <v>478.1</v>
      </c>
      <c r="C1511">
        <v>94.6</v>
      </c>
      <c r="D1511">
        <v>11.7</v>
      </c>
      <c r="E1511">
        <v>7.4</v>
      </c>
      <c r="G1511">
        <v>14</v>
      </c>
      <c r="H1511" s="23">
        <f t="shared" si="59"/>
        <v>23</v>
      </c>
    </row>
    <row r="1512" spans="1:8" x14ac:dyDescent="0.25">
      <c r="A1512" s="22">
        <v>41896.965277777781</v>
      </c>
      <c r="B1512">
        <v>477.8</v>
      </c>
      <c r="C1512">
        <v>94.5</v>
      </c>
      <c r="D1512">
        <v>11.7</v>
      </c>
      <c r="E1512">
        <v>7.3</v>
      </c>
      <c r="G1512">
        <v>14</v>
      </c>
      <c r="H1512" s="23">
        <f t="shared" si="59"/>
        <v>23</v>
      </c>
    </row>
    <row r="1513" spans="1:8" x14ac:dyDescent="0.25">
      <c r="A1513" s="22">
        <v>41896.96875</v>
      </c>
      <c r="B1513">
        <v>475.8</v>
      </c>
      <c r="C1513">
        <v>94.3</v>
      </c>
      <c r="D1513">
        <v>11.6</v>
      </c>
      <c r="E1513">
        <v>7.3</v>
      </c>
      <c r="G1513">
        <v>14</v>
      </c>
      <c r="H1513" s="23">
        <f t="shared" si="59"/>
        <v>23</v>
      </c>
    </row>
    <row r="1514" spans="1:8" x14ac:dyDescent="0.25">
      <c r="A1514" s="22">
        <v>41896.972222222219</v>
      </c>
      <c r="B1514">
        <v>476.7</v>
      </c>
      <c r="C1514">
        <v>94.5</v>
      </c>
      <c r="D1514">
        <v>11.6</v>
      </c>
      <c r="E1514">
        <v>7.3</v>
      </c>
      <c r="G1514">
        <v>14</v>
      </c>
      <c r="H1514" s="23">
        <f t="shared" si="59"/>
        <v>23</v>
      </c>
    </row>
    <row r="1515" spans="1:8" x14ac:dyDescent="0.25">
      <c r="A1515" s="22">
        <v>41896.975694444445</v>
      </c>
      <c r="B1515">
        <v>477.4</v>
      </c>
      <c r="C1515">
        <v>94.5</v>
      </c>
      <c r="D1515">
        <v>11.5</v>
      </c>
      <c r="E1515">
        <v>7.2</v>
      </c>
      <c r="G1515">
        <v>14</v>
      </c>
      <c r="H1515" s="23">
        <f t="shared" si="59"/>
        <v>23</v>
      </c>
    </row>
    <row r="1516" spans="1:8" x14ac:dyDescent="0.25">
      <c r="A1516" s="22">
        <v>41896.979166666664</v>
      </c>
      <c r="B1516">
        <v>478.5</v>
      </c>
      <c r="C1516">
        <v>94.4</v>
      </c>
      <c r="D1516">
        <v>11.5</v>
      </c>
      <c r="E1516">
        <v>7.2</v>
      </c>
      <c r="G1516">
        <v>14</v>
      </c>
      <c r="H1516" s="23">
        <f t="shared" si="59"/>
        <v>23</v>
      </c>
    </row>
    <row r="1517" spans="1:8" x14ac:dyDescent="0.25">
      <c r="A1517" s="22">
        <v>41896.982638888891</v>
      </c>
      <c r="B1517">
        <v>480.2</v>
      </c>
      <c r="C1517">
        <v>94.4</v>
      </c>
      <c r="D1517">
        <v>11.5</v>
      </c>
      <c r="E1517">
        <v>7.2</v>
      </c>
      <c r="G1517">
        <v>14</v>
      </c>
      <c r="H1517" s="23">
        <f t="shared" si="59"/>
        <v>23</v>
      </c>
    </row>
    <row r="1518" spans="1:8" x14ac:dyDescent="0.25">
      <c r="A1518" s="22">
        <v>41896.986111111109</v>
      </c>
      <c r="B1518">
        <v>482</v>
      </c>
      <c r="C1518">
        <v>94.5</v>
      </c>
      <c r="D1518">
        <v>11.5</v>
      </c>
      <c r="E1518">
        <v>7.2</v>
      </c>
      <c r="G1518">
        <v>14</v>
      </c>
      <c r="H1518" s="23">
        <f t="shared" si="59"/>
        <v>23</v>
      </c>
    </row>
    <row r="1519" spans="1:8" x14ac:dyDescent="0.25">
      <c r="A1519" s="22">
        <v>41896.989583333336</v>
      </c>
      <c r="B1519">
        <v>480.4</v>
      </c>
      <c r="C1519">
        <v>94.5</v>
      </c>
      <c r="D1519">
        <v>11.5</v>
      </c>
      <c r="E1519">
        <v>7.1</v>
      </c>
      <c r="G1519">
        <v>14</v>
      </c>
      <c r="H1519" s="23">
        <f t="shared" si="59"/>
        <v>23</v>
      </c>
    </row>
    <row r="1520" spans="1:8" x14ac:dyDescent="0.25">
      <c r="A1520" s="22">
        <v>41896.993055555555</v>
      </c>
      <c r="B1520">
        <v>480.8</v>
      </c>
      <c r="C1520">
        <v>94.5</v>
      </c>
      <c r="D1520">
        <v>11.5</v>
      </c>
      <c r="E1520">
        <v>7.1</v>
      </c>
      <c r="G1520">
        <v>14</v>
      </c>
      <c r="H1520" s="23">
        <f t="shared" si="59"/>
        <v>23</v>
      </c>
    </row>
    <row r="1521" spans="1:8" x14ac:dyDescent="0.25">
      <c r="A1521" s="22">
        <v>41896.996527777781</v>
      </c>
      <c r="B1521">
        <v>480.1</v>
      </c>
      <c r="C1521">
        <v>94.4</v>
      </c>
      <c r="D1521">
        <v>11.4</v>
      </c>
      <c r="E1521">
        <v>7</v>
      </c>
      <c r="G1521">
        <v>14</v>
      </c>
      <c r="H1521" s="23">
        <f t="shared" si="59"/>
        <v>23</v>
      </c>
    </row>
    <row r="1522" spans="1:8" x14ac:dyDescent="0.25">
      <c r="A1522" s="22">
        <v>41897</v>
      </c>
      <c r="B1522">
        <v>479.4</v>
      </c>
      <c r="C1522">
        <v>94.5</v>
      </c>
      <c r="D1522">
        <v>11.4</v>
      </c>
      <c r="E1522">
        <v>7</v>
      </c>
      <c r="G1522">
        <v>15</v>
      </c>
      <c r="H1522" s="23">
        <f t="shared" si="59"/>
        <v>0</v>
      </c>
    </row>
    <row r="1523" spans="1:8" x14ac:dyDescent="0.25">
      <c r="A1523" s="22">
        <v>41897.003472222219</v>
      </c>
      <c r="B1523">
        <v>479.2</v>
      </c>
      <c r="C1523">
        <v>94.3</v>
      </c>
      <c r="D1523">
        <v>11.3</v>
      </c>
      <c r="E1523">
        <v>7</v>
      </c>
      <c r="G1523">
        <v>15</v>
      </c>
      <c r="H1523" s="23">
        <f t="shared" si="59"/>
        <v>0</v>
      </c>
    </row>
    <row r="1524" spans="1:8" x14ac:dyDescent="0.25">
      <c r="A1524" s="22">
        <v>41897.006944444445</v>
      </c>
      <c r="B1524">
        <v>478.2</v>
      </c>
      <c r="C1524">
        <v>94.5</v>
      </c>
      <c r="D1524">
        <v>11.3</v>
      </c>
      <c r="E1524">
        <v>7</v>
      </c>
      <c r="G1524">
        <v>15</v>
      </c>
      <c r="H1524" s="23">
        <f t="shared" si="59"/>
        <v>0</v>
      </c>
    </row>
    <row r="1525" spans="1:8" x14ac:dyDescent="0.25">
      <c r="A1525" s="22">
        <v>41897.010416666664</v>
      </c>
      <c r="B1525">
        <v>478</v>
      </c>
      <c r="C1525">
        <v>94.4</v>
      </c>
      <c r="D1525">
        <v>11.3</v>
      </c>
      <c r="E1525">
        <v>7</v>
      </c>
      <c r="G1525">
        <v>15</v>
      </c>
      <c r="H1525" s="23">
        <f t="shared" si="59"/>
        <v>0</v>
      </c>
    </row>
    <row r="1526" spans="1:8" x14ac:dyDescent="0.25">
      <c r="A1526" s="22">
        <v>41897.013888888891</v>
      </c>
      <c r="B1526">
        <v>477.9</v>
      </c>
      <c r="C1526">
        <v>94.3</v>
      </c>
      <c r="D1526">
        <v>11.3</v>
      </c>
      <c r="E1526">
        <v>6.9</v>
      </c>
      <c r="G1526">
        <v>15</v>
      </c>
      <c r="H1526" s="23">
        <f t="shared" si="59"/>
        <v>0</v>
      </c>
    </row>
    <row r="1527" spans="1:8" x14ac:dyDescent="0.25">
      <c r="A1527" s="22">
        <v>41897.017361111109</v>
      </c>
      <c r="B1527">
        <v>478.7</v>
      </c>
      <c r="C1527">
        <v>94.4</v>
      </c>
      <c r="D1527">
        <v>11.2</v>
      </c>
      <c r="E1527">
        <v>6.9</v>
      </c>
      <c r="G1527">
        <v>15</v>
      </c>
      <c r="H1527" s="23">
        <f t="shared" si="59"/>
        <v>0</v>
      </c>
    </row>
    <row r="1528" spans="1:8" x14ac:dyDescent="0.25">
      <c r="A1528" s="22">
        <v>41897.020833333336</v>
      </c>
      <c r="B1528">
        <v>478.5</v>
      </c>
      <c r="C1528">
        <v>94.4</v>
      </c>
      <c r="D1528">
        <v>11.2</v>
      </c>
      <c r="E1528">
        <v>6.9</v>
      </c>
      <c r="G1528">
        <v>15</v>
      </c>
      <c r="H1528" s="23">
        <f t="shared" si="59"/>
        <v>0</v>
      </c>
    </row>
    <row r="1529" spans="1:8" x14ac:dyDescent="0.25">
      <c r="A1529" s="22">
        <v>41897.024305555555</v>
      </c>
      <c r="B1529">
        <v>476.2</v>
      </c>
      <c r="C1529">
        <v>94.4</v>
      </c>
      <c r="D1529">
        <v>11.2</v>
      </c>
      <c r="E1529">
        <v>6.9</v>
      </c>
      <c r="G1529">
        <v>15</v>
      </c>
      <c r="H1529" s="23">
        <f t="shared" si="59"/>
        <v>0</v>
      </c>
    </row>
    <row r="1530" spans="1:8" x14ac:dyDescent="0.25">
      <c r="A1530" s="22">
        <v>41897.027777777781</v>
      </c>
      <c r="B1530">
        <v>475.4</v>
      </c>
      <c r="C1530">
        <v>94.3</v>
      </c>
      <c r="D1530">
        <v>11.1</v>
      </c>
      <c r="E1530">
        <v>6.8</v>
      </c>
      <c r="G1530">
        <v>15</v>
      </c>
      <c r="H1530" s="23">
        <f t="shared" si="59"/>
        <v>0</v>
      </c>
    </row>
    <row r="1531" spans="1:8" x14ac:dyDescent="0.25">
      <c r="A1531" s="22">
        <v>41897.03125</v>
      </c>
      <c r="B1531">
        <v>476.1</v>
      </c>
      <c r="C1531">
        <v>94.3</v>
      </c>
      <c r="D1531">
        <v>11.1</v>
      </c>
      <c r="E1531">
        <v>6.8</v>
      </c>
      <c r="G1531">
        <v>15</v>
      </c>
      <c r="H1531" s="23">
        <f t="shared" si="59"/>
        <v>0</v>
      </c>
    </row>
    <row r="1532" spans="1:8" x14ac:dyDescent="0.25">
      <c r="A1532" s="22">
        <v>41897.034722222219</v>
      </c>
      <c r="B1532">
        <v>477.6</v>
      </c>
      <c r="C1532">
        <v>94.4</v>
      </c>
      <c r="D1532">
        <v>11.1</v>
      </c>
      <c r="E1532">
        <v>6.7</v>
      </c>
      <c r="G1532">
        <v>15</v>
      </c>
      <c r="H1532" s="23">
        <f t="shared" si="59"/>
        <v>0</v>
      </c>
    </row>
    <row r="1533" spans="1:8" x14ac:dyDescent="0.25">
      <c r="A1533" s="22">
        <v>41897.038194444445</v>
      </c>
      <c r="B1533">
        <v>476.1</v>
      </c>
      <c r="C1533">
        <v>94.3</v>
      </c>
      <c r="D1533">
        <v>11.1</v>
      </c>
      <c r="E1533">
        <v>6.7</v>
      </c>
      <c r="G1533">
        <v>15</v>
      </c>
      <c r="H1533" s="23">
        <f t="shared" si="59"/>
        <v>0</v>
      </c>
    </row>
    <row r="1534" spans="1:8" x14ac:dyDescent="0.25">
      <c r="A1534" s="22">
        <v>41897.041666666664</v>
      </c>
      <c r="B1534">
        <v>476.3</v>
      </c>
      <c r="C1534">
        <v>94.3</v>
      </c>
      <c r="D1534">
        <v>11</v>
      </c>
      <c r="E1534">
        <v>6.7</v>
      </c>
      <c r="G1534">
        <v>15</v>
      </c>
      <c r="H1534" s="23">
        <f t="shared" si="59"/>
        <v>1</v>
      </c>
    </row>
    <row r="1535" spans="1:8" x14ac:dyDescent="0.25">
      <c r="A1535" s="22">
        <v>41897.045138888891</v>
      </c>
      <c r="B1535">
        <v>477.3</v>
      </c>
      <c r="C1535">
        <v>94.4</v>
      </c>
      <c r="D1535">
        <v>11</v>
      </c>
      <c r="E1535">
        <v>6.7</v>
      </c>
      <c r="G1535">
        <v>15</v>
      </c>
      <c r="H1535" s="23">
        <f t="shared" si="59"/>
        <v>1</v>
      </c>
    </row>
    <row r="1536" spans="1:8" x14ac:dyDescent="0.25">
      <c r="A1536" s="22">
        <v>41897.048611111109</v>
      </c>
      <c r="B1536">
        <v>477.3</v>
      </c>
      <c r="C1536">
        <v>94.4</v>
      </c>
      <c r="D1536">
        <v>11</v>
      </c>
      <c r="E1536">
        <v>6.6</v>
      </c>
      <c r="G1536">
        <v>15</v>
      </c>
      <c r="H1536" s="23">
        <f t="shared" si="59"/>
        <v>1</v>
      </c>
    </row>
    <row r="1537" spans="1:8" x14ac:dyDescent="0.25">
      <c r="A1537" s="22">
        <v>41897.052083333336</v>
      </c>
      <c r="B1537">
        <v>477.5</v>
      </c>
      <c r="C1537">
        <v>94.5</v>
      </c>
      <c r="D1537">
        <v>11</v>
      </c>
      <c r="E1537">
        <v>6.6</v>
      </c>
      <c r="G1537">
        <v>15</v>
      </c>
      <c r="H1537" s="23">
        <f t="shared" si="59"/>
        <v>1</v>
      </c>
    </row>
    <row r="1538" spans="1:8" x14ac:dyDescent="0.25">
      <c r="A1538" s="22">
        <v>41897.055555555555</v>
      </c>
      <c r="B1538">
        <v>476.7</v>
      </c>
      <c r="C1538">
        <v>94.3</v>
      </c>
      <c r="D1538">
        <v>10.9</v>
      </c>
      <c r="E1538">
        <v>6.6</v>
      </c>
      <c r="G1538">
        <v>15</v>
      </c>
      <c r="H1538" s="23">
        <f t="shared" si="59"/>
        <v>1</v>
      </c>
    </row>
    <row r="1539" spans="1:8" x14ac:dyDescent="0.25">
      <c r="A1539" s="22">
        <v>41897.059027777781</v>
      </c>
      <c r="B1539">
        <v>476.6</v>
      </c>
      <c r="C1539">
        <v>94.3</v>
      </c>
      <c r="D1539">
        <v>10.9</v>
      </c>
      <c r="E1539">
        <v>6.6</v>
      </c>
      <c r="G1539">
        <v>15</v>
      </c>
      <c r="H1539" s="23">
        <f t="shared" si="59"/>
        <v>1</v>
      </c>
    </row>
    <row r="1540" spans="1:8" x14ac:dyDescent="0.25">
      <c r="A1540" s="22">
        <v>41897.0625</v>
      </c>
      <c r="B1540">
        <v>476.5</v>
      </c>
      <c r="C1540">
        <v>94.3</v>
      </c>
      <c r="D1540">
        <v>10.9</v>
      </c>
      <c r="E1540">
        <v>6.5</v>
      </c>
      <c r="G1540">
        <v>15</v>
      </c>
      <c r="H1540" s="23">
        <f t="shared" si="59"/>
        <v>1</v>
      </c>
    </row>
    <row r="1541" spans="1:8" x14ac:dyDescent="0.25">
      <c r="A1541" s="22">
        <v>41897.065972222219</v>
      </c>
      <c r="B1541">
        <v>475.5</v>
      </c>
      <c r="C1541">
        <v>94.4</v>
      </c>
      <c r="D1541">
        <v>10.9</v>
      </c>
      <c r="E1541">
        <v>6.5</v>
      </c>
      <c r="G1541">
        <v>15</v>
      </c>
      <c r="H1541" s="23">
        <f t="shared" si="59"/>
        <v>1</v>
      </c>
    </row>
    <row r="1542" spans="1:8" x14ac:dyDescent="0.25">
      <c r="A1542" s="22">
        <v>41897.069444444445</v>
      </c>
      <c r="B1542">
        <v>475</v>
      </c>
      <c r="C1542">
        <v>94.4</v>
      </c>
      <c r="D1542">
        <v>10.8</v>
      </c>
      <c r="E1542">
        <v>6.5</v>
      </c>
      <c r="G1542">
        <v>15</v>
      </c>
      <c r="H1542" s="23">
        <f t="shared" ref="H1542:H1605" si="60">+HOUR(A1542)</f>
        <v>1</v>
      </c>
    </row>
    <row r="1543" spans="1:8" x14ac:dyDescent="0.25">
      <c r="A1543" s="22">
        <v>41897.072916666664</v>
      </c>
      <c r="B1543">
        <v>475.6</v>
      </c>
      <c r="C1543">
        <v>94.3</v>
      </c>
      <c r="D1543">
        <v>10.8</v>
      </c>
      <c r="E1543">
        <v>6.5</v>
      </c>
      <c r="G1543">
        <v>15</v>
      </c>
      <c r="H1543" s="23">
        <f t="shared" si="60"/>
        <v>1</v>
      </c>
    </row>
    <row r="1544" spans="1:8" x14ac:dyDescent="0.25">
      <c r="A1544" s="22">
        <v>41897.076388888891</v>
      </c>
      <c r="B1544">
        <v>476.6</v>
      </c>
      <c r="C1544">
        <v>94.4</v>
      </c>
      <c r="D1544">
        <v>10.8</v>
      </c>
      <c r="E1544">
        <v>6.4</v>
      </c>
      <c r="G1544">
        <v>15</v>
      </c>
      <c r="H1544" s="23">
        <f t="shared" si="60"/>
        <v>1</v>
      </c>
    </row>
    <row r="1545" spans="1:8" x14ac:dyDescent="0.25">
      <c r="A1545" s="22">
        <v>41897.079861111109</v>
      </c>
      <c r="B1545">
        <v>476.2</v>
      </c>
      <c r="C1545">
        <v>94.3</v>
      </c>
      <c r="D1545">
        <v>10.8</v>
      </c>
      <c r="E1545">
        <v>6.4</v>
      </c>
      <c r="G1545">
        <v>15</v>
      </c>
      <c r="H1545" s="23">
        <f t="shared" si="60"/>
        <v>1</v>
      </c>
    </row>
    <row r="1546" spans="1:8" x14ac:dyDescent="0.25">
      <c r="A1546" s="22">
        <v>41897.083333333336</v>
      </c>
      <c r="B1546">
        <v>474.6</v>
      </c>
      <c r="C1546">
        <v>94.3</v>
      </c>
      <c r="D1546">
        <v>10.7</v>
      </c>
      <c r="E1546">
        <v>6.4</v>
      </c>
      <c r="G1546">
        <v>15</v>
      </c>
      <c r="H1546" s="23">
        <f t="shared" si="60"/>
        <v>2</v>
      </c>
    </row>
    <row r="1547" spans="1:8" x14ac:dyDescent="0.25">
      <c r="A1547" s="22">
        <v>41897.086805555555</v>
      </c>
      <c r="B1547">
        <v>473.3</v>
      </c>
      <c r="C1547">
        <v>94.3</v>
      </c>
      <c r="D1547">
        <v>10.6</v>
      </c>
      <c r="E1547">
        <v>6.3</v>
      </c>
      <c r="G1547">
        <v>15</v>
      </c>
      <c r="H1547" s="23">
        <f t="shared" si="60"/>
        <v>2</v>
      </c>
    </row>
    <row r="1548" spans="1:8" x14ac:dyDescent="0.25">
      <c r="A1548" s="22">
        <v>41897.090277777781</v>
      </c>
      <c r="B1548">
        <v>471.3</v>
      </c>
      <c r="C1548">
        <v>94.2</v>
      </c>
      <c r="D1548">
        <v>10.6</v>
      </c>
      <c r="E1548">
        <v>6.3</v>
      </c>
      <c r="G1548">
        <v>15</v>
      </c>
      <c r="H1548" s="23">
        <f t="shared" si="60"/>
        <v>2</v>
      </c>
    </row>
    <row r="1549" spans="1:8" x14ac:dyDescent="0.25">
      <c r="A1549" s="22">
        <v>41897.09375</v>
      </c>
      <c r="B1549">
        <v>473.5</v>
      </c>
      <c r="C1549">
        <v>94.4</v>
      </c>
      <c r="D1549">
        <v>10.5</v>
      </c>
      <c r="E1549">
        <v>6.2</v>
      </c>
      <c r="G1549">
        <v>15</v>
      </c>
      <c r="H1549" s="23">
        <f t="shared" si="60"/>
        <v>2</v>
      </c>
    </row>
    <row r="1550" spans="1:8" x14ac:dyDescent="0.25">
      <c r="A1550" s="22">
        <v>41897.097222222219</v>
      </c>
      <c r="B1550">
        <v>472.6</v>
      </c>
      <c r="C1550">
        <v>94.3</v>
      </c>
      <c r="D1550">
        <v>10.5</v>
      </c>
      <c r="E1550">
        <v>6.2</v>
      </c>
      <c r="G1550">
        <v>15</v>
      </c>
      <c r="H1550" s="23">
        <f t="shared" si="60"/>
        <v>2</v>
      </c>
    </row>
    <row r="1551" spans="1:8" x14ac:dyDescent="0.25">
      <c r="A1551" s="22">
        <v>41897.100694444445</v>
      </c>
      <c r="B1551">
        <v>470.7</v>
      </c>
      <c r="C1551">
        <v>94.3</v>
      </c>
      <c r="D1551">
        <v>10.4</v>
      </c>
      <c r="E1551">
        <v>6.2</v>
      </c>
      <c r="G1551">
        <v>15</v>
      </c>
      <c r="H1551" s="23">
        <f t="shared" si="60"/>
        <v>2</v>
      </c>
    </row>
    <row r="1552" spans="1:8" x14ac:dyDescent="0.25">
      <c r="A1552" s="22">
        <v>41897.104166666664</v>
      </c>
      <c r="B1552">
        <v>471.1</v>
      </c>
      <c r="C1552">
        <v>94.3</v>
      </c>
      <c r="D1552">
        <v>10.4</v>
      </c>
      <c r="E1552">
        <v>6.1</v>
      </c>
      <c r="G1552">
        <v>15</v>
      </c>
      <c r="H1552" s="23">
        <f t="shared" si="60"/>
        <v>2</v>
      </c>
    </row>
    <row r="1553" spans="1:8" x14ac:dyDescent="0.25">
      <c r="A1553" s="22">
        <v>41897.107638888891</v>
      </c>
      <c r="B1553">
        <v>471.1</v>
      </c>
      <c r="C1553">
        <v>94.3</v>
      </c>
      <c r="D1553">
        <v>10.3</v>
      </c>
      <c r="E1553">
        <v>6.1</v>
      </c>
      <c r="G1553">
        <v>15</v>
      </c>
      <c r="H1553" s="23">
        <f t="shared" si="60"/>
        <v>2</v>
      </c>
    </row>
    <row r="1554" spans="1:8" x14ac:dyDescent="0.25">
      <c r="A1554" s="22">
        <v>41897.111111111109</v>
      </c>
      <c r="B1554">
        <v>469.7</v>
      </c>
      <c r="C1554">
        <v>94.3</v>
      </c>
      <c r="D1554">
        <v>10.3</v>
      </c>
      <c r="E1554">
        <v>6</v>
      </c>
      <c r="G1554">
        <v>15</v>
      </c>
      <c r="H1554" s="23">
        <f t="shared" si="60"/>
        <v>2</v>
      </c>
    </row>
    <row r="1555" spans="1:8" x14ac:dyDescent="0.25">
      <c r="A1555" s="22">
        <v>41897.114583333336</v>
      </c>
      <c r="B1555">
        <v>468.2</v>
      </c>
      <c r="C1555">
        <v>94.2</v>
      </c>
      <c r="D1555">
        <v>10.199999999999999</v>
      </c>
      <c r="E1555">
        <v>6</v>
      </c>
      <c r="G1555">
        <v>15</v>
      </c>
      <c r="H1555" s="23">
        <f t="shared" si="60"/>
        <v>2</v>
      </c>
    </row>
    <row r="1556" spans="1:8" x14ac:dyDescent="0.25">
      <c r="A1556" s="22">
        <v>41897.118055555555</v>
      </c>
      <c r="B1556">
        <v>468.2</v>
      </c>
      <c r="C1556">
        <v>94.2</v>
      </c>
      <c r="D1556">
        <v>10.199999999999999</v>
      </c>
      <c r="E1556">
        <v>5.9</v>
      </c>
      <c r="G1556">
        <v>15</v>
      </c>
      <c r="H1556" s="23">
        <f t="shared" si="60"/>
        <v>2</v>
      </c>
    </row>
    <row r="1557" spans="1:8" x14ac:dyDescent="0.25">
      <c r="A1557" s="22">
        <v>41897.121527777781</v>
      </c>
      <c r="B1557">
        <v>466.8</v>
      </c>
      <c r="C1557">
        <v>94.2</v>
      </c>
      <c r="D1557">
        <v>10.199999999999999</v>
      </c>
      <c r="E1557">
        <v>5.9</v>
      </c>
      <c r="G1557">
        <v>15</v>
      </c>
      <c r="H1557" s="23">
        <f t="shared" si="60"/>
        <v>2</v>
      </c>
    </row>
    <row r="1558" spans="1:8" x14ac:dyDescent="0.25">
      <c r="A1558" s="22">
        <v>41897.125</v>
      </c>
      <c r="B1558">
        <v>467.8</v>
      </c>
      <c r="C1558">
        <v>94.3</v>
      </c>
      <c r="D1558">
        <v>10.1</v>
      </c>
      <c r="E1558">
        <v>5.8</v>
      </c>
      <c r="G1558">
        <v>15</v>
      </c>
      <c r="H1558" s="23">
        <f t="shared" si="60"/>
        <v>3</v>
      </c>
    </row>
    <row r="1559" spans="1:8" x14ac:dyDescent="0.25">
      <c r="A1559" s="22">
        <v>41897.128472222219</v>
      </c>
      <c r="B1559">
        <v>464.1</v>
      </c>
      <c r="C1559">
        <v>94.3</v>
      </c>
      <c r="D1559">
        <v>10.1</v>
      </c>
      <c r="E1559">
        <v>5.8</v>
      </c>
      <c r="G1559">
        <v>15</v>
      </c>
      <c r="H1559" s="23">
        <f t="shared" si="60"/>
        <v>3</v>
      </c>
    </row>
    <row r="1560" spans="1:8" x14ac:dyDescent="0.25">
      <c r="A1560" s="22">
        <v>41897.131944444445</v>
      </c>
      <c r="B1560">
        <v>460.3</v>
      </c>
      <c r="C1560">
        <v>94.2</v>
      </c>
      <c r="D1560">
        <v>10</v>
      </c>
      <c r="E1560">
        <v>5.8</v>
      </c>
      <c r="G1560">
        <v>15</v>
      </c>
      <c r="H1560" s="23">
        <f t="shared" si="60"/>
        <v>3</v>
      </c>
    </row>
    <row r="1561" spans="1:8" x14ac:dyDescent="0.25">
      <c r="A1561" s="22">
        <v>41897.135416666664</v>
      </c>
      <c r="B1561">
        <v>455.3</v>
      </c>
      <c r="C1561">
        <v>94.1</v>
      </c>
      <c r="D1561">
        <v>9.9</v>
      </c>
      <c r="E1561">
        <v>5.8</v>
      </c>
      <c r="G1561">
        <v>15</v>
      </c>
      <c r="H1561" s="23">
        <f t="shared" si="60"/>
        <v>3</v>
      </c>
    </row>
    <row r="1562" spans="1:8" x14ac:dyDescent="0.25">
      <c r="A1562" s="22">
        <v>41897.138888888891</v>
      </c>
      <c r="B1562">
        <v>451.8</v>
      </c>
      <c r="C1562">
        <v>94.3</v>
      </c>
      <c r="D1562">
        <v>9.9</v>
      </c>
      <c r="E1562">
        <v>5.8</v>
      </c>
      <c r="G1562">
        <v>15</v>
      </c>
      <c r="H1562" s="23">
        <f t="shared" si="60"/>
        <v>3</v>
      </c>
    </row>
    <row r="1563" spans="1:8" x14ac:dyDescent="0.25">
      <c r="A1563" s="22">
        <v>41897.142361111109</v>
      </c>
      <c r="B1563">
        <v>448.6</v>
      </c>
      <c r="C1563">
        <v>94.2</v>
      </c>
      <c r="D1563">
        <v>9.9</v>
      </c>
      <c r="E1563">
        <v>5.8</v>
      </c>
      <c r="G1563">
        <v>15</v>
      </c>
      <c r="H1563" s="23">
        <f t="shared" si="60"/>
        <v>3</v>
      </c>
    </row>
    <row r="1564" spans="1:8" x14ac:dyDescent="0.25">
      <c r="A1564" s="22">
        <v>41897.145833333336</v>
      </c>
      <c r="B1564">
        <v>444</v>
      </c>
      <c r="C1564">
        <v>94.2</v>
      </c>
      <c r="D1564">
        <v>9.8000000000000007</v>
      </c>
      <c r="E1564">
        <v>5.8</v>
      </c>
      <c r="G1564">
        <v>15</v>
      </c>
      <c r="H1564" s="23">
        <f t="shared" si="60"/>
        <v>3</v>
      </c>
    </row>
    <row r="1565" spans="1:8" x14ac:dyDescent="0.25">
      <c r="A1565" s="22">
        <v>41897.149305555555</v>
      </c>
      <c r="B1565">
        <v>438.5</v>
      </c>
      <c r="C1565">
        <v>94.2</v>
      </c>
      <c r="D1565">
        <v>9.8000000000000007</v>
      </c>
      <c r="E1565">
        <v>5.8</v>
      </c>
      <c r="G1565">
        <v>15</v>
      </c>
      <c r="H1565" s="23">
        <f t="shared" si="60"/>
        <v>3</v>
      </c>
    </row>
    <row r="1566" spans="1:8" x14ac:dyDescent="0.25">
      <c r="A1566" s="22">
        <v>41897.152777777781</v>
      </c>
      <c r="B1566">
        <v>433.9</v>
      </c>
      <c r="C1566">
        <v>94.2</v>
      </c>
      <c r="D1566">
        <v>9.6999999999999993</v>
      </c>
      <c r="E1566">
        <v>5.8</v>
      </c>
      <c r="G1566">
        <v>15</v>
      </c>
      <c r="H1566" s="23">
        <f t="shared" si="60"/>
        <v>3</v>
      </c>
    </row>
    <row r="1567" spans="1:8" x14ac:dyDescent="0.25">
      <c r="A1567" s="22">
        <v>41897.15625</v>
      </c>
      <c r="B1567">
        <v>428.4</v>
      </c>
      <c r="C1567">
        <v>94.2</v>
      </c>
      <c r="D1567">
        <v>9.6999999999999993</v>
      </c>
      <c r="E1567">
        <v>5.8</v>
      </c>
      <c r="G1567">
        <v>15</v>
      </c>
      <c r="H1567" s="23">
        <f t="shared" si="60"/>
        <v>3</v>
      </c>
    </row>
    <row r="1568" spans="1:8" x14ac:dyDescent="0.25">
      <c r="A1568" s="22">
        <v>41897.159722222219</v>
      </c>
      <c r="B1568">
        <v>427.1</v>
      </c>
      <c r="C1568">
        <v>94.2</v>
      </c>
      <c r="D1568">
        <v>9.6999999999999993</v>
      </c>
      <c r="E1568">
        <v>5.8</v>
      </c>
      <c r="G1568">
        <v>15</v>
      </c>
      <c r="H1568" s="23">
        <f t="shared" si="60"/>
        <v>3</v>
      </c>
    </row>
    <row r="1569" spans="1:8" x14ac:dyDescent="0.25">
      <c r="A1569" s="22">
        <v>41897.163194444445</v>
      </c>
      <c r="B1569">
        <v>424.8</v>
      </c>
      <c r="C1569">
        <v>94.1</v>
      </c>
      <c r="D1569">
        <v>9.6999999999999993</v>
      </c>
      <c r="E1569">
        <v>5.8</v>
      </c>
      <c r="G1569">
        <v>15</v>
      </c>
      <c r="H1569" s="23">
        <f t="shared" si="60"/>
        <v>3</v>
      </c>
    </row>
    <row r="1570" spans="1:8" x14ac:dyDescent="0.25">
      <c r="A1570" s="22">
        <v>41897.166666666664</v>
      </c>
      <c r="B1570">
        <v>425.6</v>
      </c>
      <c r="C1570">
        <v>94.1</v>
      </c>
      <c r="D1570">
        <v>9.6999999999999993</v>
      </c>
      <c r="E1570">
        <v>5.8</v>
      </c>
      <c r="G1570">
        <v>15</v>
      </c>
      <c r="H1570" s="23">
        <f t="shared" si="60"/>
        <v>4</v>
      </c>
    </row>
    <row r="1571" spans="1:8" x14ac:dyDescent="0.25">
      <c r="A1571" s="22">
        <v>41897.170138888891</v>
      </c>
      <c r="B1571">
        <v>423.7</v>
      </c>
      <c r="C1571">
        <v>94.3</v>
      </c>
      <c r="D1571">
        <v>9.6</v>
      </c>
      <c r="E1571">
        <v>5.8</v>
      </c>
      <c r="G1571">
        <v>15</v>
      </c>
      <c r="H1571" s="23">
        <f t="shared" si="60"/>
        <v>4</v>
      </c>
    </row>
    <row r="1572" spans="1:8" x14ac:dyDescent="0.25">
      <c r="A1572" s="22">
        <v>41897.173611111109</v>
      </c>
      <c r="B1572">
        <v>420.5</v>
      </c>
      <c r="C1572">
        <v>94.2</v>
      </c>
      <c r="D1572">
        <v>9.6</v>
      </c>
      <c r="E1572">
        <v>5.8</v>
      </c>
      <c r="G1572">
        <v>15</v>
      </c>
      <c r="H1572" s="23">
        <f t="shared" si="60"/>
        <v>4</v>
      </c>
    </row>
    <row r="1573" spans="1:8" x14ac:dyDescent="0.25">
      <c r="A1573" s="22">
        <v>41897.177083333336</v>
      </c>
      <c r="B1573">
        <v>418.1</v>
      </c>
      <c r="C1573">
        <v>94.1</v>
      </c>
      <c r="D1573">
        <v>9.6</v>
      </c>
      <c r="E1573">
        <v>5.8</v>
      </c>
      <c r="G1573">
        <v>15</v>
      </c>
      <c r="H1573" s="23">
        <f t="shared" si="60"/>
        <v>4</v>
      </c>
    </row>
    <row r="1574" spans="1:8" x14ac:dyDescent="0.25">
      <c r="A1574" s="22">
        <v>41897.180555555555</v>
      </c>
      <c r="B1574">
        <v>416.7</v>
      </c>
      <c r="C1574">
        <v>94.1</v>
      </c>
      <c r="D1574">
        <v>9.6</v>
      </c>
      <c r="E1574">
        <v>5.8</v>
      </c>
      <c r="G1574">
        <v>15</v>
      </c>
      <c r="H1574" s="23">
        <f t="shared" si="60"/>
        <v>4</v>
      </c>
    </row>
    <row r="1575" spans="1:8" x14ac:dyDescent="0.25">
      <c r="A1575" s="22">
        <v>41897.184027777781</v>
      </c>
      <c r="B1575">
        <v>417.5</v>
      </c>
      <c r="C1575">
        <v>94.2</v>
      </c>
      <c r="D1575">
        <v>9.6</v>
      </c>
      <c r="E1575">
        <v>5.8</v>
      </c>
      <c r="G1575">
        <v>15</v>
      </c>
      <c r="H1575" s="23">
        <f t="shared" si="60"/>
        <v>4</v>
      </c>
    </row>
    <row r="1576" spans="1:8" x14ac:dyDescent="0.25">
      <c r="A1576" s="22">
        <v>41897.1875</v>
      </c>
      <c r="B1576">
        <v>417.4</v>
      </c>
      <c r="C1576">
        <v>94.3</v>
      </c>
      <c r="D1576">
        <v>9.6</v>
      </c>
      <c r="E1576">
        <v>5.8</v>
      </c>
      <c r="G1576">
        <v>15</v>
      </c>
      <c r="H1576" s="23">
        <f t="shared" si="60"/>
        <v>4</v>
      </c>
    </row>
    <row r="1577" spans="1:8" x14ac:dyDescent="0.25">
      <c r="A1577" s="22">
        <v>41897.190972222219</v>
      </c>
      <c r="B1577">
        <v>414.4</v>
      </c>
      <c r="C1577">
        <v>94.2</v>
      </c>
      <c r="D1577">
        <v>9.6</v>
      </c>
      <c r="E1577">
        <v>5.8</v>
      </c>
      <c r="G1577">
        <v>15</v>
      </c>
      <c r="H1577" s="23">
        <f t="shared" si="60"/>
        <v>4</v>
      </c>
    </row>
    <row r="1578" spans="1:8" x14ac:dyDescent="0.25">
      <c r="A1578" s="22">
        <v>41897.194444444445</v>
      </c>
      <c r="B1578">
        <v>411.2</v>
      </c>
      <c r="C1578">
        <v>94.1</v>
      </c>
      <c r="D1578">
        <v>9.5</v>
      </c>
      <c r="E1578">
        <v>5.8</v>
      </c>
      <c r="G1578">
        <v>15</v>
      </c>
      <c r="H1578" s="23">
        <f t="shared" si="60"/>
        <v>4</v>
      </c>
    </row>
    <row r="1579" spans="1:8" x14ac:dyDescent="0.25">
      <c r="A1579" s="22">
        <v>41897.197916666664</v>
      </c>
      <c r="B1579">
        <v>411.9</v>
      </c>
      <c r="C1579">
        <v>94.1</v>
      </c>
      <c r="D1579">
        <v>9.5</v>
      </c>
      <c r="E1579">
        <v>5.8</v>
      </c>
      <c r="G1579">
        <v>15</v>
      </c>
      <c r="H1579" s="23">
        <f t="shared" si="60"/>
        <v>4</v>
      </c>
    </row>
    <row r="1580" spans="1:8" x14ac:dyDescent="0.25">
      <c r="A1580" s="22">
        <v>41897.201388888891</v>
      </c>
      <c r="B1580">
        <v>412.4</v>
      </c>
      <c r="C1580">
        <v>94.2</v>
      </c>
      <c r="D1580">
        <v>9.5</v>
      </c>
      <c r="E1580">
        <v>5.8</v>
      </c>
      <c r="G1580">
        <v>15</v>
      </c>
      <c r="H1580" s="23">
        <f t="shared" si="60"/>
        <v>4</v>
      </c>
    </row>
    <row r="1581" spans="1:8" x14ac:dyDescent="0.25">
      <c r="A1581" s="22">
        <v>41897.204861111109</v>
      </c>
      <c r="B1581">
        <v>411</v>
      </c>
      <c r="C1581">
        <v>94.1</v>
      </c>
      <c r="D1581">
        <v>9.5</v>
      </c>
      <c r="E1581">
        <v>5.8</v>
      </c>
      <c r="G1581">
        <v>15</v>
      </c>
      <c r="H1581" s="23">
        <f t="shared" si="60"/>
        <v>4</v>
      </c>
    </row>
    <row r="1582" spans="1:8" x14ac:dyDescent="0.25">
      <c r="A1582" s="22">
        <v>41897.208333333336</v>
      </c>
      <c r="B1582">
        <v>411.3</v>
      </c>
      <c r="C1582">
        <v>94.2</v>
      </c>
      <c r="D1582">
        <v>9.5</v>
      </c>
      <c r="E1582">
        <v>5.8</v>
      </c>
      <c r="G1582">
        <v>15</v>
      </c>
      <c r="H1582" s="23">
        <f t="shared" si="60"/>
        <v>5</v>
      </c>
    </row>
    <row r="1583" spans="1:8" x14ac:dyDescent="0.25">
      <c r="A1583" s="22">
        <v>41897.211805555555</v>
      </c>
      <c r="B1583">
        <v>409.5</v>
      </c>
      <c r="C1583">
        <v>94.1</v>
      </c>
      <c r="D1583">
        <v>9.5</v>
      </c>
      <c r="E1583">
        <v>5.8</v>
      </c>
      <c r="G1583">
        <v>15</v>
      </c>
      <c r="H1583" s="23">
        <f t="shared" si="60"/>
        <v>5</v>
      </c>
    </row>
    <row r="1584" spans="1:8" x14ac:dyDescent="0.25">
      <c r="A1584" s="22">
        <v>41897.215277777781</v>
      </c>
      <c r="B1584">
        <v>413.8</v>
      </c>
      <c r="C1584">
        <v>94.2</v>
      </c>
      <c r="D1584">
        <v>9.6</v>
      </c>
      <c r="E1584">
        <v>5.8</v>
      </c>
      <c r="G1584">
        <v>15</v>
      </c>
      <c r="H1584" s="23">
        <f t="shared" si="60"/>
        <v>5</v>
      </c>
    </row>
    <row r="1585" spans="1:8" x14ac:dyDescent="0.25">
      <c r="A1585" s="22">
        <v>41897.21875</v>
      </c>
      <c r="B1585">
        <v>412.3</v>
      </c>
      <c r="C1585">
        <v>94.3</v>
      </c>
      <c r="D1585">
        <v>9.5</v>
      </c>
      <c r="E1585">
        <v>5.8</v>
      </c>
      <c r="G1585">
        <v>15</v>
      </c>
      <c r="H1585" s="23">
        <f t="shared" si="60"/>
        <v>5</v>
      </c>
    </row>
    <row r="1586" spans="1:8" x14ac:dyDescent="0.25">
      <c r="A1586" s="22">
        <v>41897.222222222219</v>
      </c>
      <c r="B1586">
        <v>408.8</v>
      </c>
      <c r="C1586">
        <v>94.2</v>
      </c>
      <c r="D1586">
        <v>9.5</v>
      </c>
      <c r="E1586">
        <v>5.8</v>
      </c>
      <c r="G1586">
        <v>15</v>
      </c>
      <c r="H1586" s="23">
        <f t="shared" si="60"/>
        <v>5</v>
      </c>
    </row>
    <row r="1587" spans="1:8" x14ac:dyDescent="0.25">
      <c r="A1587" s="22">
        <v>41897.225694444445</v>
      </c>
      <c r="B1587">
        <v>408.3</v>
      </c>
      <c r="C1587">
        <v>94.1</v>
      </c>
      <c r="D1587">
        <v>9.5</v>
      </c>
      <c r="E1587">
        <v>5.8</v>
      </c>
      <c r="G1587">
        <v>15</v>
      </c>
      <c r="H1587" s="23">
        <f t="shared" si="60"/>
        <v>5</v>
      </c>
    </row>
    <row r="1588" spans="1:8" x14ac:dyDescent="0.25">
      <c r="A1588" s="22">
        <v>41897.229166666664</v>
      </c>
      <c r="B1588">
        <v>408.4</v>
      </c>
      <c r="C1588">
        <v>94.2</v>
      </c>
      <c r="D1588">
        <v>9.5</v>
      </c>
      <c r="E1588">
        <v>5.8</v>
      </c>
      <c r="G1588">
        <v>15</v>
      </c>
      <c r="H1588" s="23">
        <f t="shared" si="60"/>
        <v>5</v>
      </c>
    </row>
    <row r="1589" spans="1:8" x14ac:dyDescent="0.25">
      <c r="A1589" s="22">
        <v>41897.232638888891</v>
      </c>
      <c r="B1589">
        <v>407.7</v>
      </c>
      <c r="C1589">
        <v>94.2</v>
      </c>
      <c r="D1589">
        <v>9.5</v>
      </c>
      <c r="E1589">
        <v>5.8</v>
      </c>
      <c r="G1589">
        <v>15</v>
      </c>
      <c r="H1589" s="23">
        <f t="shared" si="60"/>
        <v>5</v>
      </c>
    </row>
    <row r="1590" spans="1:8" x14ac:dyDescent="0.25">
      <c r="A1590" s="22">
        <v>41897.236111111109</v>
      </c>
      <c r="B1590">
        <v>403.4</v>
      </c>
      <c r="C1590">
        <v>94.1</v>
      </c>
      <c r="D1590">
        <v>9.4</v>
      </c>
      <c r="E1590">
        <v>5.8</v>
      </c>
      <c r="G1590">
        <v>15</v>
      </c>
      <c r="H1590" s="23">
        <f t="shared" si="60"/>
        <v>5</v>
      </c>
    </row>
    <row r="1591" spans="1:8" x14ac:dyDescent="0.25">
      <c r="A1591" s="22">
        <v>41897.239583333336</v>
      </c>
      <c r="B1591">
        <v>402.4</v>
      </c>
      <c r="C1591">
        <v>94.1</v>
      </c>
      <c r="D1591">
        <v>9.4</v>
      </c>
      <c r="E1591">
        <v>5.8</v>
      </c>
      <c r="G1591">
        <v>15</v>
      </c>
      <c r="H1591" s="23">
        <f t="shared" si="60"/>
        <v>5</v>
      </c>
    </row>
    <row r="1592" spans="1:8" x14ac:dyDescent="0.25">
      <c r="A1592" s="22">
        <v>41897.243055555555</v>
      </c>
      <c r="B1592">
        <v>402.9</v>
      </c>
      <c r="C1592">
        <v>94.1</v>
      </c>
      <c r="D1592">
        <v>9.5</v>
      </c>
      <c r="E1592">
        <v>5.8</v>
      </c>
      <c r="G1592">
        <v>15</v>
      </c>
      <c r="H1592" s="23">
        <f t="shared" si="60"/>
        <v>5</v>
      </c>
    </row>
    <row r="1593" spans="1:8" x14ac:dyDescent="0.25">
      <c r="A1593" s="22">
        <v>41897.246527777781</v>
      </c>
      <c r="B1593">
        <v>403.4</v>
      </c>
      <c r="C1593">
        <v>94.1</v>
      </c>
      <c r="D1593">
        <v>9.5</v>
      </c>
      <c r="E1593">
        <v>5.8</v>
      </c>
      <c r="G1593">
        <v>15</v>
      </c>
      <c r="H1593" s="23">
        <f t="shared" si="60"/>
        <v>5</v>
      </c>
    </row>
    <row r="1594" spans="1:8" x14ac:dyDescent="0.25">
      <c r="A1594" s="22">
        <v>41897.25</v>
      </c>
      <c r="B1594">
        <v>401.6</v>
      </c>
      <c r="C1594">
        <v>94.2</v>
      </c>
      <c r="D1594">
        <v>9.4</v>
      </c>
      <c r="E1594">
        <v>5.8</v>
      </c>
      <c r="G1594">
        <v>15</v>
      </c>
      <c r="H1594" s="23">
        <f t="shared" si="60"/>
        <v>6</v>
      </c>
    </row>
    <row r="1595" spans="1:8" x14ac:dyDescent="0.25">
      <c r="A1595" s="22">
        <v>41897.253472222219</v>
      </c>
      <c r="B1595">
        <v>138.1</v>
      </c>
      <c r="C1595">
        <v>94.4</v>
      </c>
      <c r="D1595">
        <v>9.5</v>
      </c>
      <c r="E1595">
        <v>8.1999999999999993</v>
      </c>
      <c r="G1595">
        <v>15</v>
      </c>
      <c r="H1595" s="23">
        <f t="shared" si="60"/>
        <v>6</v>
      </c>
    </row>
    <row r="1596" spans="1:8" x14ac:dyDescent="0.25">
      <c r="A1596" s="22">
        <v>41897.256944444445</v>
      </c>
      <c r="B1596">
        <v>185.6</v>
      </c>
      <c r="C1596">
        <v>94.4</v>
      </c>
      <c r="D1596">
        <v>9.4</v>
      </c>
      <c r="E1596">
        <v>7.7</v>
      </c>
      <c r="G1596">
        <v>15</v>
      </c>
      <c r="H1596" s="23">
        <f t="shared" si="60"/>
        <v>6</v>
      </c>
    </row>
    <row r="1597" spans="1:8" x14ac:dyDescent="0.25">
      <c r="A1597" s="22">
        <v>41897.260416666664</v>
      </c>
      <c r="B1597">
        <v>303.3</v>
      </c>
      <c r="C1597">
        <v>94.2</v>
      </c>
      <c r="D1597">
        <v>9.4</v>
      </c>
      <c r="E1597">
        <v>6.7</v>
      </c>
      <c r="G1597">
        <v>15</v>
      </c>
      <c r="H1597" s="23">
        <f t="shared" si="60"/>
        <v>6</v>
      </c>
    </row>
    <row r="1598" spans="1:8" x14ac:dyDescent="0.25">
      <c r="A1598" s="22">
        <v>41897.263888888891</v>
      </c>
      <c r="B1598">
        <v>368.6</v>
      </c>
      <c r="C1598">
        <v>94.2</v>
      </c>
      <c r="D1598">
        <v>9.6</v>
      </c>
      <c r="E1598">
        <v>6.2</v>
      </c>
      <c r="G1598">
        <v>15</v>
      </c>
      <c r="H1598" s="23">
        <f t="shared" si="60"/>
        <v>6</v>
      </c>
    </row>
    <row r="1599" spans="1:8" x14ac:dyDescent="0.25">
      <c r="A1599" s="22">
        <v>41897.267361111109</v>
      </c>
      <c r="B1599">
        <v>422.6</v>
      </c>
      <c r="C1599">
        <v>94.1</v>
      </c>
      <c r="D1599">
        <v>9.6999999999999993</v>
      </c>
      <c r="E1599">
        <v>5.9</v>
      </c>
      <c r="G1599">
        <v>15</v>
      </c>
      <c r="H1599" s="23">
        <f t="shared" si="60"/>
        <v>6</v>
      </c>
    </row>
    <row r="1600" spans="1:8" x14ac:dyDescent="0.25">
      <c r="A1600" s="22">
        <v>41897.270833333336</v>
      </c>
      <c r="B1600">
        <v>157</v>
      </c>
      <c r="C1600">
        <v>94.4</v>
      </c>
      <c r="D1600">
        <v>9.8000000000000007</v>
      </c>
      <c r="E1600">
        <v>8.6</v>
      </c>
      <c r="G1600">
        <v>15</v>
      </c>
      <c r="H1600" s="23">
        <f t="shared" si="60"/>
        <v>6</v>
      </c>
    </row>
    <row r="1601" spans="1:8" x14ac:dyDescent="0.25">
      <c r="A1601" s="22">
        <v>41897.274305555555</v>
      </c>
      <c r="B1601">
        <v>186.6</v>
      </c>
      <c r="C1601">
        <v>94.4</v>
      </c>
      <c r="D1601">
        <v>9.8000000000000007</v>
      </c>
      <c r="E1601">
        <v>8.1</v>
      </c>
      <c r="G1601">
        <v>15</v>
      </c>
      <c r="H1601" s="23">
        <f t="shared" si="60"/>
        <v>6</v>
      </c>
    </row>
    <row r="1602" spans="1:8" x14ac:dyDescent="0.25">
      <c r="A1602" s="22">
        <v>41897.277777777781</v>
      </c>
      <c r="B1602">
        <v>312.10000000000002</v>
      </c>
      <c r="C1602">
        <v>94.3</v>
      </c>
      <c r="D1602">
        <v>9.6999999999999993</v>
      </c>
      <c r="E1602">
        <v>6.9</v>
      </c>
      <c r="G1602">
        <v>15</v>
      </c>
      <c r="H1602" s="23">
        <f t="shared" si="60"/>
        <v>6</v>
      </c>
    </row>
    <row r="1603" spans="1:8" x14ac:dyDescent="0.25">
      <c r="A1603" s="22">
        <v>41897.28125</v>
      </c>
      <c r="B1603">
        <v>404.8</v>
      </c>
      <c r="C1603">
        <v>94.1</v>
      </c>
      <c r="D1603">
        <v>9.8000000000000007</v>
      </c>
      <c r="E1603">
        <v>6.1</v>
      </c>
      <c r="G1603">
        <v>15</v>
      </c>
      <c r="H1603" s="23">
        <f t="shared" si="60"/>
        <v>6</v>
      </c>
    </row>
    <row r="1604" spans="1:8" x14ac:dyDescent="0.25">
      <c r="A1604" s="22">
        <v>41897.284722222219</v>
      </c>
      <c r="B1604">
        <v>447.8</v>
      </c>
      <c r="C1604">
        <v>94.1</v>
      </c>
      <c r="D1604">
        <v>10</v>
      </c>
      <c r="E1604">
        <v>5.9</v>
      </c>
      <c r="G1604">
        <v>15</v>
      </c>
      <c r="H1604" s="23">
        <f t="shared" si="60"/>
        <v>6</v>
      </c>
    </row>
    <row r="1605" spans="1:8" x14ac:dyDescent="0.25">
      <c r="A1605" s="22">
        <v>41897.288194444445</v>
      </c>
      <c r="B1605">
        <v>454.6</v>
      </c>
      <c r="C1605">
        <v>94.1</v>
      </c>
      <c r="D1605">
        <v>10</v>
      </c>
      <c r="E1605">
        <v>5.8</v>
      </c>
      <c r="G1605">
        <v>15</v>
      </c>
      <c r="H1605" s="23">
        <f t="shared" si="60"/>
        <v>6</v>
      </c>
    </row>
    <row r="1606" spans="1:8" x14ac:dyDescent="0.25">
      <c r="A1606" s="22">
        <v>41897.291666666664</v>
      </c>
      <c r="B1606">
        <v>449.5</v>
      </c>
      <c r="C1606">
        <v>94.1</v>
      </c>
      <c r="D1606">
        <v>9.9</v>
      </c>
      <c r="E1606">
        <v>5.8</v>
      </c>
      <c r="G1606">
        <v>15</v>
      </c>
      <c r="H1606" s="23">
        <f t="shared" ref="H1606:H1669" si="61">+HOUR(A1606)</f>
        <v>7</v>
      </c>
    </row>
    <row r="1607" spans="1:8" x14ac:dyDescent="0.25">
      <c r="A1607" s="22">
        <v>41897.295138888891</v>
      </c>
      <c r="B1607">
        <v>449.9</v>
      </c>
      <c r="C1607">
        <v>94.1</v>
      </c>
      <c r="D1607">
        <v>9.9</v>
      </c>
      <c r="E1607">
        <v>5.8</v>
      </c>
      <c r="G1607">
        <v>15</v>
      </c>
      <c r="H1607" s="23">
        <f t="shared" si="61"/>
        <v>7</v>
      </c>
    </row>
    <row r="1608" spans="1:8" x14ac:dyDescent="0.25">
      <c r="A1608" s="22">
        <v>41897.298611111109</v>
      </c>
      <c r="B1608">
        <v>475.7</v>
      </c>
      <c r="C1608">
        <v>94.2</v>
      </c>
      <c r="D1608">
        <v>10.8</v>
      </c>
      <c r="E1608">
        <v>6.5</v>
      </c>
      <c r="G1608">
        <v>15</v>
      </c>
      <c r="H1608" s="23">
        <f t="shared" si="61"/>
        <v>7</v>
      </c>
    </row>
    <row r="1609" spans="1:8" x14ac:dyDescent="0.25">
      <c r="A1609" s="22">
        <v>41897.302083333336</v>
      </c>
      <c r="B1609">
        <v>459</v>
      </c>
      <c r="C1609">
        <v>94.1</v>
      </c>
      <c r="D1609">
        <v>10</v>
      </c>
      <c r="E1609">
        <v>5.8</v>
      </c>
      <c r="G1609">
        <v>15</v>
      </c>
      <c r="H1609" s="23">
        <f t="shared" si="61"/>
        <v>7</v>
      </c>
    </row>
    <row r="1610" spans="1:8" x14ac:dyDescent="0.25">
      <c r="A1610" s="22">
        <v>41897.305555555555</v>
      </c>
      <c r="B1610">
        <v>459.9</v>
      </c>
      <c r="C1610">
        <v>94.1</v>
      </c>
      <c r="D1610">
        <v>10.1</v>
      </c>
      <c r="E1610">
        <v>5.9</v>
      </c>
      <c r="G1610">
        <v>15</v>
      </c>
      <c r="H1610" s="23">
        <f t="shared" si="61"/>
        <v>7</v>
      </c>
    </row>
    <row r="1611" spans="1:8" x14ac:dyDescent="0.25">
      <c r="A1611" s="22">
        <v>41897.309027777781</v>
      </c>
      <c r="B1611">
        <v>461.2</v>
      </c>
      <c r="C1611">
        <v>94.1</v>
      </c>
      <c r="D1611">
        <v>10.1</v>
      </c>
      <c r="E1611">
        <v>5.9</v>
      </c>
      <c r="G1611">
        <v>15</v>
      </c>
      <c r="H1611" s="23">
        <f t="shared" si="61"/>
        <v>7</v>
      </c>
    </row>
    <row r="1612" spans="1:8" x14ac:dyDescent="0.25">
      <c r="A1612" s="22">
        <v>41897.3125</v>
      </c>
      <c r="B1612">
        <v>458.6</v>
      </c>
      <c r="C1612">
        <v>94.2</v>
      </c>
      <c r="D1612">
        <v>10.1</v>
      </c>
      <c r="E1612">
        <v>5.9</v>
      </c>
      <c r="G1612">
        <v>15</v>
      </c>
      <c r="H1612" s="23">
        <f t="shared" si="61"/>
        <v>7</v>
      </c>
    </row>
    <row r="1613" spans="1:8" x14ac:dyDescent="0.25">
      <c r="A1613" s="22">
        <v>41897.315972222219</v>
      </c>
      <c r="B1613">
        <v>458.9</v>
      </c>
      <c r="C1613">
        <v>94.1</v>
      </c>
      <c r="D1613">
        <v>10.1</v>
      </c>
      <c r="E1613">
        <v>6</v>
      </c>
      <c r="G1613">
        <v>15</v>
      </c>
      <c r="H1613" s="23">
        <f t="shared" si="61"/>
        <v>7</v>
      </c>
    </row>
    <row r="1614" spans="1:8" x14ac:dyDescent="0.25">
      <c r="A1614" s="22">
        <v>41897.319444444445</v>
      </c>
      <c r="B1614">
        <v>454.8</v>
      </c>
      <c r="C1614">
        <v>94.1</v>
      </c>
      <c r="D1614">
        <v>10.1</v>
      </c>
      <c r="E1614">
        <v>5.9</v>
      </c>
      <c r="G1614">
        <v>15</v>
      </c>
      <c r="H1614" s="23">
        <f t="shared" si="61"/>
        <v>7</v>
      </c>
    </row>
    <row r="1615" spans="1:8" x14ac:dyDescent="0.25">
      <c r="A1615" s="22">
        <v>41897.322916666664</v>
      </c>
      <c r="B1615">
        <v>456.1</v>
      </c>
      <c r="C1615">
        <v>94.1</v>
      </c>
      <c r="D1615">
        <v>10.1</v>
      </c>
      <c r="E1615">
        <v>5.9</v>
      </c>
      <c r="G1615">
        <v>15</v>
      </c>
      <c r="H1615" s="23">
        <f t="shared" si="61"/>
        <v>7</v>
      </c>
    </row>
    <row r="1616" spans="1:8" x14ac:dyDescent="0.25">
      <c r="A1616" s="22">
        <v>41897.326388888891</v>
      </c>
      <c r="B1616">
        <v>455.4</v>
      </c>
      <c r="C1616">
        <v>94.2</v>
      </c>
      <c r="D1616">
        <v>10</v>
      </c>
      <c r="E1616">
        <v>5.9</v>
      </c>
      <c r="G1616">
        <v>15</v>
      </c>
      <c r="H1616" s="23">
        <f t="shared" si="61"/>
        <v>7</v>
      </c>
    </row>
    <row r="1617" spans="1:8" x14ac:dyDescent="0.25">
      <c r="A1617" s="22">
        <v>41897.329861111109</v>
      </c>
      <c r="B1617">
        <v>453.9</v>
      </c>
      <c r="C1617">
        <v>94.1</v>
      </c>
      <c r="D1617">
        <v>10</v>
      </c>
      <c r="E1617">
        <v>5.9</v>
      </c>
      <c r="G1617">
        <v>15</v>
      </c>
      <c r="H1617" s="23">
        <f t="shared" si="61"/>
        <v>7</v>
      </c>
    </row>
    <row r="1618" spans="1:8" x14ac:dyDescent="0.25">
      <c r="A1618" s="22">
        <v>41897.333333333336</v>
      </c>
      <c r="B1618">
        <v>455.9</v>
      </c>
      <c r="C1618">
        <v>94.2</v>
      </c>
      <c r="D1618">
        <v>10</v>
      </c>
      <c r="E1618">
        <v>5.9</v>
      </c>
      <c r="G1618">
        <v>15</v>
      </c>
      <c r="H1618" s="23">
        <f t="shared" si="61"/>
        <v>8</v>
      </c>
    </row>
    <row r="1619" spans="1:8" x14ac:dyDescent="0.25">
      <c r="A1619" s="22">
        <v>41897.336805555555</v>
      </c>
      <c r="B1619">
        <v>456.4</v>
      </c>
      <c r="C1619">
        <v>94.2</v>
      </c>
      <c r="D1619">
        <v>10.1</v>
      </c>
      <c r="E1619">
        <v>5.9</v>
      </c>
      <c r="G1619">
        <v>15</v>
      </c>
      <c r="H1619" s="23">
        <f t="shared" si="61"/>
        <v>8</v>
      </c>
    </row>
    <row r="1620" spans="1:8" x14ac:dyDescent="0.25">
      <c r="A1620" s="22">
        <v>41897.340277777781</v>
      </c>
      <c r="B1620">
        <v>455.8</v>
      </c>
      <c r="C1620">
        <v>94.2</v>
      </c>
      <c r="D1620">
        <v>10.1</v>
      </c>
      <c r="E1620">
        <v>5.9</v>
      </c>
      <c r="G1620">
        <v>15</v>
      </c>
      <c r="H1620" s="23">
        <f t="shared" si="61"/>
        <v>8</v>
      </c>
    </row>
    <row r="1621" spans="1:8" x14ac:dyDescent="0.25">
      <c r="A1621" s="22">
        <v>41897.34375</v>
      </c>
      <c r="B1621">
        <v>458.6</v>
      </c>
      <c r="C1621">
        <v>94.2</v>
      </c>
      <c r="D1621">
        <v>10.1</v>
      </c>
      <c r="E1621">
        <v>5.9</v>
      </c>
      <c r="G1621">
        <v>15</v>
      </c>
      <c r="H1621" s="23">
        <f t="shared" si="61"/>
        <v>8</v>
      </c>
    </row>
    <row r="1622" spans="1:8" x14ac:dyDescent="0.25">
      <c r="A1622" s="22">
        <v>41897.347222222219</v>
      </c>
      <c r="B1622">
        <v>197.8</v>
      </c>
      <c r="C1622">
        <v>94.4</v>
      </c>
      <c r="D1622">
        <v>10.1</v>
      </c>
      <c r="E1622">
        <v>8.5</v>
      </c>
      <c r="G1622">
        <v>15</v>
      </c>
      <c r="H1622" s="23">
        <f t="shared" si="61"/>
        <v>8</v>
      </c>
    </row>
    <row r="1623" spans="1:8" x14ac:dyDescent="0.25">
      <c r="A1623" s="22">
        <v>41897.350694444445</v>
      </c>
      <c r="B1623">
        <v>191.5</v>
      </c>
      <c r="C1623">
        <v>93.9</v>
      </c>
      <c r="D1623">
        <v>10.1</v>
      </c>
      <c r="E1623">
        <v>8.3000000000000007</v>
      </c>
      <c r="G1623">
        <v>15</v>
      </c>
      <c r="H1623" s="23">
        <f t="shared" si="61"/>
        <v>8</v>
      </c>
    </row>
    <row r="1624" spans="1:8" x14ac:dyDescent="0.25">
      <c r="A1624" s="22">
        <v>41897.354166666664</v>
      </c>
      <c r="B1624">
        <v>361.8</v>
      </c>
      <c r="C1624">
        <v>94.3</v>
      </c>
      <c r="D1624">
        <v>10.1</v>
      </c>
      <c r="E1624">
        <v>6.8</v>
      </c>
      <c r="G1624">
        <v>15</v>
      </c>
      <c r="H1624" s="23">
        <f t="shared" si="61"/>
        <v>8</v>
      </c>
    </row>
    <row r="1625" spans="1:8" x14ac:dyDescent="0.25">
      <c r="A1625" s="22">
        <v>41897.357638888891</v>
      </c>
      <c r="B1625">
        <v>453.1</v>
      </c>
      <c r="C1625">
        <v>94.2</v>
      </c>
      <c r="D1625">
        <v>10.3</v>
      </c>
      <c r="E1625">
        <v>6.2</v>
      </c>
      <c r="G1625">
        <v>15</v>
      </c>
      <c r="H1625" s="23">
        <f t="shared" si="61"/>
        <v>8</v>
      </c>
    </row>
    <row r="1626" spans="1:8" x14ac:dyDescent="0.25">
      <c r="A1626" s="22">
        <v>41897.361111111109</v>
      </c>
      <c r="B1626">
        <v>463.8</v>
      </c>
      <c r="C1626">
        <v>94.3</v>
      </c>
      <c r="D1626">
        <v>10.5</v>
      </c>
      <c r="E1626">
        <v>6.3</v>
      </c>
      <c r="G1626">
        <v>15</v>
      </c>
      <c r="H1626" s="23">
        <f t="shared" si="61"/>
        <v>8</v>
      </c>
    </row>
    <row r="1627" spans="1:8" x14ac:dyDescent="0.25">
      <c r="A1627" s="22">
        <v>41897.364583333336</v>
      </c>
      <c r="B1627">
        <v>462.8</v>
      </c>
      <c r="C1627">
        <v>94.2</v>
      </c>
      <c r="D1627">
        <v>10.7</v>
      </c>
      <c r="E1627">
        <v>6.5</v>
      </c>
      <c r="G1627">
        <v>15</v>
      </c>
      <c r="H1627" s="23">
        <f t="shared" si="61"/>
        <v>8</v>
      </c>
    </row>
    <row r="1628" spans="1:8" x14ac:dyDescent="0.25">
      <c r="A1628" s="22">
        <v>41897.368055555555</v>
      </c>
      <c r="B1628">
        <v>460.6</v>
      </c>
      <c r="C1628">
        <v>94.3</v>
      </c>
      <c r="D1628">
        <v>10.8</v>
      </c>
      <c r="E1628">
        <v>6.7</v>
      </c>
      <c r="G1628">
        <v>15</v>
      </c>
      <c r="H1628" s="23">
        <f t="shared" si="61"/>
        <v>8</v>
      </c>
    </row>
    <row r="1629" spans="1:8" x14ac:dyDescent="0.25">
      <c r="A1629" s="22">
        <v>41897.371527777781</v>
      </c>
      <c r="B1629">
        <v>458.2</v>
      </c>
      <c r="C1629">
        <v>94.3</v>
      </c>
      <c r="D1629">
        <v>10.8</v>
      </c>
      <c r="E1629">
        <v>6.6</v>
      </c>
      <c r="G1629">
        <v>15</v>
      </c>
      <c r="H1629" s="23">
        <f t="shared" si="61"/>
        <v>8</v>
      </c>
    </row>
    <row r="1630" spans="1:8" x14ac:dyDescent="0.25">
      <c r="A1630" s="22">
        <v>41897.375</v>
      </c>
      <c r="B1630">
        <v>458.2</v>
      </c>
      <c r="C1630">
        <v>94.3</v>
      </c>
      <c r="D1630">
        <v>10.7</v>
      </c>
      <c r="E1630">
        <v>6.5</v>
      </c>
      <c r="G1630">
        <v>15</v>
      </c>
      <c r="H1630" s="23">
        <f t="shared" si="61"/>
        <v>9</v>
      </c>
    </row>
    <row r="1631" spans="1:8" x14ac:dyDescent="0.25">
      <c r="A1631" s="22">
        <v>41897.378472222219</v>
      </c>
      <c r="B1631">
        <v>461.3</v>
      </c>
      <c r="C1631">
        <v>94.2</v>
      </c>
      <c r="D1631">
        <v>10.7</v>
      </c>
      <c r="E1631">
        <v>6.5</v>
      </c>
      <c r="G1631">
        <v>15</v>
      </c>
      <c r="H1631" s="23">
        <f t="shared" si="61"/>
        <v>9</v>
      </c>
    </row>
    <row r="1632" spans="1:8" x14ac:dyDescent="0.25">
      <c r="A1632" s="22">
        <v>41897.381944444445</v>
      </c>
      <c r="B1632">
        <v>462.3</v>
      </c>
      <c r="C1632">
        <v>94.3</v>
      </c>
      <c r="D1632">
        <v>10.8</v>
      </c>
      <c r="E1632">
        <v>6.6</v>
      </c>
      <c r="G1632">
        <v>15</v>
      </c>
      <c r="H1632" s="23">
        <f t="shared" si="61"/>
        <v>9</v>
      </c>
    </row>
    <row r="1633" spans="1:8" x14ac:dyDescent="0.25">
      <c r="A1633" s="22">
        <v>41897.385416666664</v>
      </c>
      <c r="B1633">
        <v>464.4</v>
      </c>
      <c r="C1633">
        <v>94.3</v>
      </c>
      <c r="D1633">
        <v>10.8</v>
      </c>
      <c r="E1633">
        <v>6.6</v>
      </c>
      <c r="G1633">
        <v>15</v>
      </c>
      <c r="H1633" s="23">
        <f t="shared" si="61"/>
        <v>9</v>
      </c>
    </row>
    <row r="1634" spans="1:8" x14ac:dyDescent="0.25">
      <c r="A1634" s="22">
        <v>41897.388888888891</v>
      </c>
      <c r="B1634">
        <v>462.4</v>
      </c>
      <c r="C1634">
        <v>94.3</v>
      </c>
      <c r="D1634">
        <v>10.8</v>
      </c>
      <c r="E1634">
        <v>6.6</v>
      </c>
      <c r="G1634">
        <v>15</v>
      </c>
      <c r="H1634" s="23">
        <f t="shared" si="61"/>
        <v>9</v>
      </c>
    </row>
    <row r="1635" spans="1:8" x14ac:dyDescent="0.25">
      <c r="A1635" s="22">
        <v>41897.392361111109</v>
      </c>
      <c r="B1635">
        <v>464.4</v>
      </c>
      <c r="C1635">
        <v>94.2</v>
      </c>
      <c r="D1635">
        <v>10.8</v>
      </c>
      <c r="E1635">
        <v>6.6</v>
      </c>
      <c r="G1635">
        <v>15</v>
      </c>
      <c r="H1635" s="23">
        <f t="shared" si="61"/>
        <v>9</v>
      </c>
    </row>
    <row r="1636" spans="1:8" x14ac:dyDescent="0.25">
      <c r="A1636" s="22">
        <v>41897.395833333336</v>
      </c>
      <c r="B1636">
        <v>468</v>
      </c>
      <c r="C1636">
        <v>94.3</v>
      </c>
      <c r="D1636">
        <v>10.8</v>
      </c>
      <c r="E1636">
        <v>6.5</v>
      </c>
      <c r="G1636">
        <v>15</v>
      </c>
      <c r="H1636" s="23">
        <f t="shared" si="61"/>
        <v>9</v>
      </c>
    </row>
    <row r="1637" spans="1:8" x14ac:dyDescent="0.25">
      <c r="A1637" s="22">
        <v>41897.399305555555</v>
      </c>
      <c r="B1637">
        <v>469.6</v>
      </c>
      <c r="C1637">
        <v>94.3</v>
      </c>
      <c r="D1637">
        <v>10.8</v>
      </c>
      <c r="E1637">
        <v>6.5</v>
      </c>
      <c r="G1637">
        <v>15</v>
      </c>
      <c r="H1637" s="23">
        <f t="shared" si="61"/>
        <v>9</v>
      </c>
    </row>
    <row r="1638" spans="1:8" x14ac:dyDescent="0.25">
      <c r="A1638" s="22">
        <v>41897.402777777781</v>
      </c>
      <c r="B1638">
        <v>469.8</v>
      </c>
      <c r="C1638">
        <v>94.3</v>
      </c>
      <c r="D1638">
        <v>10.8</v>
      </c>
      <c r="E1638">
        <v>6.5</v>
      </c>
      <c r="G1638">
        <v>15</v>
      </c>
      <c r="H1638" s="23">
        <f t="shared" si="61"/>
        <v>9</v>
      </c>
    </row>
    <row r="1639" spans="1:8" x14ac:dyDescent="0.25">
      <c r="A1639" s="22">
        <v>41897.40625</v>
      </c>
      <c r="B1639">
        <v>469.9</v>
      </c>
      <c r="C1639">
        <v>94.3</v>
      </c>
      <c r="D1639">
        <v>10.8</v>
      </c>
      <c r="E1639">
        <v>6.5</v>
      </c>
      <c r="G1639">
        <v>15</v>
      </c>
      <c r="H1639" s="23">
        <f t="shared" si="61"/>
        <v>9</v>
      </c>
    </row>
    <row r="1640" spans="1:8" x14ac:dyDescent="0.25">
      <c r="A1640" s="22">
        <v>41897.409722222219</v>
      </c>
      <c r="B1640">
        <v>469</v>
      </c>
      <c r="C1640">
        <v>94.2</v>
      </c>
      <c r="D1640">
        <v>10.8</v>
      </c>
      <c r="E1640">
        <v>6.5</v>
      </c>
      <c r="G1640">
        <v>15</v>
      </c>
      <c r="H1640" s="23">
        <f t="shared" si="61"/>
        <v>9</v>
      </c>
    </row>
    <row r="1641" spans="1:8" x14ac:dyDescent="0.25">
      <c r="A1641" s="22">
        <v>41897.413194444445</v>
      </c>
      <c r="B1641">
        <v>469.8</v>
      </c>
      <c r="C1641">
        <v>94.3</v>
      </c>
      <c r="D1641">
        <v>10.8</v>
      </c>
      <c r="E1641">
        <v>6.5</v>
      </c>
      <c r="G1641">
        <v>15</v>
      </c>
      <c r="H1641" s="23">
        <f t="shared" si="61"/>
        <v>9</v>
      </c>
    </row>
    <row r="1642" spans="1:8" x14ac:dyDescent="0.25">
      <c r="A1642" s="22">
        <v>41897.416666666664</v>
      </c>
      <c r="B1642">
        <v>471.4</v>
      </c>
      <c r="C1642">
        <v>94.3</v>
      </c>
      <c r="D1642">
        <v>10.8</v>
      </c>
      <c r="E1642">
        <v>6.5</v>
      </c>
      <c r="G1642">
        <v>15</v>
      </c>
      <c r="H1642" s="23">
        <f t="shared" si="61"/>
        <v>10</v>
      </c>
    </row>
    <row r="1643" spans="1:8" x14ac:dyDescent="0.25">
      <c r="A1643" s="22">
        <v>41897.420138888891</v>
      </c>
      <c r="B1643">
        <v>474.3</v>
      </c>
      <c r="C1643">
        <v>94.2</v>
      </c>
      <c r="D1643">
        <v>10.8</v>
      </c>
      <c r="E1643">
        <v>6.4</v>
      </c>
      <c r="G1643">
        <v>15</v>
      </c>
      <c r="H1643" s="23">
        <f t="shared" si="61"/>
        <v>10</v>
      </c>
    </row>
    <row r="1644" spans="1:8" x14ac:dyDescent="0.25">
      <c r="A1644" s="22">
        <v>41897.423611111109</v>
      </c>
      <c r="B1644">
        <v>476.6</v>
      </c>
      <c r="C1644">
        <v>94.2</v>
      </c>
      <c r="D1644">
        <v>10.8</v>
      </c>
      <c r="E1644">
        <v>6.4</v>
      </c>
      <c r="G1644">
        <v>15</v>
      </c>
      <c r="H1644" s="23">
        <f t="shared" si="61"/>
        <v>10</v>
      </c>
    </row>
    <row r="1645" spans="1:8" x14ac:dyDescent="0.25">
      <c r="A1645" s="22">
        <v>41897.427083333336</v>
      </c>
      <c r="B1645">
        <v>481.6</v>
      </c>
      <c r="C1645">
        <v>94.3</v>
      </c>
      <c r="D1645">
        <v>10.8</v>
      </c>
      <c r="E1645">
        <v>6.4</v>
      </c>
      <c r="G1645">
        <v>15</v>
      </c>
      <c r="H1645" s="23">
        <f t="shared" si="61"/>
        <v>10</v>
      </c>
    </row>
    <row r="1646" spans="1:8" x14ac:dyDescent="0.25">
      <c r="A1646" s="22">
        <v>41897.430555555555</v>
      </c>
      <c r="B1646">
        <v>479.3</v>
      </c>
      <c r="C1646">
        <v>94.3</v>
      </c>
      <c r="D1646">
        <v>10.8</v>
      </c>
      <c r="E1646">
        <v>6.4</v>
      </c>
      <c r="G1646">
        <v>15</v>
      </c>
      <c r="H1646" s="23">
        <f t="shared" si="61"/>
        <v>10</v>
      </c>
    </row>
    <row r="1647" spans="1:8" x14ac:dyDescent="0.25">
      <c r="A1647" s="22">
        <v>41897.434027777781</v>
      </c>
      <c r="B1647">
        <v>478.7</v>
      </c>
      <c r="C1647">
        <v>94.3</v>
      </c>
      <c r="D1647">
        <v>10.7</v>
      </c>
      <c r="E1647">
        <v>6.4</v>
      </c>
      <c r="G1647">
        <v>15</v>
      </c>
      <c r="H1647" s="23">
        <f t="shared" si="61"/>
        <v>10</v>
      </c>
    </row>
    <row r="1648" spans="1:8" x14ac:dyDescent="0.25">
      <c r="A1648" s="22">
        <v>41897.4375</v>
      </c>
      <c r="B1648">
        <v>472.3</v>
      </c>
      <c r="C1648">
        <v>94.3</v>
      </c>
      <c r="D1648">
        <v>10.6</v>
      </c>
      <c r="E1648">
        <v>6.3</v>
      </c>
      <c r="G1648">
        <v>15</v>
      </c>
      <c r="H1648" s="23">
        <f t="shared" si="61"/>
        <v>10</v>
      </c>
    </row>
    <row r="1649" spans="1:8" x14ac:dyDescent="0.25">
      <c r="A1649" s="22">
        <v>41897.440972222219</v>
      </c>
      <c r="B1649">
        <v>469.5</v>
      </c>
      <c r="C1649">
        <v>94.2</v>
      </c>
      <c r="D1649">
        <v>10.4</v>
      </c>
      <c r="E1649">
        <v>6.1</v>
      </c>
      <c r="G1649">
        <v>15</v>
      </c>
      <c r="H1649" s="23">
        <f t="shared" si="61"/>
        <v>10</v>
      </c>
    </row>
    <row r="1650" spans="1:8" x14ac:dyDescent="0.25">
      <c r="A1650" s="22">
        <v>41897.444444444445</v>
      </c>
      <c r="B1650">
        <v>466.9</v>
      </c>
      <c r="C1650">
        <v>94.3</v>
      </c>
      <c r="D1650">
        <v>10.3</v>
      </c>
      <c r="E1650">
        <v>6.1</v>
      </c>
      <c r="G1650">
        <v>15</v>
      </c>
      <c r="H1650" s="23">
        <f t="shared" si="61"/>
        <v>10</v>
      </c>
    </row>
    <row r="1651" spans="1:8" x14ac:dyDescent="0.25">
      <c r="A1651" s="22">
        <v>41897.447916666664</v>
      </c>
      <c r="B1651">
        <v>464.7</v>
      </c>
      <c r="C1651">
        <v>94.2</v>
      </c>
      <c r="D1651">
        <v>10.3</v>
      </c>
      <c r="E1651">
        <v>6.1</v>
      </c>
      <c r="G1651">
        <v>15</v>
      </c>
      <c r="H1651" s="23">
        <f t="shared" si="61"/>
        <v>10</v>
      </c>
    </row>
    <row r="1652" spans="1:8" x14ac:dyDescent="0.25">
      <c r="A1652" s="22">
        <v>41897.451388888891</v>
      </c>
      <c r="B1652">
        <v>464.3</v>
      </c>
      <c r="C1652">
        <v>94.2</v>
      </c>
      <c r="D1652">
        <v>10.3</v>
      </c>
      <c r="E1652">
        <v>6</v>
      </c>
      <c r="G1652">
        <v>15</v>
      </c>
      <c r="H1652" s="23">
        <f t="shared" si="61"/>
        <v>10</v>
      </c>
    </row>
    <row r="1653" spans="1:8" x14ac:dyDescent="0.25">
      <c r="A1653" s="22">
        <v>41897.454861111109</v>
      </c>
      <c r="B1653">
        <v>467</v>
      </c>
      <c r="C1653">
        <v>94.2</v>
      </c>
      <c r="D1653">
        <v>10.199999999999999</v>
      </c>
      <c r="E1653">
        <v>6</v>
      </c>
      <c r="G1653">
        <v>15</v>
      </c>
      <c r="H1653" s="23">
        <f t="shared" si="61"/>
        <v>10</v>
      </c>
    </row>
    <row r="1654" spans="1:8" x14ac:dyDescent="0.25">
      <c r="A1654" s="22">
        <v>41897.458333333336</v>
      </c>
      <c r="B1654">
        <v>469</v>
      </c>
      <c r="C1654">
        <v>94.2</v>
      </c>
      <c r="D1654">
        <v>10.199999999999999</v>
      </c>
      <c r="E1654">
        <v>5.9</v>
      </c>
      <c r="G1654">
        <v>15</v>
      </c>
      <c r="H1654" s="23">
        <f t="shared" si="61"/>
        <v>11</v>
      </c>
    </row>
    <row r="1655" spans="1:8" x14ac:dyDescent="0.25">
      <c r="A1655" s="22">
        <v>41897.461805555555</v>
      </c>
      <c r="B1655">
        <v>469.5</v>
      </c>
      <c r="C1655">
        <v>94.3</v>
      </c>
      <c r="D1655">
        <v>10.1</v>
      </c>
      <c r="E1655">
        <v>5.9</v>
      </c>
      <c r="G1655">
        <v>15</v>
      </c>
      <c r="H1655" s="23">
        <f t="shared" si="61"/>
        <v>11</v>
      </c>
    </row>
    <row r="1656" spans="1:8" x14ac:dyDescent="0.25">
      <c r="A1656" s="22">
        <v>41897.465277777781</v>
      </c>
      <c r="B1656">
        <v>470.8</v>
      </c>
      <c r="C1656">
        <v>94.2</v>
      </c>
      <c r="D1656">
        <v>10.1</v>
      </c>
      <c r="E1656">
        <v>5.8</v>
      </c>
      <c r="G1656">
        <v>15</v>
      </c>
      <c r="H1656" s="23">
        <f t="shared" si="61"/>
        <v>11</v>
      </c>
    </row>
    <row r="1657" spans="1:8" x14ac:dyDescent="0.25">
      <c r="A1657" s="22">
        <v>41897.46875</v>
      </c>
      <c r="B1657">
        <v>466.5</v>
      </c>
      <c r="C1657">
        <v>94.1</v>
      </c>
      <c r="D1657">
        <v>10</v>
      </c>
      <c r="E1657">
        <v>5.8</v>
      </c>
      <c r="G1657">
        <v>15</v>
      </c>
      <c r="H1657" s="23">
        <f t="shared" si="61"/>
        <v>11</v>
      </c>
    </row>
    <row r="1658" spans="1:8" x14ac:dyDescent="0.25">
      <c r="A1658" s="22">
        <v>41897.472222222219</v>
      </c>
      <c r="B1658">
        <v>462</v>
      </c>
      <c r="C1658">
        <v>94.2</v>
      </c>
      <c r="D1658">
        <v>10</v>
      </c>
      <c r="E1658">
        <v>5.8</v>
      </c>
      <c r="G1658">
        <v>15</v>
      </c>
      <c r="H1658" s="23">
        <f t="shared" si="61"/>
        <v>11</v>
      </c>
    </row>
    <row r="1659" spans="1:8" x14ac:dyDescent="0.25">
      <c r="A1659" s="22">
        <v>41897.475694444445</v>
      </c>
      <c r="B1659">
        <v>447.4</v>
      </c>
      <c r="C1659">
        <v>94.2</v>
      </c>
      <c r="D1659">
        <v>9.8000000000000007</v>
      </c>
      <c r="E1659">
        <v>5.8</v>
      </c>
      <c r="G1659">
        <v>15</v>
      </c>
      <c r="H1659" s="23">
        <f t="shared" si="61"/>
        <v>11</v>
      </c>
    </row>
    <row r="1660" spans="1:8" x14ac:dyDescent="0.25">
      <c r="A1660" s="22">
        <v>41897.479166666664</v>
      </c>
      <c r="B1660">
        <v>440.5</v>
      </c>
      <c r="C1660">
        <v>94.2</v>
      </c>
      <c r="D1660">
        <v>9.8000000000000007</v>
      </c>
      <c r="E1660">
        <v>5.8</v>
      </c>
      <c r="G1660">
        <v>15</v>
      </c>
      <c r="H1660" s="23">
        <f t="shared" si="61"/>
        <v>11</v>
      </c>
    </row>
    <row r="1661" spans="1:8" x14ac:dyDescent="0.25">
      <c r="A1661" s="22">
        <v>41897.482638888891</v>
      </c>
      <c r="B1661">
        <v>436.6</v>
      </c>
      <c r="C1661">
        <v>94.1</v>
      </c>
      <c r="D1661">
        <v>9.8000000000000007</v>
      </c>
      <c r="E1661">
        <v>5.8</v>
      </c>
      <c r="G1661">
        <v>15</v>
      </c>
      <c r="H1661" s="23">
        <f t="shared" si="61"/>
        <v>11</v>
      </c>
    </row>
    <row r="1662" spans="1:8" x14ac:dyDescent="0.25">
      <c r="A1662" s="22">
        <v>41897.486111111109</v>
      </c>
      <c r="B1662">
        <v>435</v>
      </c>
      <c r="C1662">
        <v>94.1</v>
      </c>
      <c r="D1662">
        <v>9.8000000000000007</v>
      </c>
      <c r="E1662">
        <v>5.8</v>
      </c>
      <c r="G1662">
        <v>15</v>
      </c>
      <c r="H1662" s="23">
        <f t="shared" si="61"/>
        <v>11</v>
      </c>
    </row>
    <row r="1663" spans="1:8" x14ac:dyDescent="0.25">
      <c r="A1663" s="22">
        <v>41897.489583333336</v>
      </c>
      <c r="B1663">
        <v>435.8</v>
      </c>
      <c r="C1663">
        <v>94.2</v>
      </c>
      <c r="D1663">
        <v>9.8000000000000007</v>
      </c>
      <c r="E1663">
        <v>5.8</v>
      </c>
      <c r="G1663">
        <v>15</v>
      </c>
      <c r="H1663" s="23">
        <f t="shared" si="61"/>
        <v>11</v>
      </c>
    </row>
    <row r="1664" spans="1:8" x14ac:dyDescent="0.25">
      <c r="A1664" s="22">
        <v>41897.493055555555</v>
      </c>
      <c r="B1664">
        <v>434.6</v>
      </c>
      <c r="C1664">
        <v>94.2</v>
      </c>
      <c r="D1664">
        <v>9.6999999999999993</v>
      </c>
      <c r="E1664">
        <v>5.8</v>
      </c>
      <c r="G1664">
        <v>15</v>
      </c>
      <c r="H1664" s="23">
        <f t="shared" si="61"/>
        <v>11</v>
      </c>
    </row>
    <row r="1665" spans="1:8" x14ac:dyDescent="0.25">
      <c r="A1665" s="22">
        <v>41897.496527777781</v>
      </c>
      <c r="B1665">
        <v>430.5</v>
      </c>
      <c r="C1665">
        <v>94</v>
      </c>
      <c r="D1665">
        <v>9.6999999999999993</v>
      </c>
      <c r="E1665">
        <v>5.8</v>
      </c>
      <c r="G1665">
        <v>15</v>
      </c>
      <c r="H1665" s="23">
        <f t="shared" si="61"/>
        <v>11</v>
      </c>
    </row>
    <row r="1666" spans="1:8" x14ac:dyDescent="0.25">
      <c r="A1666" s="22">
        <v>41897.5</v>
      </c>
      <c r="B1666">
        <v>431.8</v>
      </c>
      <c r="C1666">
        <v>94.1</v>
      </c>
      <c r="D1666">
        <v>9.6999999999999993</v>
      </c>
      <c r="E1666">
        <v>5.8</v>
      </c>
      <c r="G1666">
        <v>15</v>
      </c>
      <c r="H1666" s="23">
        <f t="shared" si="61"/>
        <v>12</v>
      </c>
    </row>
    <row r="1667" spans="1:8" x14ac:dyDescent="0.25">
      <c r="A1667" s="22">
        <v>41897.503472222219</v>
      </c>
      <c r="B1667">
        <v>434.7</v>
      </c>
      <c r="C1667">
        <v>94.1</v>
      </c>
      <c r="D1667">
        <v>9.8000000000000007</v>
      </c>
      <c r="E1667">
        <v>5.8</v>
      </c>
      <c r="G1667">
        <v>15</v>
      </c>
      <c r="H1667" s="23">
        <f t="shared" si="61"/>
        <v>12</v>
      </c>
    </row>
    <row r="1668" spans="1:8" x14ac:dyDescent="0.25">
      <c r="A1668" s="22">
        <v>41897.506944444445</v>
      </c>
      <c r="B1668">
        <v>436.5</v>
      </c>
      <c r="C1668">
        <v>94</v>
      </c>
      <c r="D1668">
        <v>9.8000000000000007</v>
      </c>
      <c r="E1668">
        <v>5.8</v>
      </c>
      <c r="G1668">
        <v>15</v>
      </c>
      <c r="H1668" s="23">
        <f t="shared" si="61"/>
        <v>12</v>
      </c>
    </row>
    <row r="1669" spans="1:8" x14ac:dyDescent="0.25">
      <c r="A1669" s="22">
        <v>41897.510416666664</v>
      </c>
      <c r="B1669">
        <v>437.7</v>
      </c>
      <c r="C1669">
        <v>94.1</v>
      </c>
      <c r="D1669">
        <v>9.8000000000000007</v>
      </c>
      <c r="E1669">
        <v>5.8</v>
      </c>
      <c r="G1669">
        <v>15</v>
      </c>
      <c r="H1669" s="23">
        <f t="shared" si="61"/>
        <v>12</v>
      </c>
    </row>
    <row r="1670" spans="1:8" x14ac:dyDescent="0.25">
      <c r="A1670" s="22">
        <v>41897.513888888891</v>
      </c>
      <c r="B1670">
        <v>438.4</v>
      </c>
      <c r="C1670">
        <v>94.1</v>
      </c>
      <c r="D1670">
        <v>9.8000000000000007</v>
      </c>
      <c r="E1670">
        <v>5.8</v>
      </c>
      <c r="G1670">
        <v>15</v>
      </c>
      <c r="H1670" s="23">
        <f t="shared" ref="H1670:H1733" si="62">+HOUR(A1670)</f>
        <v>12</v>
      </c>
    </row>
    <row r="1671" spans="1:8" x14ac:dyDescent="0.25">
      <c r="A1671" s="22">
        <v>41897.517361111109</v>
      </c>
      <c r="B1671">
        <v>439.7</v>
      </c>
      <c r="C1671">
        <v>94.2</v>
      </c>
      <c r="D1671">
        <v>9.8000000000000007</v>
      </c>
      <c r="E1671">
        <v>5.8</v>
      </c>
      <c r="G1671">
        <v>15</v>
      </c>
      <c r="H1671" s="23">
        <f t="shared" si="62"/>
        <v>12</v>
      </c>
    </row>
    <row r="1672" spans="1:8" x14ac:dyDescent="0.25">
      <c r="A1672" s="22">
        <v>41897.520833333336</v>
      </c>
      <c r="B1672">
        <v>441.7</v>
      </c>
      <c r="C1672">
        <v>94.1</v>
      </c>
      <c r="D1672">
        <v>9.8000000000000007</v>
      </c>
      <c r="E1672">
        <v>5.8</v>
      </c>
      <c r="G1672">
        <v>15</v>
      </c>
      <c r="H1672" s="23">
        <f t="shared" si="62"/>
        <v>12</v>
      </c>
    </row>
    <row r="1673" spans="1:8" x14ac:dyDescent="0.25">
      <c r="A1673" s="22">
        <v>41897.524305555555</v>
      </c>
      <c r="B1673">
        <v>440.2</v>
      </c>
      <c r="C1673">
        <v>94.1</v>
      </c>
      <c r="D1673">
        <v>9.8000000000000007</v>
      </c>
      <c r="E1673">
        <v>5.8</v>
      </c>
      <c r="G1673">
        <v>15</v>
      </c>
      <c r="H1673" s="23">
        <f t="shared" si="62"/>
        <v>12</v>
      </c>
    </row>
    <row r="1674" spans="1:8" x14ac:dyDescent="0.25">
      <c r="A1674" s="22">
        <v>41897.527777777781</v>
      </c>
      <c r="B1674">
        <v>438.9</v>
      </c>
      <c r="C1674">
        <v>94.1</v>
      </c>
      <c r="D1674">
        <v>9.8000000000000007</v>
      </c>
      <c r="E1674">
        <v>5.8</v>
      </c>
      <c r="G1674">
        <v>15</v>
      </c>
      <c r="H1674" s="23">
        <f t="shared" si="62"/>
        <v>12</v>
      </c>
    </row>
    <row r="1675" spans="1:8" x14ac:dyDescent="0.25">
      <c r="A1675" s="22">
        <v>41897.53125</v>
      </c>
      <c r="B1675">
        <v>434.5</v>
      </c>
      <c r="C1675">
        <v>94.1</v>
      </c>
      <c r="D1675">
        <v>9.6999999999999993</v>
      </c>
      <c r="E1675">
        <v>5.8</v>
      </c>
      <c r="G1675">
        <v>15</v>
      </c>
      <c r="H1675" s="23">
        <f t="shared" si="62"/>
        <v>12</v>
      </c>
    </row>
    <row r="1676" spans="1:8" x14ac:dyDescent="0.25">
      <c r="A1676" s="22">
        <v>41897.534722222219</v>
      </c>
      <c r="B1676">
        <v>439.6</v>
      </c>
      <c r="C1676">
        <v>94.1</v>
      </c>
      <c r="D1676">
        <v>9.8000000000000007</v>
      </c>
      <c r="E1676">
        <v>5.8</v>
      </c>
      <c r="G1676">
        <v>15</v>
      </c>
      <c r="H1676" s="23">
        <f t="shared" si="62"/>
        <v>12</v>
      </c>
    </row>
    <row r="1677" spans="1:8" x14ac:dyDescent="0.25">
      <c r="A1677" s="22">
        <v>41897.538194444445</v>
      </c>
      <c r="B1677">
        <v>455.9</v>
      </c>
      <c r="C1677">
        <v>94.1</v>
      </c>
      <c r="D1677">
        <v>10</v>
      </c>
      <c r="E1677">
        <v>5.8</v>
      </c>
      <c r="G1677">
        <v>15</v>
      </c>
      <c r="H1677" s="23">
        <f t="shared" si="62"/>
        <v>12</v>
      </c>
    </row>
    <row r="1678" spans="1:8" x14ac:dyDescent="0.25">
      <c r="A1678" s="22">
        <v>41897.541666666664</v>
      </c>
      <c r="B1678">
        <v>459.9</v>
      </c>
      <c r="C1678">
        <v>94.1</v>
      </c>
      <c r="D1678">
        <v>10</v>
      </c>
      <c r="E1678">
        <v>5.8</v>
      </c>
      <c r="G1678">
        <v>15</v>
      </c>
      <c r="H1678" s="23">
        <f t="shared" si="62"/>
        <v>13</v>
      </c>
    </row>
    <row r="1679" spans="1:8" x14ac:dyDescent="0.25">
      <c r="A1679" s="22">
        <v>41897.545138888891</v>
      </c>
      <c r="B1679">
        <v>461.3</v>
      </c>
      <c r="C1679">
        <v>94.1</v>
      </c>
      <c r="D1679">
        <v>10.1</v>
      </c>
      <c r="E1679">
        <v>5.9</v>
      </c>
      <c r="G1679">
        <v>15</v>
      </c>
      <c r="H1679" s="23">
        <f t="shared" si="62"/>
        <v>13</v>
      </c>
    </row>
    <row r="1680" spans="1:8" x14ac:dyDescent="0.25">
      <c r="A1680" s="22">
        <v>41897.548611111109</v>
      </c>
      <c r="B1680">
        <v>461.8</v>
      </c>
      <c r="C1680">
        <v>94.2</v>
      </c>
      <c r="D1680">
        <v>10.1</v>
      </c>
      <c r="E1680">
        <v>5.9</v>
      </c>
      <c r="G1680">
        <v>15</v>
      </c>
      <c r="H1680" s="23">
        <f t="shared" si="62"/>
        <v>13</v>
      </c>
    </row>
    <row r="1681" spans="1:8" x14ac:dyDescent="0.25">
      <c r="A1681" s="22">
        <v>41897.552083333336</v>
      </c>
      <c r="B1681">
        <v>463.3</v>
      </c>
      <c r="C1681">
        <v>94.2</v>
      </c>
      <c r="D1681">
        <v>10.1</v>
      </c>
      <c r="E1681">
        <v>5.9</v>
      </c>
      <c r="G1681">
        <v>15</v>
      </c>
      <c r="H1681" s="23">
        <f t="shared" si="62"/>
        <v>13</v>
      </c>
    </row>
    <row r="1682" spans="1:8" x14ac:dyDescent="0.25">
      <c r="A1682" s="22">
        <v>41897.555555555555</v>
      </c>
      <c r="B1682">
        <v>464.5</v>
      </c>
      <c r="C1682">
        <v>94.1</v>
      </c>
      <c r="D1682">
        <v>10.199999999999999</v>
      </c>
      <c r="E1682">
        <v>6</v>
      </c>
      <c r="G1682">
        <v>15</v>
      </c>
      <c r="H1682" s="23">
        <f t="shared" si="62"/>
        <v>13</v>
      </c>
    </row>
    <row r="1683" spans="1:8" x14ac:dyDescent="0.25">
      <c r="A1683" s="22">
        <v>41897.559027777781</v>
      </c>
      <c r="B1683">
        <v>463.5</v>
      </c>
      <c r="C1683">
        <v>94.1</v>
      </c>
      <c r="D1683">
        <v>10.199999999999999</v>
      </c>
      <c r="E1683">
        <v>6</v>
      </c>
      <c r="G1683">
        <v>15</v>
      </c>
      <c r="H1683" s="23">
        <f t="shared" si="62"/>
        <v>13</v>
      </c>
    </row>
    <row r="1684" spans="1:8" x14ac:dyDescent="0.25">
      <c r="A1684" s="22">
        <v>41897.5625</v>
      </c>
      <c r="B1684">
        <v>461.6</v>
      </c>
      <c r="C1684">
        <v>94.2</v>
      </c>
      <c r="D1684">
        <v>10.199999999999999</v>
      </c>
      <c r="E1684">
        <v>6</v>
      </c>
      <c r="G1684">
        <v>15</v>
      </c>
      <c r="H1684" s="23">
        <f t="shared" si="62"/>
        <v>13</v>
      </c>
    </row>
    <row r="1685" spans="1:8" x14ac:dyDescent="0.25">
      <c r="A1685" s="22">
        <v>41897.565972222219</v>
      </c>
      <c r="B1685">
        <v>464.5</v>
      </c>
      <c r="C1685">
        <v>94.2</v>
      </c>
      <c r="D1685">
        <v>10.199999999999999</v>
      </c>
      <c r="E1685">
        <v>6</v>
      </c>
      <c r="G1685">
        <v>15</v>
      </c>
      <c r="H1685" s="23">
        <f t="shared" si="62"/>
        <v>13</v>
      </c>
    </row>
    <row r="1686" spans="1:8" x14ac:dyDescent="0.25">
      <c r="A1686" s="22">
        <v>41897.569444444445</v>
      </c>
      <c r="B1686">
        <v>460.1</v>
      </c>
      <c r="C1686">
        <v>94.2</v>
      </c>
      <c r="D1686">
        <v>10.199999999999999</v>
      </c>
      <c r="E1686">
        <v>6</v>
      </c>
      <c r="G1686">
        <v>15</v>
      </c>
      <c r="H1686" s="23">
        <f t="shared" si="62"/>
        <v>13</v>
      </c>
    </row>
    <row r="1687" spans="1:8" x14ac:dyDescent="0.25">
      <c r="A1687" s="22">
        <v>41897.572916666664</v>
      </c>
      <c r="B1687">
        <v>462.2</v>
      </c>
      <c r="C1687">
        <v>94.1</v>
      </c>
      <c r="D1687">
        <v>10.3</v>
      </c>
      <c r="E1687">
        <v>6</v>
      </c>
      <c r="G1687">
        <v>15</v>
      </c>
      <c r="H1687" s="23">
        <f t="shared" si="62"/>
        <v>13</v>
      </c>
    </row>
    <row r="1688" spans="1:8" x14ac:dyDescent="0.25">
      <c r="A1688" s="22">
        <v>41897.576388888891</v>
      </c>
      <c r="B1688">
        <v>459.5</v>
      </c>
      <c r="C1688">
        <v>94.1</v>
      </c>
      <c r="D1688">
        <v>10.3</v>
      </c>
      <c r="E1688">
        <v>6.1</v>
      </c>
      <c r="G1688">
        <v>15</v>
      </c>
      <c r="H1688" s="23">
        <f t="shared" si="62"/>
        <v>13</v>
      </c>
    </row>
    <row r="1689" spans="1:8" x14ac:dyDescent="0.25">
      <c r="A1689" s="22">
        <v>41897.579861111109</v>
      </c>
      <c r="B1689">
        <v>462.5</v>
      </c>
      <c r="C1689">
        <v>94.2</v>
      </c>
      <c r="D1689">
        <v>10.4</v>
      </c>
      <c r="E1689">
        <v>6.1</v>
      </c>
      <c r="G1689">
        <v>15</v>
      </c>
      <c r="H1689" s="23">
        <f t="shared" si="62"/>
        <v>13</v>
      </c>
    </row>
    <row r="1690" spans="1:8" x14ac:dyDescent="0.25">
      <c r="A1690" s="22">
        <v>41897.583333333336</v>
      </c>
      <c r="B1690">
        <v>463.8</v>
      </c>
      <c r="C1690">
        <v>94.2</v>
      </c>
      <c r="D1690">
        <v>10.4</v>
      </c>
      <c r="E1690">
        <v>6.1</v>
      </c>
      <c r="G1690">
        <v>15</v>
      </c>
      <c r="H1690" s="23">
        <f t="shared" si="62"/>
        <v>14</v>
      </c>
    </row>
    <row r="1691" spans="1:8" x14ac:dyDescent="0.25">
      <c r="A1691" s="22">
        <v>41897.586805555555</v>
      </c>
      <c r="B1691">
        <v>463.2</v>
      </c>
      <c r="C1691">
        <v>94.1</v>
      </c>
      <c r="D1691">
        <v>10.4</v>
      </c>
      <c r="E1691">
        <v>6.1</v>
      </c>
      <c r="G1691">
        <v>15</v>
      </c>
      <c r="H1691" s="23">
        <f t="shared" si="62"/>
        <v>14</v>
      </c>
    </row>
    <row r="1692" spans="1:8" x14ac:dyDescent="0.25">
      <c r="A1692" s="22">
        <v>41897.590277777781</v>
      </c>
      <c r="B1692">
        <v>465.1</v>
      </c>
      <c r="C1692">
        <v>94.1</v>
      </c>
      <c r="D1692">
        <v>10.4</v>
      </c>
      <c r="E1692">
        <v>6.1</v>
      </c>
      <c r="G1692">
        <v>15</v>
      </c>
      <c r="H1692" s="23">
        <f t="shared" si="62"/>
        <v>14</v>
      </c>
    </row>
    <row r="1693" spans="1:8" x14ac:dyDescent="0.25">
      <c r="A1693" s="22">
        <v>41897.59375</v>
      </c>
      <c r="B1693">
        <v>466.3</v>
      </c>
      <c r="C1693">
        <v>94.2</v>
      </c>
      <c r="D1693">
        <v>10.4</v>
      </c>
      <c r="E1693">
        <v>6.2</v>
      </c>
      <c r="G1693">
        <v>15</v>
      </c>
      <c r="H1693" s="23">
        <f t="shared" si="62"/>
        <v>14</v>
      </c>
    </row>
    <row r="1694" spans="1:8" x14ac:dyDescent="0.25">
      <c r="A1694" s="22">
        <v>41897.597222222219</v>
      </c>
      <c r="B1694">
        <v>465.5</v>
      </c>
      <c r="C1694">
        <v>94.3</v>
      </c>
      <c r="D1694">
        <v>10.4</v>
      </c>
      <c r="E1694">
        <v>6.2</v>
      </c>
      <c r="G1694">
        <v>15</v>
      </c>
      <c r="H1694" s="23">
        <f t="shared" si="62"/>
        <v>14</v>
      </c>
    </row>
    <row r="1695" spans="1:8" x14ac:dyDescent="0.25">
      <c r="A1695" s="22">
        <v>41897.600694444445</v>
      </c>
      <c r="B1695">
        <v>466.7</v>
      </c>
      <c r="C1695">
        <v>94.1</v>
      </c>
      <c r="D1695">
        <v>10.5</v>
      </c>
      <c r="E1695">
        <v>6.2</v>
      </c>
      <c r="G1695">
        <v>15</v>
      </c>
      <c r="H1695" s="23">
        <f t="shared" si="62"/>
        <v>14</v>
      </c>
    </row>
    <row r="1696" spans="1:8" x14ac:dyDescent="0.25">
      <c r="A1696" s="22">
        <v>41897.604166666664</v>
      </c>
      <c r="B1696">
        <v>464.6</v>
      </c>
      <c r="C1696">
        <v>94.1</v>
      </c>
      <c r="D1696">
        <v>10.5</v>
      </c>
      <c r="E1696">
        <v>6.3</v>
      </c>
      <c r="G1696">
        <v>15</v>
      </c>
      <c r="H1696" s="23">
        <f t="shared" si="62"/>
        <v>14</v>
      </c>
    </row>
    <row r="1697" spans="1:8" x14ac:dyDescent="0.25">
      <c r="A1697" s="22">
        <v>41897.607638888891</v>
      </c>
      <c r="B1697">
        <v>464.6</v>
      </c>
      <c r="C1697">
        <v>94.2</v>
      </c>
      <c r="D1697">
        <v>10.5</v>
      </c>
      <c r="E1697">
        <v>6.3</v>
      </c>
      <c r="G1697">
        <v>15</v>
      </c>
      <c r="H1697" s="23">
        <f t="shared" si="62"/>
        <v>14</v>
      </c>
    </row>
    <row r="1698" spans="1:8" x14ac:dyDescent="0.25">
      <c r="A1698" s="22">
        <v>41897.611111111109</v>
      </c>
      <c r="B1698">
        <v>461.4</v>
      </c>
      <c r="C1698">
        <v>94.2</v>
      </c>
      <c r="D1698">
        <v>10.5</v>
      </c>
      <c r="E1698">
        <v>6.3</v>
      </c>
      <c r="G1698">
        <v>15</v>
      </c>
      <c r="H1698" s="23">
        <f t="shared" si="62"/>
        <v>14</v>
      </c>
    </row>
    <row r="1699" spans="1:8" x14ac:dyDescent="0.25">
      <c r="A1699" s="22">
        <v>41897.614583333336</v>
      </c>
      <c r="B1699">
        <v>463</v>
      </c>
      <c r="C1699">
        <v>94.3</v>
      </c>
      <c r="D1699">
        <v>10.5</v>
      </c>
      <c r="E1699">
        <v>6.3</v>
      </c>
      <c r="G1699">
        <v>15</v>
      </c>
      <c r="H1699" s="23">
        <f t="shared" si="62"/>
        <v>14</v>
      </c>
    </row>
    <row r="1700" spans="1:8" x14ac:dyDescent="0.25">
      <c r="A1700" s="22">
        <v>41897.618055555555</v>
      </c>
      <c r="B1700">
        <v>462.1</v>
      </c>
      <c r="C1700">
        <v>94.2</v>
      </c>
      <c r="D1700">
        <v>10.5</v>
      </c>
      <c r="E1700">
        <v>6.3</v>
      </c>
      <c r="G1700">
        <v>15</v>
      </c>
      <c r="H1700" s="23">
        <f t="shared" si="62"/>
        <v>14</v>
      </c>
    </row>
    <row r="1701" spans="1:8" x14ac:dyDescent="0.25">
      <c r="A1701" s="22">
        <v>41897.621527777781</v>
      </c>
      <c r="B1701">
        <v>463.9</v>
      </c>
      <c r="C1701">
        <v>94.2</v>
      </c>
      <c r="D1701">
        <v>10.5</v>
      </c>
      <c r="E1701">
        <v>6.3</v>
      </c>
      <c r="G1701">
        <v>15</v>
      </c>
      <c r="H1701" s="23">
        <f t="shared" si="62"/>
        <v>14</v>
      </c>
    </row>
    <row r="1702" spans="1:8" x14ac:dyDescent="0.25">
      <c r="A1702" s="22">
        <v>41897.625</v>
      </c>
      <c r="B1702">
        <v>463.9</v>
      </c>
      <c r="C1702">
        <v>94.2</v>
      </c>
      <c r="D1702">
        <v>10.6</v>
      </c>
      <c r="E1702">
        <v>6.3</v>
      </c>
      <c r="G1702">
        <v>15</v>
      </c>
      <c r="H1702" s="23">
        <f t="shared" si="62"/>
        <v>15</v>
      </c>
    </row>
    <row r="1703" spans="1:8" x14ac:dyDescent="0.25">
      <c r="A1703" s="22">
        <v>41897.628472222219</v>
      </c>
      <c r="B1703">
        <v>464.6</v>
      </c>
      <c r="C1703">
        <v>94.2</v>
      </c>
      <c r="D1703">
        <v>10.6</v>
      </c>
      <c r="E1703">
        <v>6.4</v>
      </c>
      <c r="G1703">
        <v>15</v>
      </c>
      <c r="H1703" s="23">
        <f t="shared" si="62"/>
        <v>15</v>
      </c>
    </row>
    <row r="1704" spans="1:8" x14ac:dyDescent="0.25">
      <c r="A1704" s="22">
        <v>41897.631944444445</v>
      </c>
      <c r="B1704">
        <v>469.8</v>
      </c>
      <c r="C1704">
        <v>94.2</v>
      </c>
      <c r="D1704">
        <v>10.7</v>
      </c>
      <c r="E1704">
        <v>6.4</v>
      </c>
      <c r="G1704">
        <v>15</v>
      </c>
      <c r="H1704" s="23">
        <f t="shared" si="62"/>
        <v>15</v>
      </c>
    </row>
    <row r="1705" spans="1:8" x14ac:dyDescent="0.25">
      <c r="A1705" s="22">
        <v>41897.635416666664</v>
      </c>
      <c r="B1705">
        <v>467</v>
      </c>
      <c r="C1705">
        <v>94.1</v>
      </c>
      <c r="D1705">
        <v>10.9</v>
      </c>
      <c r="E1705">
        <v>6.7</v>
      </c>
      <c r="G1705">
        <v>15</v>
      </c>
      <c r="H1705" s="23">
        <f t="shared" si="62"/>
        <v>15</v>
      </c>
    </row>
    <row r="1706" spans="1:8" x14ac:dyDescent="0.25">
      <c r="A1706" s="22">
        <v>41897.638888888891</v>
      </c>
      <c r="B1706">
        <v>463.1</v>
      </c>
      <c r="C1706">
        <v>94.2</v>
      </c>
      <c r="D1706">
        <v>10.8</v>
      </c>
      <c r="E1706">
        <v>6.6</v>
      </c>
      <c r="G1706">
        <v>15</v>
      </c>
      <c r="H1706" s="23">
        <f t="shared" si="62"/>
        <v>15</v>
      </c>
    </row>
    <row r="1707" spans="1:8" x14ac:dyDescent="0.25">
      <c r="A1707" s="22">
        <v>41897.642361111109</v>
      </c>
      <c r="B1707">
        <v>463.7</v>
      </c>
      <c r="C1707">
        <v>94.2</v>
      </c>
      <c r="D1707">
        <v>10.9</v>
      </c>
      <c r="E1707">
        <v>6.6</v>
      </c>
      <c r="G1707">
        <v>15</v>
      </c>
      <c r="H1707" s="23">
        <f t="shared" si="62"/>
        <v>15</v>
      </c>
    </row>
    <row r="1708" spans="1:8" x14ac:dyDescent="0.25">
      <c r="A1708" s="22">
        <v>41897.645833333336</v>
      </c>
      <c r="B1708">
        <v>462.7</v>
      </c>
      <c r="C1708">
        <v>94.2</v>
      </c>
      <c r="D1708">
        <v>10.9</v>
      </c>
      <c r="E1708">
        <v>6.6</v>
      </c>
      <c r="G1708">
        <v>15</v>
      </c>
      <c r="H1708" s="23">
        <f t="shared" si="62"/>
        <v>15</v>
      </c>
    </row>
    <row r="1709" spans="1:8" x14ac:dyDescent="0.25">
      <c r="A1709" s="22">
        <v>41897.649305555555</v>
      </c>
      <c r="B1709">
        <v>461.7</v>
      </c>
      <c r="C1709">
        <v>94.2</v>
      </c>
      <c r="D1709">
        <v>10.9</v>
      </c>
      <c r="E1709">
        <v>6.7</v>
      </c>
      <c r="G1709">
        <v>15</v>
      </c>
      <c r="H1709" s="23">
        <f t="shared" si="62"/>
        <v>15</v>
      </c>
    </row>
    <row r="1710" spans="1:8" x14ac:dyDescent="0.25">
      <c r="A1710" s="22">
        <v>41897.652777777781</v>
      </c>
      <c r="B1710">
        <v>465.5</v>
      </c>
      <c r="C1710">
        <v>94.3</v>
      </c>
      <c r="D1710">
        <v>11</v>
      </c>
      <c r="E1710">
        <v>6.7</v>
      </c>
      <c r="G1710">
        <v>15</v>
      </c>
      <c r="H1710" s="23">
        <f t="shared" si="62"/>
        <v>15</v>
      </c>
    </row>
    <row r="1711" spans="1:8" x14ac:dyDescent="0.25">
      <c r="A1711" s="22">
        <v>41897.65625</v>
      </c>
      <c r="B1711">
        <v>468.3</v>
      </c>
      <c r="C1711">
        <v>94.2</v>
      </c>
      <c r="D1711">
        <v>11</v>
      </c>
      <c r="E1711">
        <v>6.8</v>
      </c>
      <c r="G1711">
        <v>15</v>
      </c>
      <c r="H1711" s="23">
        <f t="shared" si="62"/>
        <v>15</v>
      </c>
    </row>
    <row r="1712" spans="1:8" x14ac:dyDescent="0.25">
      <c r="A1712" s="22">
        <v>41897.659722222219</v>
      </c>
      <c r="B1712">
        <v>468.2</v>
      </c>
      <c r="C1712">
        <v>94.3</v>
      </c>
      <c r="D1712">
        <v>11.1</v>
      </c>
      <c r="E1712">
        <v>6.8</v>
      </c>
      <c r="G1712">
        <v>15</v>
      </c>
      <c r="H1712" s="23">
        <f t="shared" si="62"/>
        <v>15</v>
      </c>
    </row>
    <row r="1713" spans="1:8" x14ac:dyDescent="0.25">
      <c r="A1713" s="22">
        <v>41897.663194444445</v>
      </c>
      <c r="B1713">
        <v>468.1</v>
      </c>
      <c r="C1713">
        <v>94.3</v>
      </c>
      <c r="D1713">
        <v>11.1</v>
      </c>
      <c r="E1713">
        <v>6.9</v>
      </c>
      <c r="G1713">
        <v>15</v>
      </c>
      <c r="H1713" s="23">
        <f t="shared" si="62"/>
        <v>15</v>
      </c>
    </row>
    <row r="1714" spans="1:8" x14ac:dyDescent="0.25">
      <c r="A1714" s="22">
        <v>41897.666666666664</v>
      </c>
      <c r="B1714">
        <v>467.3</v>
      </c>
      <c r="C1714">
        <v>94.2</v>
      </c>
      <c r="D1714">
        <v>11.1</v>
      </c>
      <c r="E1714">
        <v>6.8</v>
      </c>
      <c r="G1714">
        <v>15</v>
      </c>
      <c r="H1714" s="23">
        <f t="shared" si="62"/>
        <v>16</v>
      </c>
    </row>
    <row r="1715" spans="1:8" x14ac:dyDescent="0.25">
      <c r="A1715" s="22">
        <v>41897.670138888891</v>
      </c>
      <c r="B1715">
        <v>467.9</v>
      </c>
      <c r="C1715">
        <v>94.3</v>
      </c>
      <c r="D1715">
        <v>11.1</v>
      </c>
      <c r="E1715">
        <v>6.8</v>
      </c>
      <c r="G1715">
        <v>15</v>
      </c>
      <c r="H1715" s="23">
        <f t="shared" si="62"/>
        <v>16</v>
      </c>
    </row>
    <row r="1716" spans="1:8" x14ac:dyDescent="0.25">
      <c r="A1716" s="22">
        <v>41897.673611111109</v>
      </c>
      <c r="B1716">
        <v>467.3</v>
      </c>
      <c r="C1716">
        <v>94.3</v>
      </c>
      <c r="D1716">
        <v>11.1</v>
      </c>
      <c r="E1716">
        <v>6.8</v>
      </c>
      <c r="G1716">
        <v>15</v>
      </c>
      <c r="H1716" s="23">
        <f t="shared" si="62"/>
        <v>16</v>
      </c>
    </row>
    <row r="1717" spans="1:8" x14ac:dyDescent="0.25">
      <c r="A1717" s="22">
        <v>41897.677083333336</v>
      </c>
      <c r="B1717">
        <v>466.8</v>
      </c>
      <c r="C1717">
        <v>94.2</v>
      </c>
      <c r="D1717">
        <v>11.2</v>
      </c>
      <c r="E1717">
        <v>6.9</v>
      </c>
      <c r="G1717">
        <v>15</v>
      </c>
      <c r="H1717" s="23">
        <f t="shared" si="62"/>
        <v>16</v>
      </c>
    </row>
    <row r="1718" spans="1:8" x14ac:dyDescent="0.25">
      <c r="A1718" s="22">
        <v>41897.680555555555</v>
      </c>
      <c r="B1718">
        <v>466.6</v>
      </c>
      <c r="C1718">
        <v>94.2</v>
      </c>
      <c r="D1718">
        <v>11.2</v>
      </c>
      <c r="E1718">
        <v>6.9</v>
      </c>
      <c r="G1718">
        <v>15</v>
      </c>
      <c r="H1718" s="23">
        <f t="shared" si="62"/>
        <v>16</v>
      </c>
    </row>
    <row r="1719" spans="1:8" x14ac:dyDescent="0.25">
      <c r="A1719" s="22">
        <v>41897.684027777781</v>
      </c>
      <c r="B1719">
        <v>467.2</v>
      </c>
      <c r="C1719">
        <v>94.3</v>
      </c>
      <c r="D1719">
        <v>11.1</v>
      </c>
      <c r="E1719">
        <v>6.9</v>
      </c>
      <c r="G1719">
        <v>15</v>
      </c>
      <c r="H1719" s="23">
        <f t="shared" si="62"/>
        <v>16</v>
      </c>
    </row>
    <row r="1720" spans="1:8" x14ac:dyDescent="0.25">
      <c r="A1720" s="22">
        <v>41897.6875</v>
      </c>
      <c r="B1720">
        <v>467.9</v>
      </c>
      <c r="C1720">
        <v>94.4</v>
      </c>
      <c r="D1720">
        <v>11.1</v>
      </c>
      <c r="E1720">
        <v>6.8</v>
      </c>
      <c r="G1720">
        <v>15</v>
      </c>
      <c r="H1720" s="23">
        <f t="shared" si="62"/>
        <v>16</v>
      </c>
    </row>
    <row r="1721" spans="1:8" x14ac:dyDescent="0.25">
      <c r="A1721" s="22">
        <v>41897.690972222219</v>
      </c>
      <c r="B1721">
        <v>468.9</v>
      </c>
      <c r="C1721">
        <v>94.3</v>
      </c>
      <c r="D1721">
        <v>11</v>
      </c>
      <c r="E1721">
        <v>6.8</v>
      </c>
      <c r="G1721">
        <v>15</v>
      </c>
      <c r="H1721" s="23">
        <f t="shared" si="62"/>
        <v>16</v>
      </c>
    </row>
    <row r="1722" spans="1:8" x14ac:dyDescent="0.25">
      <c r="A1722" s="22">
        <v>41897.694444444445</v>
      </c>
      <c r="B1722">
        <v>472.4</v>
      </c>
      <c r="C1722">
        <v>94.3</v>
      </c>
      <c r="D1722">
        <v>11.1</v>
      </c>
      <c r="E1722">
        <v>6.8</v>
      </c>
      <c r="G1722">
        <v>15</v>
      </c>
      <c r="H1722" s="23">
        <f t="shared" si="62"/>
        <v>16</v>
      </c>
    </row>
    <row r="1723" spans="1:8" x14ac:dyDescent="0.25">
      <c r="A1723" s="22">
        <v>41897.697916666664</v>
      </c>
      <c r="B1723">
        <v>472.5</v>
      </c>
      <c r="C1723">
        <v>94.2</v>
      </c>
      <c r="D1723">
        <v>11.1</v>
      </c>
      <c r="E1723">
        <v>6.8</v>
      </c>
      <c r="G1723">
        <v>15</v>
      </c>
      <c r="H1723" s="23">
        <f t="shared" si="62"/>
        <v>16</v>
      </c>
    </row>
    <row r="1724" spans="1:8" x14ac:dyDescent="0.25">
      <c r="A1724" s="22">
        <v>41897.701388888891</v>
      </c>
      <c r="B1724">
        <v>467.7</v>
      </c>
      <c r="C1724">
        <v>94.2</v>
      </c>
      <c r="D1724">
        <v>11.1</v>
      </c>
      <c r="E1724">
        <v>6.8</v>
      </c>
      <c r="G1724">
        <v>15</v>
      </c>
      <c r="H1724" s="23">
        <f t="shared" si="62"/>
        <v>16</v>
      </c>
    </row>
    <row r="1725" spans="1:8" x14ac:dyDescent="0.25">
      <c r="A1725" s="22">
        <v>41897.704861111109</v>
      </c>
      <c r="B1725">
        <v>466.5</v>
      </c>
      <c r="C1725">
        <v>94.3</v>
      </c>
      <c r="D1725">
        <v>11.1</v>
      </c>
      <c r="E1725">
        <v>6.8</v>
      </c>
      <c r="G1725">
        <v>15</v>
      </c>
      <c r="H1725" s="23">
        <f t="shared" si="62"/>
        <v>16</v>
      </c>
    </row>
    <row r="1726" spans="1:8" x14ac:dyDescent="0.25">
      <c r="A1726" s="22">
        <v>41897.708333333336</v>
      </c>
      <c r="B1726">
        <v>468.1</v>
      </c>
      <c r="C1726">
        <v>94.2</v>
      </c>
      <c r="D1726">
        <v>11</v>
      </c>
      <c r="E1726">
        <v>6.7</v>
      </c>
      <c r="G1726">
        <v>15</v>
      </c>
      <c r="H1726" s="23">
        <f t="shared" si="62"/>
        <v>17</v>
      </c>
    </row>
    <row r="1727" spans="1:8" x14ac:dyDescent="0.25">
      <c r="A1727" s="22">
        <v>41897.711805555555</v>
      </c>
      <c r="B1727">
        <v>469.3</v>
      </c>
      <c r="C1727">
        <v>94.2</v>
      </c>
      <c r="D1727">
        <v>11</v>
      </c>
      <c r="E1727">
        <v>6.7</v>
      </c>
      <c r="G1727">
        <v>15</v>
      </c>
      <c r="H1727" s="23">
        <f t="shared" si="62"/>
        <v>17</v>
      </c>
    </row>
    <row r="1728" spans="1:8" x14ac:dyDescent="0.25">
      <c r="A1728" s="22">
        <v>41897.715277777781</v>
      </c>
      <c r="B1728">
        <v>468</v>
      </c>
      <c r="C1728">
        <v>94.3</v>
      </c>
      <c r="D1728">
        <v>11</v>
      </c>
      <c r="E1728">
        <v>6.7</v>
      </c>
      <c r="G1728">
        <v>15</v>
      </c>
      <c r="H1728" s="23">
        <f t="shared" si="62"/>
        <v>17</v>
      </c>
    </row>
    <row r="1729" spans="1:8" x14ac:dyDescent="0.25">
      <c r="A1729" s="22">
        <v>41897.71875</v>
      </c>
      <c r="B1729">
        <v>465.4</v>
      </c>
      <c r="C1729">
        <v>94.2</v>
      </c>
      <c r="D1729">
        <v>11</v>
      </c>
      <c r="E1729">
        <v>6.7</v>
      </c>
      <c r="G1729">
        <v>15</v>
      </c>
      <c r="H1729" s="23">
        <f t="shared" si="62"/>
        <v>17</v>
      </c>
    </row>
    <row r="1730" spans="1:8" x14ac:dyDescent="0.25">
      <c r="A1730" s="22">
        <v>41897.722222222219</v>
      </c>
      <c r="B1730">
        <v>473.9</v>
      </c>
      <c r="C1730">
        <v>94.2</v>
      </c>
      <c r="D1730">
        <v>11.2</v>
      </c>
      <c r="E1730">
        <v>6.9</v>
      </c>
      <c r="G1730">
        <v>15</v>
      </c>
      <c r="H1730" s="23">
        <f t="shared" si="62"/>
        <v>17</v>
      </c>
    </row>
    <row r="1731" spans="1:8" x14ac:dyDescent="0.25">
      <c r="A1731" s="22">
        <v>41897.725694444445</v>
      </c>
      <c r="B1731">
        <v>475.5</v>
      </c>
      <c r="C1731">
        <v>94.4</v>
      </c>
      <c r="D1731">
        <v>11.7</v>
      </c>
      <c r="E1731">
        <v>7.4</v>
      </c>
      <c r="G1731">
        <v>15</v>
      </c>
      <c r="H1731" s="23">
        <f t="shared" si="62"/>
        <v>17</v>
      </c>
    </row>
    <row r="1732" spans="1:8" x14ac:dyDescent="0.25">
      <c r="A1732" s="22">
        <v>41897.729166666664</v>
      </c>
      <c r="B1732">
        <v>474.3</v>
      </c>
      <c r="C1732">
        <v>94.4</v>
      </c>
      <c r="D1732">
        <v>11.6</v>
      </c>
      <c r="E1732">
        <v>7.3</v>
      </c>
      <c r="G1732">
        <v>15</v>
      </c>
      <c r="H1732" s="23">
        <f t="shared" si="62"/>
        <v>17</v>
      </c>
    </row>
    <row r="1733" spans="1:8" x14ac:dyDescent="0.25">
      <c r="A1733" s="22">
        <v>41897.732638888891</v>
      </c>
      <c r="B1733">
        <v>481.3</v>
      </c>
      <c r="C1733">
        <v>94.4</v>
      </c>
      <c r="D1733">
        <v>11.8</v>
      </c>
      <c r="E1733">
        <v>7.4</v>
      </c>
      <c r="G1733">
        <v>15</v>
      </c>
      <c r="H1733" s="23">
        <f t="shared" si="62"/>
        <v>17</v>
      </c>
    </row>
    <row r="1734" spans="1:8" x14ac:dyDescent="0.25">
      <c r="A1734" s="22">
        <v>41897.736111111109</v>
      </c>
      <c r="B1734">
        <v>481.6</v>
      </c>
      <c r="C1734">
        <v>94.4</v>
      </c>
      <c r="D1734">
        <v>12.1</v>
      </c>
      <c r="E1734">
        <v>7.7</v>
      </c>
      <c r="G1734">
        <v>15</v>
      </c>
      <c r="H1734" s="23">
        <f t="shared" ref="H1734:H1797" si="63">+HOUR(A1734)</f>
        <v>17</v>
      </c>
    </row>
    <row r="1735" spans="1:8" x14ac:dyDescent="0.25">
      <c r="A1735" s="22">
        <v>41897.739583333336</v>
      </c>
      <c r="B1735">
        <v>483.2</v>
      </c>
      <c r="C1735">
        <v>94.4</v>
      </c>
      <c r="D1735">
        <v>12.1</v>
      </c>
      <c r="E1735">
        <v>7.8</v>
      </c>
      <c r="G1735">
        <v>15</v>
      </c>
      <c r="H1735" s="23">
        <f t="shared" si="63"/>
        <v>17</v>
      </c>
    </row>
    <row r="1736" spans="1:8" x14ac:dyDescent="0.25">
      <c r="A1736" s="22">
        <v>41897.743055555555</v>
      </c>
      <c r="B1736">
        <v>485.7</v>
      </c>
      <c r="C1736">
        <v>94.4</v>
      </c>
      <c r="D1736">
        <v>12.2</v>
      </c>
      <c r="E1736">
        <v>7.8</v>
      </c>
      <c r="G1736">
        <v>15</v>
      </c>
      <c r="H1736" s="23">
        <f t="shared" si="63"/>
        <v>17</v>
      </c>
    </row>
    <row r="1737" spans="1:8" x14ac:dyDescent="0.25">
      <c r="A1737" s="22">
        <v>41897.746527777781</v>
      </c>
      <c r="B1737">
        <v>487.2</v>
      </c>
      <c r="C1737">
        <v>94.5</v>
      </c>
      <c r="D1737">
        <v>12.3</v>
      </c>
      <c r="E1737">
        <v>7.9</v>
      </c>
      <c r="G1737">
        <v>15</v>
      </c>
      <c r="H1737" s="23">
        <f t="shared" si="63"/>
        <v>17</v>
      </c>
    </row>
    <row r="1738" spans="1:8" x14ac:dyDescent="0.25">
      <c r="A1738" s="22">
        <v>41897.75</v>
      </c>
      <c r="B1738">
        <v>486.3</v>
      </c>
      <c r="C1738">
        <v>94.4</v>
      </c>
      <c r="D1738">
        <v>12.4</v>
      </c>
      <c r="E1738">
        <v>7.9</v>
      </c>
      <c r="G1738">
        <v>15</v>
      </c>
      <c r="H1738" s="23">
        <f t="shared" si="63"/>
        <v>18</v>
      </c>
    </row>
    <row r="1739" spans="1:8" x14ac:dyDescent="0.25">
      <c r="A1739" s="22">
        <v>41897.753472222219</v>
      </c>
      <c r="B1739">
        <v>487.1</v>
      </c>
      <c r="C1739">
        <v>94.4</v>
      </c>
      <c r="D1739">
        <v>12.5</v>
      </c>
      <c r="E1739">
        <v>8</v>
      </c>
      <c r="G1739">
        <v>15</v>
      </c>
      <c r="H1739" s="23">
        <f t="shared" si="63"/>
        <v>18</v>
      </c>
    </row>
    <row r="1740" spans="1:8" x14ac:dyDescent="0.25">
      <c r="A1740" s="22">
        <v>41897.756944444445</v>
      </c>
      <c r="B1740">
        <v>488.4</v>
      </c>
      <c r="C1740">
        <v>94.4</v>
      </c>
      <c r="D1740">
        <v>12.5</v>
      </c>
      <c r="E1740">
        <v>8.1</v>
      </c>
      <c r="G1740">
        <v>15</v>
      </c>
      <c r="H1740" s="23">
        <f t="shared" si="63"/>
        <v>18</v>
      </c>
    </row>
    <row r="1741" spans="1:8" x14ac:dyDescent="0.25">
      <c r="A1741" s="22">
        <v>41897.760416666664</v>
      </c>
      <c r="B1741">
        <v>489.8</v>
      </c>
      <c r="C1741">
        <v>94.5</v>
      </c>
      <c r="D1741">
        <v>12.6</v>
      </c>
      <c r="E1741">
        <v>8.1</v>
      </c>
      <c r="G1741">
        <v>15</v>
      </c>
      <c r="H1741" s="23">
        <f t="shared" si="63"/>
        <v>18</v>
      </c>
    </row>
    <row r="1742" spans="1:8" x14ac:dyDescent="0.25">
      <c r="A1742" s="22">
        <v>41897.763888888891</v>
      </c>
      <c r="B1742">
        <v>492.1</v>
      </c>
      <c r="C1742">
        <v>94.5</v>
      </c>
      <c r="D1742">
        <v>12.6</v>
      </c>
      <c r="E1742">
        <v>8.1</v>
      </c>
      <c r="G1742">
        <v>15</v>
      </c>
      <c r="H1742" s="23">
        <f t="shared" si="63"/>
        <v>18</v>
      </c>
    </row>
    <row r="1743" spans="1:8" x14ac:dyDescent="0.25">
      <c r="A1743" s="22">
        <v>41897.767361111109</v>
      </c>
      <c r="B1743">
        <v>492.8</v>
      </c>
      <c r="C1743">
        <v>94.5</v>
      </c>
      <c r="D1743">
        <v>12.7</v>
      </c>
      <c r="E1743">
        <v>8.1999999999999993</v>
      </c>
      <c r="G1743">
        <v>15</v>
      </c>
      <c r="H1743" s="23">
        <f t="shared" si="63"/>
        <v>18</v>
      </c>
    </row>
    <row r="1744" spans="1:8" x14ac:dyDescent="0.25">
      <c r="A1744" s="22">
        <v>41897.770833333336</v>
      </c>
      <c r="B1744">
        <v>492.6</v>
      </c>
      <c r="C1744">
        <v>94.5</v>
      </c>
      <c r="D1744">
        <v>12.7</v>
      </c>
      <c r="E1744">
        <v>8.1999999999999993</v>
      </c>
      <c r="G1744">
        <v>15</v>
      </c>
      <c r="H1744" s="23">
        <f t="shared" si="63"/>
        <v>18</v>
      </c>
    </row>
    <row r="1745" spans="1:8" x14ac:dyDescent="0.25">
      <c r="A1745" s="22">
        <v>41897.774305555555</v>
      </c>
      <c r="B1745">
        <v>490.2</v>
      </c>
      <c r="C1745">
        <v>94.5</v>
      </c>
      <c r="D1745">
        <v>12.7</v>
      </c>
      <c r="E1745">
        <v>8.1999999999999993</v>
      </c>
      <c r="G1745">
        <v>15</v>
      </c>
      <c r="H1745" s="23">
        <f t="shared" si="63"/>
        <v>18</v>
      </c>
    </row>
    <row r="1746" spans="1:8" x14ac:dyDescent="0.25">
      <c r="A1746" s="22">
        <v>41897.777777777781</v>
      </c>
      <c r="B1746">
        <v>488.8</v>
      </c>
      <c r="C1746">
        <v>94.5</v>
      </c>
      <c r="D1746">
        <v>12.7</v>
      </c>
      <c r="E1746">
        <v>8.1999999999999993</v>
      </c>
      <c r="G1746">
        <v>15</v>
      </c>
      <c r="H1746" s="23">
        <f t="shared" si="63"/>
        <v>18</v>
      </c>
    </row>
    <row r="1747" spans="1:8" x14ac:dyDescent="0.25">
      <c r="A1747" s="22">
        <v>41897.78125</v>
      </c>
      <c r="B1747">
        <v>489.6</v>
      </c>
      <c r="C1747">
        <v>94.5</v>
      </c>
      <c r="D1747">
        <v>12.7</v>
      </c>
      <c r="E1747">
        <v>8.1999999999999993</v>
      </c>
      <c r="G1747">
        <v>15</v>
      </c>
      <c r="H1747" s="23">
        <f t="shared" si="63"/>
        <v>18</v>
      </c>
    </row>
    <row r="1748" spans="1:8" x14ac:dyDescent="0.25">
      <c r="A1748" s="22">
        <v>41897.784722222219</v>
      </c>
      <c r="B1748">
        <v>489.8</v>
      </c>
      <c r="C1748">
        <v>94.5</v>
      </c>
      <c r="D1748">
        <v>12.7</v>
      </c>
      <c r="E1748">
        <v>8.1999999999999993</v>
      </c>
      <c r="G1748">
        <v>15</v>
      </c>
      <c r="H1748" s="23">
        <f t="shared" si="63"/>
        <v>18</v>
      </c>
    </row>
    <row r="1749" spans="1:8" x14ac:dyDescent="0.25">
      <c r="A1749" s="22">
        <v>41897.788194444445</v>
      </c>
      <c r="B1749">
        <v>489.6</v>
      </c>
      <c r="C1749">
        <v>94.4</v>
      </c>
      <c r="D1749">
        <v>12.7</v>
      </c>
      <c r="E1749">
        <v>8.1999999999999993</v>
      </c>
      <c r="G1749">
        <v>15</v>
      </c>
      <c r="H1749" s="23">
        <f t="shared" si="63"/>
        <v>18</v>
      </c>
    </row>
    <row r="1750" spans="1:8" x14ac:dyDescent="0.25">
      <c r="A1750" s="22">
        <v>41897.791666666664</v>
      </c>
      <c r="B1750">
        <v>492.2</v>
      </c>
      <c r="C1750">
        <v>94.5</v>
      </c>
      <c r="D1750">
        <v>12.7</v>
      </c>
      <c r="E1750">
        <v>8.1999999999999993</v>
      </c>
      <c r="G1750">
        <v>15</v>
      </c>
      <c r="H1750" s="23">
        <f t="shared" si="63"/>
        <v>19</v>
      </c>
    </row>
    <row r="1751" spans="1:8" x14ac:dyDescent="0.25">
      <c r="A1751" s="22">
        <v>41897.795138888891</v>
      </c>
      <c r="B1751">
        <v>490.8</v>
      </c>
      <c r="C1751">
        <v>94.4</v>
      </c>
      <c r="D1751">
        <v>12.7</v>
      </c>
      <c r="E1751">
        <v>8.3000000000000007</v>
      </c>
      <c r="G1751">
        <v>15</v>
      </c>
      <c r="H1751" s="23">
        <f t="shared" si="63"/>
        <v>19</v>
      </c>
    </row>
    <row r="1752" spans="1:8" x14ac:dyDescent="0.25">
      <c r="A1752" s="22">
        <v>41897.798611111109</v>
      </c>
      <c r="B1752">
        <v>490.6</v>
      </c>
      <c r="C1752">
        <v>94.5</v>
      </c>
      <c r="D1752">
        <v>12.7</v>
      </c>
      <c r="E1752">
        <v>8.3000000000000007</v>
      </c>
      <c r="G1752">
        <v>15</v>
      </c>
      <c r="H1752" s="23">
        <f t="shared" si="63"/>
        <v>19</v>
      </c>
    </row>
    <row r="1753" spans="1:8" x14ac:dyDescent="0.25">
      <c r="A1753" s="22">
        <v>41897.802083333336</v>
      </c>
      <c r="B1753">
        <v>490</v>
      </c>
      <c r="C1753">
        <v>94.5</v>
      </c>
      <c r="D1753">
        <v>12.7</v>
      </c>
      <c r="E1753">
        <v>8.3000000000000007</v>
      </c>
      <c r="G1753">
        <v>15</v>
      </c>
      <c r="H1753" s="23">
        <f t="shared" si="63"/>
        <v>19</v>
      </c>
    </row>
    <row r="1754" spans="1:8" x14ac:dyDescent="0.25">
      <c r="A1754" s="22">
        <v>41897.805555555555</v>
      </c>
      <c r="B1754">
        <v>489.4</v>
      </c>
      <c r="C1754">
        <v>94.5</v>
      </c>
      <c r="D1754">
        <v>12.8</v>
      </c>
      <c r="E1754">
        <v>8.3000000000000007</v>
      </c>
      <c r="G1754">
        <v>15</v>
      </c>
      <c r="H1754" s="23">
        <f t="shared" si="63"/>
        <v>19</v>
      </c>
    </row>
    <row r="1755" spans="1:8" x14ac:dyDescent="0.25">
      <c r="A1755" s="22">
        <v>41897.809027777781</v>
      </c>
      <c r="B1755">
        <v>492.6</v>
      </c>
      <c r="C1755">
        <v>94.6</v>
      </c>
      <c r="D1755">
        <v>12.8</v>
      </c>
      <c r="E1755">
        <v>8.3000000000000007</v>
      </c>
      <c r="G1755">
        <v>15</v>
      </c>
      <c r="H1755" s="23">
        <f t="shared" si="63"/>
        <v>19</v>
      </c>
    </row>
    <row r="1756" spans="1:8" x14ac:dyDescent="0.25">
      <c r="A1756" s="22">
        <v>41897.8125</v>
      </c>
      <c r="B1756">
        <v>493</v>
      </c>
      <c r="C1756">
        <v>94.5</v>
      </c>
      <c r="D1756">
        <v>12.8</v>
      </c>
      <c r="E1756">
        <v>8.3000000000000007</v>
      </c>
      <c r="G1756">
        <v>15</v>
      </c>
      <c r="H1756" s="23">
        <f t="shared" si="63"/>
        <v>19</v>
      </c>
    </row>
    <row r="1757" spans="1:8" x14ac:dyDescent="0.25">
      <c r="A1757" s="22">
        <v>41897.815972222219</v>
      </c>
      <c r="B1757">
        <v>495.2</v>
      </c>
      <c r="C1757">
        <v>94.5</v>
      </c>
      <c r="D1757">
        <v>12.8</v>
      </c>
      <c r="E1757">
        <v>8.3000000000000007</v>
      </c>
      <c r="G1757">
        <v>15</v>
      </c>
      <c r="H1757" s="23">
        <f t="shared" si="63"/>
        <v>19</v>
      </c>
    </row>
    <row r="1758" spans="1:8" x14ac:dyDescent="0.25">
      <c r="A1758" s="22">
        <v>41897.819444444445</v>
      </c>
      <c r="B1758">
        <v>495.8</v>
      </c>
      <c r="C1758">
        <v>94.5</v>
      </c>
      <c r="D1758">
        <v>12.9</v>
      </c>
      <c r="E1758">
        <v>8.4</v>
      </c>
      <c r="G1758">
        <v>15</v>
      </c>
      <c r="H1758" s="23">
        <f t="shared" si="63"/>
        <v>19</v>
      </c>
    </row>
    <row r="1759" spans="1:8" x14ac:dyDescent="0.25">
      <c r="A1759" s="22">
        <v>41897.822916666664</v>
      </c>
      <c r="B1759">
        <v>496</v>
      </c>
      <c r="C1759">
        <v>94.5</v>
      </c>
      <c r="D1759">
        <v>12.9</v>
      </c>
      <c r="E1759">
        <v>8.4</v>
      </c>
      <c r="G1759">
        <v>15</v>
      </c>
      <c r="H1759" s="23">
        <f t="shared" si="63"/>
        <v>19</v>
      </c>
    </row>
    <row r="1760" spans="1:8" x14ac:dyDescent="0.25">
      <c r="A1760" s="22">
        <v>41897.826388888891</v>
      </c>
      <c r="B1760">
        <v>497.7</v>
      </c>
      <c r="C1760">
        <v>94.6</v>
      </c>
      <c r="D1760">
        <v>12.9</v>
      </c>
      <c r="E1760">
        <v>8.4</v>
      </c>
      <c r="G1760">
        <v>15</v>
      </c>
      <c r="H1760" s="23">
        <f t="shared" si="63"/>
        <v>19</v>
      </c>
    </row>
    <row r="1761" spans="1:8" x14ac:dyDescent="0.25">
      <c r="A1761" s="22">
        <v>41897.829861111109</v>
      </c>
      <c r="B1761">
        <v>495.8</v>
      </c>
      <c r="C1761">
        <v>94.5</v>
      </c>
      <c r="D1761">
        <v>12.9</v>
      </c>
      <c r="E1761">
        <v>8.4</v>
      </c>
      <c r="G1761">
        <v>15</v>
      </c>
      <c r="H1761" s="23">
        <f t="shared" si="63"/>
        <v>19</v>
      </c>
    </row>
    <row r="1762" spans="1:8" x14ac:dyDescent="0.25">
      <c r="A1762" s="22">
        <v>41897.833333333336</v>
      </c>
      <c r="B1762">
        <v>497.1</v>
      </c>
      <c r="C1762">
        <v>94.5</v>
      </c>
      <c r="D1762">
        <v>12.9</v>
      </c>
      <c r="E1762">
        <v>8.4</v>
      </c>
      <c r="G1762">
        <v>15</v>
      </c>
      <c r="H1762" s="23">
        <f t="shared" si="63"/>
        <v>20</v>
      </c>
    </row>
    <row r="1763" spans="1:8" x14ac:dyDescent="0.25">
      <c r="A1763" s="22">
        <v>41897.836805555555</v>
      </c>
      <c r="B1763">
        <v>500.4</v>
      </c>
      <c r="C1763">
        <v>94.6</v>
      </c>
      <c r="D1763">
        <v>13</v>
      </c>
      <c r="E1763">
        <v>8.4</v>
      </c>
      <c r="G1763">
        <v>15</v>
      </c>
      <c r="H1763" s="23">
        <f t="shared" si="63"/>
        <v>20</v>
      </c>
    </row>
    <row r="1764" spans="1:8" x14ac:dyDescent="0.25">
      <c r="A1764" s="22">
        <v>41897.840277777781</v>
      </c>
      <c r="B1764">
        <v>499.7</v>
      </c>
      <c r="C1764">
        <v>94.7</v>
      </c>
      <c r="D1764">
        <v>13</v>
      </c>
      <c r="E1764">
        <v>8.5</v>
      </c>
      <c r="G1764">
        <v>15</v>
      </c>
      <c r="H1764" s="23">
        <f t="shared" si="63"/>
        <v>20</v>
      </c>
    </row>
    <row r="1765" spans="1:8" x14ac:dyDescent="0.25">
      <c r="A1765" s="22">
        <v>41897.84375</v>
      </c>
      <c r="B1765">
        <v>497.9</v>
      </c>
      <c r="C1765">
        <v>94.6</v>
      </c>
      <c r="D1765">
        <v>13</v>
      </c>
      <c r="E1765">
        <v>8.5</v>
      </c>
      <c r="G1765">
        <v>15</v>
      </c>
      <c r="H1765" s="23">
        <f t="shared" si="63"/>
        <v>20</v>
      </c>
    </row>
    <row r="1766" spans="1:8" x14ac:dyDescent="0.25">
      <c r="A1766" s="22">
        <v>41897.847222222219</v>
      </c>
      <c r="B1766">
        <v>496</v>
      </c>
      <c r="C1766">
        <v>94.5</v>
      </c>
      <c r="D1766">
        <v>13</v>
      </c>
      <c r="E1766">
        <v>8.5</v>
      </c>
      <c r="G1766">
        <v>15</v>
      </c>
      <c r="H1766" s="23">
        <f t="shared" si="63"/>
        <v>20</v>
      </c>
    </row>
    <row r="1767" spans="1:8" x14ac:dyDescent="0.25">
      <c r="A1767" s="22">
        <v>41897.850694444445</v>
      </c>
      <c r="B1767">
        <v>495.6</v>
      </c>
      <c r="C1767">
        <v>94.5</v>
      </c>
      <c r="D1767">
        <v>13</v>
      </c>
      <c r="E1767">
        <v>8.5</v>
      </c>
      <c r="G1767">
        <v>15</v>
      </c>
      <c r="H1767" s="23">
        <f t="shared" si="63"/>
        <v>20</v>
      </c>
    </row>
    <row r="1768" spans="1:8" x14ac:dyDescent="0.25">
      <c r="A1768" s="22">
        <v>41897.854166666664</v>
      </c>
      <c r="B1768">
        <v>496.6</v>
      </c>
      <c r="C1768">
        <v>94.5</v>
      </c>
      <c r="D1768">
        <v>13</v>
      </c>
      <c r="E1768">
        <v>8.5</v>
      </c>
      <c r="G1768">
        <v>15</v>
      </c>
      <c r="H1768" s="23">
        <f t="shared" si="63"/>
        <v>20</v>
      </c>
    </row>
    <row r="1769" spans="1:8" x14ac:dyDescent="0.25">
      <c r="A1769" s="22">
        <v>41897.857638888891</v>
      </c>
      <c r="B1769">
        <v>496.4</v>
      </c>
      <c r="C1769">
        <v>94.5</v>
      </c>
      <c r="D1769">
        <v>13</v>
      </c>
      <c r="E1769">
        <v>8.5</v>
      </c>
      <c r="G1769">
        <v>15</v>
      </c>
      <c r="H1769" s="23">
        <f t="shared" si="63"/>
        <v>20</v>
      </c>
    </row>
    <row r="1770" spans="1:8" x14ac:dyDescent="0.25">
      <c r="A1770" s="22">
        <v>41897.861111111109</v>
      </c>
      <c r="B1770">
        <v>495.8</v>
      </c>
      <c r="C1770">
        <v>94.5</v>
      </c>
      <c r="D1770">
        <v>13</v>
      </c>
      <c r="E1770">
        <v>8.5</v>
      </c>
      <c r="G1770">
        <v>15</v>
      </c>
      <c r="H1770" s="23">
        <f t="shared" si="63"/>
        <v>20</v>
      </c>
    </row>
    <row r="1771" spans="1:8" x14ac:dyDescent="0.25">
      <c r="A1771" s="22">
        <v>41897.864583333336</v>
      </c>
      <c r="B1771">
        <v>495.4</v>
      </c>
      <c r="C1771">
        <v>94.5</v>
      </c>
      <c r="D1771">
        <v>13.1</v>
      </c>
      <c r="E1771">
        <v>8.6</v>
      </c>
      <c r="G1771">
        <v>15</v>
      </c>
      <c r="H1771" s="23">
        <f t="shared" si="63"/>
        <v>20</v>
      </c>
    </row>
    <row r="1772" spans="1:8" x14ac:dyDescent="0.25">
      <c r="A1772" s="22">
        <v>41897.868055555555</v>
      </c>
      <c r="B1772">
        <v>497.8</v>
      </c>
      <c r="C1772">
        <v>94.6</v>
      </c>
      <c r="D1772">
        <v>13.1</v>
      </c>
      <c r="E1772">
        <v>8.6</v>
      </c>
      <c r="G1772">
        <v>15</v>
      </c>
      <c r="H1772" s="23">
        <f t="shared" si="63"/>
        <v>20</v>
      </c>
    </row>
    <row r="1773" spans="1:8" x14ac:dyDescent="0.25">
      <c r="A1773" s="22">
        <v>41897.871527777781</v>
      </c>
      <c r="B1773">
        <v>498.8</v>
      </c>
      <c r="C1773">
        <v>94.6</v>
      </c>
      <c r="D1773">
        <v>13.1</v>
      </c>
      <c r="E1773">
        <v>8.6</v>
      </c>
      <c r="G1773">
        <v>15</v>
      </c>
      <c r="H1773" s="23">
        <f t="shared" si="63"/>
        <v>20</v>
      </c>
    </row>
    <row r="1774" spans="1:8" x14ac:dyDescent="0.25">
      <c r="A1774" s="22">
        <v>41897.875</v>
      </c>
      <c r="B1774">
        <v>498.4</v>
      </c>
      <c r="C1774">
        <v>94.5</v>
      </c>
      <c r="D1774">
        <v>13.1</v>
      </c>
      <c r="E1774">
        <v>8.6</v>
      </c>
      <c r="G1774">
        <v>15</v>
      </c>
      <c r="H1774" s="23">
        <f t="shared" si="63"/>
        <v>21</v>
      </c>
    </row>
    <row r="1775" spans="1:8" x14ac:dyDescent="0.25">
      <c r="A1775" s="22">
        <v>41897.878472222219</v>
      </c>
      <c r="B1775">
        <v>494.8</v>
      </c>
      <c r="C1775">
        <v>94.5</v>
      </c>
      <c r="D1775">
        <v>13.1</v>
      </c>
      <c r="E1775">
        <v>8.6</v>
      </c>
      <c r="G1775">
        <v>15</v>
      </c>
      <c r="H1775" s="23">
        <f t="shared" si="63"/>
        <v>21</v>
      </c>
    </row>
    <row r="1776" spans="1:8" x14ac:dyDescent="0.25">
      <c r="A1776" s="22">
        <v>41897.881944444445</v>
      </c>
      <c r="B1776">
        <v>496.9</v>
      </c>
      <c r="C1776">
        <v>94.5</v>
      </c>
      <c r="D1776">
        <v>13.1</v>
      </c>
      <c r="E1776">
        <v>8.6</v>
      </c>
      <c r="G1776">
        <v>15</v>
      </c>
      <c r="H1776" s="23">
        <f t="shared" si="63"/>
        <v>21</v>
      </c>
    </row>
    <row r="1777" spans="1:8" x14ac:dyDescent="0.25">
      <c r="A1777" s="22">
        <v>41897.885416666664</v>
      </c>
      <c r="B1777">
        <v>496.4</v>
      </c>
      <c r="C1777">
        <v>94.5</v>
      </c>
      <c r="D1777">
        <v>13.1</v>
      </c>
      <c r="E1777">
        <v>8.6</v>
      </c>
      <c r="G1777">
        <v>15</v>
      </c>
      <c r="H1777" s="23">
        <f t="shared" si="63"/>
        <v>21</v>
      </c>
    </row>
    <row r="1778" spans="1:8" x14ac:dyDescent="0.25">
      <c r="A1778" s="22">
        <v>41897.888888888891</v>
      </c>
      <c r="B1778">
        <v>497.2</v>
      </c>
      <c r="C1778">
        <v>94.5</v>
      </c>
      <c r="D1778">
        <v>13.1</v>
      </c>
      <c r="E1778">
        <v>8.6</v>
      </c>
      <c r="G1778">
        <v>15</v>
      </c>
      <c r="H1778" s="23">
        <f t="shared" si="63"/>
        <v>21</v>
      </c>
    </row>
    <row r="1779" spans="1:8" x14ac:dyDescent="0.25">
      <c r="A1779" s="22">
        <v>41897.892361111109</v>
      </c>
      <c r="B1779">
        <v>493.4</v>
      </c>
      <c r="C1779">
        <v>94.6</v>
      </c>
      <c r="D1779">
        <v>13.2</v>
      </c>
      <c r="E1779">
        <v>8.6999999999999993</v>
      </c>
      <c r="G1779">
        <v>15</v>
      </c>
      <c r="H1779" s="23">
        <f t="shared" si="63"/>
        <v>21</v>
      </c>
    </row>
    <row r="1780" spans="1:8" x14ac:dyDescent="0.25">
      <c r="A1780" s="22">
        <v>41897.895833333336</v>
      </c>
      <c r="B1780">
        <v>494.9</v>
      </c>
      <c r="C1780">
        <v>94.6</v>
      </c>
      <c r="D1780">
        <v>13.2</v>
      </c>
      <c r="E1780">
        <v>8.6999999999999993</v>
      </c>
      <c r="G1780">
        <v>15</v>
      </c>
      <c r="H1780" s="23">
        <f t="shared" si="63"/>
        <v>21</v>
      </c>
    </row>
    <row r="1781" spans="1:8" x14ac:dyDescent="0.25">
      <c r="A1781" s="22">
        <v>41897.899305555555</v>
      </c>
      <c r="B1781">
        <v>495.5</v>
      </c>
      <c r="C1781">
        <v>94.6</v>
      </c>
      <c r="D1781">
        <v>13.1</v>
      </c>
      <c r="E1781">
        <v>8.6</v>
      </c>
      <c r="G1781">
        <v>15</v>
      </c>
      <c r="H1781" s="23">
        <f t="shared" si="63"/>
        <v>21</v>
      </c>
    </row>
    <row r="1782" spans="1:8" x14ac:dyDescent="0.25">
      <c r="A1782" s="22">
        <v>41897.90625</v>
      </c>
      <c r="B1782">
        <v>264.5</v>
      </c>
      <c r="C1782">
        <v>50.6</v>
      </c>
      <c r="D1782">
        <v>13.1</v>
      </c>
      <c r="E1782">
        <v>8.6999999999999993</v>
      </c>
      <c r="G1782">
        <v>15</v>
      </c>
      <c r="H1782" s="23">
        <f t="shared" si="63"/>
        <v>21</v>
      </c>
    </row>
    <row r="1783" spans="1:8" x14ac:dyDescent="0.25">
      <c r="A1783" s="22">
        <v>41897.909722222219</v>
      </c>
      <c r="B1783">
        <v>29.6</v>
      </c>
      <c r="C1783">
        <v>46.8</v>
      </c>
      <c r="D1783">
        <v>13.3</v>
      </c>
      <c r="E1783">
        <v>12.8</v>
      </c>
      <c r="G1783">
        <v>15</v>
      </c>
      <c r="H1783" s="23">
        <f t="shared" si="63"/>
        <v>21</v>
      </c>
    </row>
    <row r="1784" spans="1:8" x14ac:dyDescent="0.25">
      <c r="A1784" s="22">
        <v>41897.913194444445</v>
      </c>
      <c r="B1784">
        <v>83.6</v>
      </c>
      <c r="C1784">
        <v>88.1</v>
      </c>
      <c r="D1784">
        <v>13.2</v>
      </c>
      <c r="E1784">
        <v>12.8</v>
      </c>
      <c r="G1784">
        <v>15</v>
      </c>
      <c r="H1784" s="23">
        <f t="shared" si="63"/>
        <v>21</v>
      </c>
    </row>
    <row r="1785" spans="1:8" x14ac:dyDescent="0.25">
      <c r="A1785" s="22">
        <v>41897.916666666664</v>
      </c>
      <c r="B1785">
        <v>327.5</v>
      </c>
      <c r="C1785">
        <v>94.6</v>
      </c>
      <c r="D1785">
        <v>13.9</v>
      </c>
      <c r="E1785">
        <v>10.9</v>
      </c>
      <c r="G1785">
        <v>15</v>
      </c>
      <c r="H1785" s="23">
        <f t="shared" si="63"/>
        <v>22</v>
      </c>
    </row>
    <row r="1786" spans="1:8" x14ac:dyDescent="0.25">
      <c r="A1786" s="22">
        <v>41897.920138888891</v>
      </c>
      <c r="B1786">
        <v>395.6</v>
      </c>
      <c r="C1786">
        <v>94.6</v>
      </c>
      <c r="D1786">
        <v>14.1</v>
      </c>
      <c r="E1786">
        <v>10.5</v>
      </c>
      <c r="G1786">
        <v>15</v>
      </c>
      <c r="H1786" s="23">
        <f t="shared" si="63"/>
        <v>22</v>
      </c>
    </row>
    <row r="1787" spans="1:8" x14ac:dyDescent="0.25">
      <c r="A1787" s="22">
        <v>41897.923611111109</v>
      </c>
      <c r="B1787">
        <v>362.3</v>
      </c>
      <c r="C1787">
        <v>94.7</v>
      </c>
      <c r="D1787">
        <v>14.6</v>
      </c>
      <c r="E1787">
        <v>11.3</v>
      </c>
      <c r="G1787">
        <v>15</v>
      </c>
      <c r="H1787" s="23">
        <f t="shared" si="63"/>
        <v>22</v>
      </c>
    </row>
    <row r="1788" spans="1:8" x14ac:dyDescent="0.25">
      <c r="A1788" s="22">
        <v>41897.927083333336</v>
      </c>
      <c r="B1788">
        <v>334.9</v>
      </c>
      <c r="C1788">
        <v>94.6</v>
      </c>
      <c r="D1788">
        <v>14.8</v>
      </c>
      <c r="E1788">
        <v>11.7</v>
      </c>
      <c r="G1788">
        <v>15</v>
      </c>
      <c r="H1788" s="23">
        <f t="shared" si="63"/>
        <v>22</v>
      </c>
    </row>
    <row r="1789" spans="1:8" x14ac:dyDescent="0.25">
      <c r="A1789" s="22">
        <v>41897.930555555555</v>
      </c>
      <c r="B1789">
        <v>328</v>
      </c>
      <c r="C1789">
        <v>94.7</v>
      </c>
      <c r="D1789">
        <v>15</v>
      </c>
      <c r="E1789">
        <v>12</v>
      </c>
      <c r="G1789">
        <v>15</v>
      </c>
      <c r="H1789" s="23">
        <f t="shared" si="63"/>
        <v>22</v>
      </c>
    </row>
    <row r="1790" spans="1:8" x14ac:dyDescent="0.25">
      <c r="A1790" s="22">
        <v>41897.934027777781</v>
      </c>
      <c r="B1790">
        <v>327.9</v>
      </c>
      <c r="C1790">
        <v>94.8</v>
      </c>
      <c r="D1790">
        <v>15.2</v>
      </c>
      <c r="E1790">
        <v>12.3</v>
      </c>
      <c r="G1790">
        <v>15</v>
      </c>
      <c r="H1790" s="23">
        <f t="shared" si="63"/>
        <v>22</v>
      </c>
    </row>
    <row r="1791" spans="1:8" x14ac:dyDescent="0.25">
      <c r="A1791" s="22">
        <v>41897.9375</v>
      </c>
      <c r="B1791">
        <v>328</v>
      </c>
      <c r="C1791">
        <v>94.8</v>
      </c>
      <c r="D1791">
        <v>15.5</v>
      </c>
      <c r="E1791">
        <v>12.5</v>
      </c>
      <c r="G1791">
        <v>15</v>
      </c>
      <c r="H1791" s="23">
        <f t="shared" si="63"/>
        <v>22</v>
      </c>
    </row>
    <row r="1792" spans="1:8" x14ac:dyDescent="0.25">
      <c r="A1792" s="22">
        <v>41897.940972222219</v>
      </c>
      <c r="B1792">
        <v>200.2</v>
      </c>
      <c r="C1792">
        <v>94.9</v>
      </c>
      <c r="D1792">
        <v>15.8</v>
      </c>
      <c r="E1792">
        <v>14</v>
      </c>
      <c r="G1792">
        <v>15</v>
      </c>
      <c r="H1792" s="23">
        <f t="shared" si="63"/>
        <v>22</v>
      </c>
    </row>
    <row r="1793" spans="1:8" x14ac:dyDescent="0.25">
      <c r="A1793" s="22">
        <v>41897.944444444445</v>
      </c>
      <c r="B1793">
        <v>229.6</v>
      </c>
      <c r="C1793">
        <v>95</v>
      </c>
      <c r="D1793">
        <v>16.100000000000001</v>
      </c>
      <c r="E1793">
        <v>14</v>
      </c>
      <c r="G1793">
        <v>15</v>
      </c>
      <c r="H1793" s="23">
        <f t="shared" si="63"/>
        <v>22</v>
      </c>
    </row>
    <row r="1794" spans="1:8" x14ac:dyDescent="0.25">
      <c r="A1794" s="22">
        <v>41897.947916666664</v>
      </c>
      <c r="B1794">
        <v>131</v>
      </c>
      <c r="C1794">
        <v>95.1</v>
      </c>
      <c r="D1794">
        <v>16.399999999999999</v>
      </c>
      <c r="E1794">
        <v>15.7</v>
      </c>
      <c r="G1794">
        <v>15</v>
      </c>
      <c r="H1794" s="23">
        <f t="shared" si="63"/>
        <v>22</v>
      </c>
    </row>
    <row r="1795" spans="1:8" x14ac:dyDescent="0.25">
      <c r="A1795" s="22">
        <v>41897.951388888891</v>
      </c>
      <c r="B1795">
        <v>83.1</v>
      </c>
      <c r="C1795">
        <v>95.2</v>
      </c>
      <c r="D1795">
        <v>16.7</v>
      </c>
      <c r="E1795">
        <v>16.2</v>
      </c>
      <c r="G1795">
        <v>15</v>
      </c>
      <c r="H1795" s="23">
        <f t="shared" si="63"/>
        <v>22</v>
      </c>
    </row>
    <row r="1796" spans="1:8" x14ac:dyDescent="0.25">
      <c r="A1796" s="22">
        <v>41897.954861111109</v>
      </c>
      <c r="B1796">
        <v>140.1</v>
      </c>
      <c r="C1796">
        <v>95.4</v>
      </c>
      <c r="D1796">
        <v>16.7</v>
      </c>
      <c r="E1796">
        <v>16.100000000000001</v>
      </c>
      <c r="G1796">
        <v>15</v>
      </c>
      <c r="H1796" s="23">
        <f t="shared" si="63"/>
        <v>22</v>
      </c>
    </row>
    <row r="1797" spans="1:8" x14ac:dyDescent="0.25">
      <c r="A1797" s="22">
        <v>41897.958333333336</v>
      </c>
      <c r="B1797">
        <v>156.9</v>
      </c>
      <c r="C1797">
        <v>95.5</v>
      </c>
      <c r="D1797">
        <v>16.899999999999999</v>
      </c>
      <c r="E1797">
        <v>15.5</v>
      </c>
      <c r="G1797">
        <v>15</v>
      </c>
      <c r="H1797" s="23">
        <f t="shared" si="63"/>
        <v>23</v>
      </c>
    </row>
    <row r="1798" spans="1:8" x14ac:dyDescent="0.25">
      <c r="A1798" s="22">
        <v>41897.961805555555</v>
      </c>
      <c r="B1798">
        <v>420.8</v>
      </c>
      <c r="C1798">
        <v>95.2</v>
      </c>
      <c r="D1798">
        <v>17.100000000000001</v>
      </c>
      <c r="E1798">
        <v>13.3</v>
      </c>
      <c r="G1798">
        <v>15</v>
      </c>
      <c r="H1798" s="23">
        <f t="shared" ref="H1798:H1861" si="64">+HOUR(A1798)</f>
        <v>23</v>
      </c>
    </row>
    <row r="1799" spans="1:8" x14ac:dyDescent="0.25">
      <c r="A1799" s="22">
        <v>41897.965277777781</v>
      </c>
      <c r="B1799">
        <v>547.9</v>
      </c>
      <c r="C1799">
        <v>95.1</v>
      </c>
      <c r="D1799">
        <v>17.399999999999999</v>
      </c>
      <c r="E1799">
        <v>12.4</v>
      </c>
      <c r="G1799">
        <v>15</v>
      </c>
      <c r="H1799" s="23">
        <f t="shared" si="64"/>
        <v>23</v>
      </c>
    </row>
    <row r="1800" spans="1:8" x14ac:dyDescent="0.25">
      <c r="A1800" s="22">
        <v>41897.96875</v>
      </c>
      <c r="B1800">
        <v>550.70000000000005</v>
      </c>
      <c r="C1800">
        <v>95.1</v>
      </c>
      <c r="D1800">
        <v>17.5</v>
      </c>
      <c r="E1800">
        <v>12.6</v>
      </c>
      <c r="G1800">
        <v>15</v>
      </c>
      <c r="H1800" s="23">
        <f t="shared" si="64"/>
        <v>23</v>
      </c>
    </row>
    <row r="1801" spans="1:8" x14ac:dyDescent="0.25">
      <c r="A1801" s="22">
        <v>41897.972222222219</v>
      </c>
      <c r="B1801">
        <v>544.79999999999995</v>
      </c>
      <c r="C1801">
        <v>95.1</v>
      </c>
      <c r="D1801">
        <v>17.3</v>
      </c>
      <c r="E1801">
        <v>12.4</v>
      </c>
      <c r="G1801">
        <v>15</v>
      </c>
      <c r="H1801" s="23">
        <f t="shared" si="64"/>
        <v>23</v>
      </c>
    </row>
    <row r="1802" spans="1:8" x14ac:dyDescent="0.25">
      <c r="A1802" s="22">
        <v>41897.975694444445</v>
      </c>
      <c r="B1802">
        <v>539.4</v>
      </c>
      <c r="C1802">
        <v>94.9</v>
      </c>
      <c r="D1802">
        <v>16.8</v>
      </c>
      <c r="E1802">
        <v>11.9</v>
      </c>
      <c r="G1802">
        <v>15</v>
      </c>
      <c r="H1802" s="23">
        <f t="shared" si="64"/>
        <v>23</v>
      </c>
    </row>
    <row r="1803" spans="1:8" x14ac:dyDescent="0.25">
      <c r="A1803" s="22">
        <v>41897.979166666664</v>
      </c>
      <c r="B1803">
        <v>537.79999999999995</v>
      </c>
      <c r="C1803">
        <v>95</v>
      </c>
      <c r="D1803">
        <v>16.399999999999999</v>
      </c>
      <c r="E1803">
        <v>11.5</v>
      </c>
      <c r="G1803">
        <v>15</v>
      </c>
      <c r="H1803" s="23">
        <f t="shared" si="64"/>
        <v>23</v>
      </c>
    </row>
    <row r="1804" spans="1:8" x14ac:dyDescent="0.25">
      <c r="A1804" s="22">
        <v>41897.982638888891</v>
      </c>
      <c r="B1804">
        <v>534.9</v>
      </c>
      <c r="C1804">
        <v>95</v>
      </c>
      <c r="D1804">
        <v>16.100000000000001</v>
      </c>
      <c r="E1804">
        <v>11.3</v>
      </c>
      <c r="G1804">
        <v>15</v>
      </c>
      <c r="H1804" s="23">
        <f t="shared" si="64"/>
        <v>23</v>
      </c>
    </row>
    <row r="1805" spans="1:8" x14ac:dyDescent="0.25">
      <c r="A1805" s="22">
        <v>41897.986111111109</v>
      </c>
      <c r="B1805">
        <v>530.20000000000005</v>
      </c>
      <c r="C1805">
        <v>94.8</v>
      </c>
      <c r="D1805">
        <v>15.9</v>
      </c>
      <c r="E1805">
        <v>11.1</v>
      </c>
      <c r="G1805">
        <v>15</v>
      </c>
      <c r="H1805" s="23">
        <f t="shared" si="64"/>
        <v>23</v>
      </c>
    </row>
    <row r="1806" spans="1:8" x14ac:dyDescent="0.25">
      <c r="A1806" s="22">
        <v>41897.989583333336</v>
      </c>
      <c r="B1806">
        <v>527.4</v>
      </c>
      <c r="C1806">
        <v>94.8</v>
      </c>
      <c r="D1806">
        <v>15.7</v>
      </c>
      <c r="E1806">
        <v>10.9</v>
      </c>
      <c r="G1806">
        <v>15</v>
      </c>
      <c r="H1806" s="23">
        <f t="shared" si="64"/>
        <v>23</v>
      </c>
    </row>
    <row r="1807" spans="1:8" x14ac:dyDescent="0.25">
      <c r="A1807" s="22">
        <v>41897.993055555555</v>
      </c>
      <c r="B1807">
        <v>524.79999999999995</v>
      </c>
      <c r="C1807">
        <v>94.9</v>
      </c>
      <c r="D1807">
        <v>15.4</v>
      </c>
      <c r="E1807">
        <v>10.7</v>
      </c>
      <c r="G1807">
        <v>15</v>
      </c>
      <c r="H1807" s="23">
        <f t="shared" si="64"/>
        <v>23</v>
      </c>
    </row>
    <row r="1808" spans="1:8" x14ac:dyDescent="0.25">
      <c r="A1808" s="22">
        <v>41897.996527777781</v>
      </c>
      <c r="B1808">
        <v>523.6</v>
      </c>
      <c r="C1808">
        <v>94.8</v>
      </c>
      <c r="D1808">
        <v>15.2</v>
      </c>
      <c r="E1808">
        <v>10.4</v>
      </c>
      <c r="G1808">
        <v>15</v>
      </c>
      <c r="H1808" s="23">
        <f t="shared" si="64"/>
        <v>23</v>
      </c>
    </row>
    <row r="1809" spans="1:8" x14ac:dyDescent="0.25">
      <c r="A1809" s="22">
        <v>41898</v>
      </c>
      <c r="B1809">
        <v>520.70000000000005</v>
      </c>
      <c r="C1809">
        <v>94.7</v>
      </c>
      <c r="D1809">
        <v>15</v>
      </c>
      <c r="E1809">
        <v>10.3</v>
      </c>
      <c r="G1809">
        <v>16</v>
      </c>
      <c r="H1809" s="23">
        <f t="shared" si="64"/>
        <v>0</v>
      </c>
    </row>
    <row r="1810" spans="1:8" x14ac:dyDescent="0.25">
      <c r="A1810" s="22">
        <v>41898.003472222219</v>
      </c>
      <c r="B1810">
        <v>520.29999999999995</v>
      </c>
      <c r="C1810">
        <v>94.7</v>
      </c>
      <c r="D1810">
        <v>14.8</v>
      </c>
      <c r="E1810">
        <v>10</v>
      </c>
      <c r="G1810">
        <v>16</v>
      </c>
      <c r="H1810" s="23">
        <f t="shared" si="64"/>
        <v>0</v>
      </c>
    </row>
    <row r="1811" spans="1:8" x14ac:dyDescent="0.25">
      <c r="A1811" s="22">
        <v>41898.006944444445</v>
      </c>
      <c r="B1811">
        <v>518.29999999999995</v>
      </c>
      <c r="C1811">
        <v>94.6</v>
      </c>
      <c r="D1811">
        <v>14.6</v>
      </c>
      <c r="E1811">
        <v>9.9</v>
      </c>
      <c r="G1811">
        <v>16</v>
      </c>
      <c r="H1811" s="23">
        <f t="shared" si="64"/>
        <v>0</v>
      </c>
    </row>
    <row r="1812" spans="1:8" x14ac:dyDescent="0.25">
      <c r="A1812" s="22">
        <v>41898.010416666664</v>
      </c>
      <c r="B1812">
        <v>516.79999999999995</v>
      </c>
      <c r="C1812">
        <v>94.7</v>
      </c>
      <c r="D1812">
        <v>14.4</v>
      </c>
      <c r="E1812">
        <v>9.8000000000000007</v>
      </c>
      <c r="G1812">
        <v>16</v>
      </c>
      <c r="H1812" s="23">
        <f t="shared" si="64"/>
        <v>0</v>
      </c>
    </row>
    <row r="1813" spans="1:8" x14ac:dyDescent="0.25">
      <c r="A1813" s="22">
        <v>41898.013888888891</v>
      </c>
      <c r="B1813">
        <v>515.29999999999995</v>
      </c>
      <c r="C1813">
        <v>94.7</v>
      </c>
      <c r="D1813">
        <v>14.3</v>
      </c>
      <c r="E1813">
        <v>9.6</v>
      </c>
      <c r="G1813">
        <v>16</v>
      </c>
      <c r="H1813" s="23">
        <f t="shared" si="64"/>
        <v>0</v>
      </c>
    </row>
    <row r="1814" spans="1:8" x14ac:dyDescent="0.25">
      <c r="A1814" s="22">
        <v>41898.017361111109</v>
      </c>
      <c r="B1814">
        <v>512.6</v>
      </c>
      <c r="C1814">
        <v>94.5</v>
      </c>
      <c r="D1814">
        <v>14.1</v>
      </c>
      <c r="E1814">
        <v>9.4</v>
      </c>
      <c r="G1814">
        <v>16</v>
      </c>
      <c r="H1814" s="23">
        <f t="shared" si="64"/>
        <v>0</v>
      </c>
    </row>
    <row r="1815" spans="1:8" x14ac:dyDescent="0.25">
      <c r="A1815" s="22">
        <v>41898.020833333336</v>
      </c>
      <c r="B1815">
        <v>510.4</v>
      </c>
      <c r="C1815">
        <v>94.5</v>
      </c>
      <c r="D1815">
        <v>13.9</v>
      </c>
      <c r="E1815">
        <v>9.3000000000000007</v>
      </c>
      <c r="G1815">
        <v>16</v>
      </c>
      <c r="H1815" s="23">
        <f t="shared" si="64"/>
        <v>0</v>
      </c>
    </row>
    <row r="1816" spans="1:8" x14ac:dyDescent="0.25">
      <c r="A1816" s="22">
        <v>41898.024305555555</v>
      </c>
      <c r="B1816">
        <v>509.6</v>
      </c>
      <c r="C1816">
        <v>94.5</v>
      </c>
      <c r="D1816">
        <v>13.8</v>
      </c>
      <c r="E1816">
        <v>9.1999999999999993</v>
      </c>
      <c r="G1816">
        <v>16</v>
      </c>
      <c r="H1816" s="23">
        <f t="shared" si="64"/>
        <v>0</v>
      </c>
    </row>
    <row r="1817" spans="1:8" x14ac:dyDescent="0.25">
      <c r="A1817" s="22">
        <v>41898.027777777781</v>
      </c>
      <c r="B1817">
        <v>508.9</v>
      </c>
      <c r="C1817">
        <v>94.5</v>
      </c>
      <c r="D1817">
        <v>13.7</v>
      </c>
      <c r="E1817">
        <v>9.1</v>
      </c>
      <c r="G1817">
        <v>16</v>
      </c>
      <c r="H1817" s="23">
        <f t="shared" si="64"/>
        <v>0</v>
      </c>
    </row>
    <row r="1818" spans="1:8" x14ac:dyDescent="0.25">
      <c r="A1818" s="22">
        <v>41898.03125</v>
      </c>
      <c r="B1818">
        <v>507.7</v>
      </c>
      <c r="C1818">
        <v>94.4</v>
      </c>
      <c r="D1818">
        <v>13.5</v>
      </c>
      <c r="E1818">
        <v>8.9</v>
      </c>
      <c r="G1818">
        <v>16</v>
      </c>
      <c r="H1818" s="23">
        <f t="shared" si="64"/>
        <v>0</v>
      </c>
    </row>
    <row r="1819" spans="1:8" x14ac:dyDescent="0.25">
      <c r="A1819" s="22">
        <v>41898.034722222219</v>
      </c>
      <c r="B1819">
        <v>505.6</v>
      </c>
      <c r="C1819">
        <v>94.4</v>
      </c>
      <c r="D1819">
        <v>13.4</v>
      </c>
      <c r="E1819">
        <v>8.8000000000000007</v>
      </c>
      <c r="G1819">
        <v>16</v>
      </c>
      <c r="H1819" s="23">
        <f t="shared" si="64"/>
        <v>0</v>
      </c>
    </row>
    <row r="1820" spans="1:8" x14ac:dyDescent="0.25">
      <c r="A1820" s="22">
        <v>41898.038194444445</v>
      </c>
      <c r="B1820">
        <v>504.3</v>
      </c>
      <c r="C1820">
        <v>94.4</v>
      </c>
      <c r="D1820">
        <v>13.3</v>
      </c>
      <c r="E1820">
        <v>8.6999999999999993</v>
      </c>
      <c r="G1820">
        <v>16</v>
      </c>
      <c r="H1820" s="23">
        <f t="shared" si="64"/>
        <v>0</v>
      </c>
    </row>
    <row r="1821" spans="1:8" x14ac:dyDescent="0.25">
      <c r="A1821" s="22">
        <v>41898.041666666664</v>
      </c>
      <c r="B1821">
        <v>502.8</v>
      </c>
      <c r="C1821">
        <v>94.4</v>
      </c>
      <c r="D1821">
        <v>13.1</v>
      </c>
      <c r="E1821">
        <v>8.6</v>
      </c>
      <c r="G1821">
        <v>16</v>
      </c>
      <c r="H1821" s="23">
        <f t="shared" si="64"/>
        <v>1</v>
      </c>
    </row>
    <row r="1822" spans="1:8" x14ac:dyDescent="0.25">
      <c r="A1822" s="22">
        <v>41898.045138888891</v>
      </c>
      <c r="B1822">
        <v>500.9</v>
      </c>
      <c r="C1822">
        <v>94.4</v>
      </c>
      <c r="D1822">
        <v>13</v>
      </c>
      <c r="E1822">
        <v>8.5</v>
      </c>
      <c r="G1822">
        <v>16</v>
      </c>
      <c r="H1822" s="23">
        <f t="shared" si="64"/>
        <v>1</v>
      </c>
    </row>
    <row r="1823" spans="1:8" x14ac:dyDescent="0.25">
      <c r="A1823" s="22">
        <v>41898.048611111109</v>
      </c>
      <c r="B1823">
        <v>495.1</v>
      </c>
      <c r="C1823">
        <v>94.3</v>
      </c>
      <c r="D1823">
        <v>12.9</v>
      </c>
      <c r="E1823">
        <v>8.4</v>
      </c>
      <c r="G1823">
        <v>16</v>
      </c>
      <c r="H1823" s="23">
        <f t="shared" si="64"/>
        <v>1</v>
      </c>
    </row>
    <row r="1824" spans="1:8" x14ac:dyDescent="0.25">
      <c r="A1824" s="22">
        <v>41898.052083333336</v>
      </c>
      <c r="B1824">
        <v>487.3</v>
      </c>
      <c r="C1824">
        <v>94.4</v>
      </c>
      <c r="D1824">
        <v>12.8</v>
      </c>
      <c r="E1824">
        <v>8.4</v>
      </c>
      <c r="G1824">
        <v>16</v>
      </c>
      <c r="H1824" s="23">
        <f t="shared" si="64"/>
        <v>1</v>
      </c>
    </row>
    <row r="1825" spans="1:8" x14ac:dyDescent="0.25">
      <c r="A1825" s="22">
        <v>41898.055555555555</v>
      </c>
      <c r="B1825">
        <v>486</v>
      </c>
      <c r="C1825">
        <v>94.4</v>
      </c>
      <c r="D1825">
        <v>12.7</v>
      </c>
      <c r="E1825">
        <v>8.3000000000000007</v>
      </c>
      <c r="G1825">
        <v>16</v>
      </c>
      <c r="H1825" s="23">
        <f t="shared" si="64"/>
        <v>1</v>
      </c>
    </row>
    <row r="1826" spans="1:8" x14ac:dyDescent="0.25">
      <c r="A1826" s="22">
        <v>41898.059027777781</v>
      </c>
      <c r="B1826">
        <v>485.3</v>
      </c>
      <c r="C1826">
        <v>94.4</v>
      </c>
      <c r="D1826">
        <v>12.6</v>
      </c>
      <c r="E1826">
        <v>8.1999999999999993</v>
      </c>
      <c r="G1826">
        <v>16</v>
      </c>
      <c r="H1826" s="23">
        <f t="shared" si="64"/>
        <v>1</v>
      </c>
    </row>
    <row r="1827" spans="1:8" x14ac:dyDescent="0.25">
      <c r="A1827" s="22">
        <v>41898.0625</v>
      </c>
      <c r="B1827">
        <v>484.2</v>
      </c>
      <c r="C1827">
        <v>94.3</v>
      </c>
      <c r="D1827">
        <v>12.5</v>
      </c>
      <c r="E1827">
        <v>8.1</v>
      </c>
      <c r="G1827">
        <v>16</v>
      </c>
      <c r="H1827" s="23">
        <f t="shared" si="64"/>
        <v>1</v>
      </c>
    </row>
    <row r="1828" spans="1:8" x14ac:dyDescent="0.25">
      <c r="A1828" s="22">
        <v>41898.065972222219</v>
      </c>
      <c r="B1828">
        <v>482.8</v>
      </c>
      <c r="C1828">
        <v>94.3</v>
      </c>
      <c r="D1828">
        <v>12.4</v>
      </c>
      <c r="E1828">
        <v>8</v>
      </c>
      <c r="G1828">
        <v>16</v>
      </c>
      <c r="H1828" s="23">
        <f t="shared" si="64"/>
        <v>1</v>
      </c>
    </row>
    <row r="1829" spans="1:8" x14ac:dyDescent="0.25">
      <c r="A1829" s="22">
        <v>41898.069444444445</v>
      </c>
      <c r="B1829">
        <v>483</v>
      </c>
      <c r="C1829">
        <v>94.4</v>
      </c>
      <c r="D1829">
        <v>12.3</v>
      </c>
      <c r="E1829">
        <v>7.9</v>
      </c>
      <c r="G1829">
        <v>16</v>
      </c>
      <c r="H1829" s="23">
        <f t="shared" si="64"/>
        <v>1</v>
      </c>
    </row>
    <row r="1830" spans="1:8" x14ac:dyDescent="0.25">
      <c r="A1830" s="22">
        <v>41898.072916666664</v>
      </c>
      <c r="B1830">
        <v>483.7</v>
      </c>
      <c r="C1830">
        <v>94.3</v>
      </c>
      <c r="D1830">
        <v>12.3</v>
      </c>
      <c r="E1830">
        <v>7.9</v>
      </c>
      <c r="G1830">
        <v>16</v>
      </c>
      <c r="H1830" s="23">
        <f t="shared" si="64"/>
        <v>1</v>
      </c>
    </row>
    <row r="1831" spans="1:8" x14ac:dyDescent="0.25">
      <c r="A1831" s="22">
        <v>41898.076388888891</v>
      </c>
      <c r="B1831">
        <v>483.4</v>
      </c>
      <c r="C1831">
        <v>94.2</v>
      </c>
      <c r="D1831">
        <v>12.2</v>
      </c>
      <c r="E1831">
        <v>7.8</v>
      </c>
      <c r="G1831">
        <v>16</v>
      </c>
      <c r="H1831" s="23">
        <f t="shared" si="64"/>
        <v>1</v>
      </c>
    </row>
    <row r="1832" spans="1:8" x14ac:dyDescent="0.25">
      <c r="A1832" s="22">
        <v>41898.079861111109</v>
      </c>
      <c r="B1832">
        <v>484.2</v>
      </c>
      <c r="C1832">
        <v>94.2</v>
      </c>
      <c r="D1832">
        <v>12.1</v>
      </c>
      <c r="E1832">
        <v>7.7</v>
      </c>
      <c r="G1832">
        <v>16</v>
      </c>
      <c r="H1832" s="23">
        <f t="shared" si="64"/>
        <v>1</v>
      </c>
    </row>
    <row r="1833" spans="1:8" x14ac:dyDescent="0.25">
      <c r="A1833" s="22">
        <v>41898.083333333336</v>
      </c>
      <c r="B1833">
        <v>485.6</v>
      </c>
      <c r="C1833">
        <v>94.2</v>
      </c>
      <c r="D1833">
        <v>12</v>
      </c>
      <c r="E1833">
        <v>7.6</v>
      </c>
      <c r="G1833">
        <v>16</v>
      </c>
      <c r="H1833" s="23">
        <f t="shared" si="64"/>
        <v>2</v>
      </c>
    </row>
    <row r="1834" spans="1:8" x14ac:dyDescent="0.25">
      <c r="A1834" s="22">
        <v>41898.086805555555</v>
      </c>
      <c r="B1834">
        <v>484.6</v>
      </c>
      <c r="C1834">
        <v>94.2</v>
      </c>
      <c r="D1834">
        <v>11.9</v>
      </c>
      <c r="E1834">
        <v>7.5</v>
      </c>
      <c r="G1834">
        <v>16</v>
      </c>
      <c r="H1834" s="23">
        <f t="shared" si="64"/>
        <v>2</v>
      </c>
    </row>
    <row r="1835" spans="1:8" x14ac:dyDescent="0.25">
      <c r="A1835" s="22">
        <v>41898.090277777781</v>
      </c>
      <c r="B1835">
        <v>482.8</v>
      </c>
      <c r="C1835">
        <v>94.1</v>
      </c>
      <c r="D1835">
        <v>11.8</v>
      </c>
      <c r="E1835">
        <v>7.4</v>
      </c>
      <c r="G1835">
        <v>16</v>
      </c>
      <c r="H1835" s="23">
        <f t="shared" si="64"/>
        <v>2</v>
      </c>
    </row>
    <row r="1836" spans="1:8" x14ac:dyDescent="0.25">
      <c r="A1836" s="22">
        <v>41898.09375</v>
      </c>
      <c r="B1836">
        <v>483.6</v>
      </c>
      <c r="C1836">
        <v>94.2</v>
      </c>
      <c r="D1836">
        <v>11.8</v>
      </c>
      <c r="E1836">
        <v>7.3</v>
      </c>
      <c r="G1836">
        <v>16</v>
      </c>
      <c r="H1836" s="23">
        <f t="shared" si="64"/>
        <v>2</v>
      </c>
    </row>
    <row r="1837" spans="1:8" x14ac:dyDescent="0.25">
      <c r="A1837" s="22">
        <v>41898.097222222219</v>
      </c>
      <c r="B1837">
        <v>482.7</v>
      </c>
      <c r="C1837">
        <v>94.2</v>
      </c>
      <c r="D1837">
        <v>11.6</v>
      </c>
      <c r="E1837">
        <v>7.2</v>
      </c>
      <c r="G1837">
        <v>16</v>
      </c>
      <c r="H1837" s="23">
        <f t="shared" si="64"/>
        <v>2</v>
      </c>
    </row>
    <row r="1838" spans="1:8" x14ac:dyDescent="0.25">
      <c r="A1838" s="22">
        <v>41898.100694444445</v>
      </c>
      <c r="B1838">
        <v>481.6</v>
      </c>
      <c r="C1838">
        <v>94.2</v>
      </c>
      <c r="D1838">
        <v>11.5</v>
      </c>
      <c r="E1838">
        <v>7.2</v>
      </c>
      <c r="G1838">
        <v>16</v>
      </c>
      <c r="H1838" s="23">
        <f t="shared" si="64"/>
        <v>2</v>
      </c>
    </row>
    <row r="1839" spans="1:8" x14ac:dyDescent="0.25">
      <c r="A1839" s="22">
        <v>41898.104166666664</v>
      </c>
      <c r="B1839">
        <v>480.3</v>
      </c>
      <c r="C1839">
        <v>94.1</v>
      </c>
      <c r="D1839">
        <v>11.5</v>
      </c>
      <c r="E1839">
        <v>7.1</v>
      </c>
      <c r="G1839">
        <v>16</v>
      </c>
      <c r="H1839" s="23">
        <f t="shared" si="64"/>
        <v>2</v>
      </c>
    </row>
    <row r="1840" spans="1:8" x14ac:dyDescent="0.25">
      <c r="A1840" s="22">
        <v>41898.107638888891</v>
      </c>
      <c r="B1840">
        <v>479.8</v>
      </c>
      <c r="C1840">
        <v>94.1</v>
      </c>
      <c r="D1840">
        <v>11.4</v>
      </c>
      <c r="E1840">
        <v>7</v>
      </c>
      <c r="G1840">
        <v>16</v>
      </c>
      <c r="H1840" s="23">
        <f t="shared" si="64"/>
        <v>2</v>
      </c>
    </row>
    <row r="1841" spans="1:8" x14ac:dyDescent="0.25">
      <c r="A1841" s="22">
        <v>41898.111111111109</v>
      </c>
      <c r="B1841">
        <v>479.2</v>
      </c>
      <c r="C1841">
        <v>94.1</v>
      </c>
      <c r="D1841">
        <v>11.3</v>
      </c>
      <c r="E1841">
        <v>6.9</v>
      </c>
      <c r="G1841">
        <v>16</v>
      </c>
      <c r="H1841" s="23">
        <f t="shared" si="64"/>
        <v>2</v>
      </c>
    </row>
    <row r="1842" spans="1:8" x14ac:dyDescent="0.25">
      <c r="A1842" s="22">
        <v>41898.114583333336</v>
      </c>
      <c r="B1842">
        <v>479.6</v>
      </c>
      <c r="C1842">
        <v>94.2</v>
      </c>
      <c r="D1842">
        <v>11.2</v>
      </c>
      <c r="E1842">
        <v>6.9</v>
      </c>
      <c r="G1842">
        <v>16</v>
      </c>
      <c r="H1842" s="23">
        <f t="shared" si="64"/>
        <v>2</v>
      </c>
    </row>
    <row r="1843" spans="1:8" x14ac:dyDescent="0.25">
      <c r="A1843" s="22">
        <v>41898.118055555555</v>
      </c>
      <c r="B1843">
        <v>478.4</v>
      </c>
      <c r="C1843">
        <v>94.2</v>
      </c>
      <c r="D1843">
        <v>11.1</v>
      </c>
      <c r="E1843">
        <v>6.8</v>
      </c>
      <c r="G1843">
        <v>16</v>
      </c>
      <c r="H1843" s="23">
        <f t="shared" si="64"/>
        <v>2</v>
      </c>
    </row>
    <row r="1844" spans="1:8" x14ac:dyDescent="0.25">
      <c r="A1844" s="22">
        <v>41898.121527777781</v>
      </c>
      <c r="B1844">
        <v>477.5</v>
      </c>
      <c r="C1844">
        <v>94.2</v>
      </c>
      <c r="D1844">
        <v>11.1</v>
      </c>
      <c r="E1844">
        <v>6.7</v>
      </c>
      <c r="G1844">
        <v>16</v>
      </c>
      <c r="H1844" s="23">
        <f t="shared" si="64"/>
        <v>2</v>
      </c>
    </row>
    <row r="1845" spans="1:8" x14ac:dyDescent="0.25">
      <c r="A1845" s="22">
        <v>41898.125</v>
      </c>
      <c r="B1845">
        <v>476.4</v>
      </c>
      <c r="C1845">
        <v>94.1</v>
      </c>
      <c r="D1845">
        <v>11</v>
      </c>
      <c r="E1845">
        <v>6.6</v>
      </c>
      <c r="G1845">
        <v>16</v>
      </c>
      <c r="H1845" s="23">
        <f t="shared" si="64"/>
        <v>3</v>
      </c>
    </row>
    <row r="1846" spans="1:8" x14ac:dyDescent="0.25">
      <c r="A1846" s="22">
        <v>41898.128472222219</v>
      </c>
      <c r="B1846">
        <v>475</v>
      </c>
      <c r="C1846">
        <v>94.2</v>
      </c>
      <c r="D1846">
        <v>10.9</v>
      </c>
      <c r="E1846">
        <v>6.6</v>
      </c>
      <c r="G1846">
        <v>16</v>
      </c>
      <c r="H1846" s="23">
        <f t="shared" si="64"/>
        <v>3</v>
      </c>
    </row>
    <row r="1847" spans="1:8" x14ac:dyDescent="0.25">
      <c r="A1847" s="22">
        <v>41898.131944444445</v>
      </c>
      <c r="B1847">
        <v>475</v>
      </c>
      <c r="C1847">
        <v>94.1</v>
      </c>
      <c r="D1847">
        <v>10.9</v>
      </c>
      <c r="E1847">
        <v>6.5</v>
      </c>
      <c r="G1847">
        <v>16</v>
      </c>
      <c r="H1847" s="23">
        <f t="shared" si="64"/>
        <v>3</v>
      </c>
    </row>
    <row r="1848" spans="1:8" x14ac:dyDescent="0.25">
      <c r="A1848" s="22">
        <v>41898.135416666664</v>
      </c>
      <c r="B1848">
        <v>474.3</v>
      </c>
      <c r="C1848">
        <v>94.1</v>
      </c>
      <c r="D1848">
        <v>10.8</v>
      </c>
      <c r="E1848">
        <v>6.5</v>
      </c>
      <c r="G1848">
        <v>16</v>
      </c>
      <c r="H1848" s="23">
        <f t="shared" si="64"/>
        <v>3</v>
      </c>
    </row>
    <row r="1849" spans="1:8" x14ac:dyDescent="0.25">
      <c r="A1849" s="22">
        <v>41898.138888888891</v>
      </c>
      <c r="B1849">
        <v>473.4</v>
      </c>
      <c r="C1849">
        <v>94.1</v>
      </c>
      <c r="D1849">
        <v>10.7</v>
      </c>
      <c r="E1849">
        <v>6.4</v>
      </c>
      <c r="G1849">
        <v>16</v>
      </c>
      <c r="H1849" s="23">
        <f t="shared" si="64"/>
        <v>3</v>
      </c>
    </row>
    <row r="1850" spans="1:8" x14ac:dyDescent="0.25">
      <c r="A1850" s="22">
        <v>41898.142361111109</v>
      </c>
      <c r="B1850">
        <v>471.1</v>
      </c>
      <c r="C1850">
        <v>94</v>
      </c>
      <c r="D1850">
        <v>10.6</v>
      </c>
      <c r="E1850">
        <v>6.4</v>
      </c>
      <c r="G1850">
        <v>16</v>
      </c>
      <c r="H1850" s="23">
        <f t="shared" si="64"/>
        <v>3</v>
      </c>
    </row>
    <row r="1851" spans="1:8" x14ac:dyDescent="0.25">
      <c r="A1851" s="22">
        <v>41898.145833333336</v>
      </c>
      <c r="B1851">
        <v>472.7</v>
      </c>
      <c r="C1851">
        <v>94.1</v>
      </c>
      <c r="D1851">
        <v>10.6</v>
      </c>
      <c r="E1851">
        <v>6.3</v>
      </c>
      <c r="G1851">
        <v>16</v>
      </c>
      <c r="H1851" s="23">
        <f t="shared" si="64"/>
        <v>3</v>
      </c>
    </row>
    <row r="1852" spans="1:8" x14ac:dyDescent="0.25">
      <c r="A1852" s="22">
        <v>41898.149305555555</v>
      </c>
      <c r="B1852">
        <v>471.2</v>
      </c>
      <c r="C1852">
        <v>94</v>
      </c>
      <c r="D1852">
        <v>10.5</v>
      </c>
      <c r="E1852">
        <v>6.2</v>
      </c>
      <c r="G1852">
        <v>16</v>
      </c>
      <c r="H1852" s="23">
        <f t="shared" si="64"/>
        <v>3</v>
      </c>
    </row>
    <row r="1853" spans="1:8" x14ac:dyDescent="0.25">
      <c r="A1853" s="22">
        <v>41898.152777777781</v>
      </c>
      <c r="B1853">
        <v>469.5</v>
      </c>
      <c r="C1853">
        <v>94</v>
      </c>
      <c r="D1853">
        <v>10.5</v>
      </c>
      <c r="E1853">
        <v>6.2</v>
      </c>
      <c r="G1853">
        <v>16</v>
      </c>
      <c r="H1853" s="23">
        <f t="shared" si="64"/>
        <v>3</v>
      </c>
    </row>
    <row r="1854" spans="1:8" x14ac:dyDescent="0.25">
      <c r="A1854" s="22">
        <v>41898.15625</v>
      </c>
      <c r="B1854">
        <v>467.6</v>
      </c>
      <c r="C1854">
        <v>93.9</v>
      </c>
      <c r="D1854">
        <v>10.4</v>
      </c>
      <c r="E1854">
        <v>6.1</v>
      </c>
      <c r="G1854">
        <v>16</v>
      </c>
      <c r="H1854" s="23">
        <f t="shared" si="64"/>
        <v>3</v>
      </c>
    </row>
    <row r="1855" spans="1:8" x14ac:dyDescent="0.25">
      <c r="A1855" s="22">
        <v>41898.159722222219</v>
      </c>
      <c r="B1855">
        <v>469</v>
      </c>
      <c r="C1855">
        <v>94.1</v>
      </c>
      <c r="D1855">
        <v>10.3</v>
      </c>
      <c r="E1855">
        <v>6.1</v>
      </c>
      <c r="G1855">
        <v>16</v>
      </c>
      <c r="H1855" s="23">
        <f t="shared" si="64"/>
        <v>3</v>
      </c>
    </row>
    <row r="1856" spans="1:8" x14ac:dyDescent="0.25">
      <c r="A1856" s="22">
        <v>41898.163194444445</v>
      </c>
      <c r="B1856">
        <v>468.6</v>
      </c>
      <c r="C1856">
        <v>94.1</v>
      </c>
      <c r="D1856">
        <v>10.3</v>
      </c>
      <c r="E1856">
        <v>6</v>
      </c>
      <c r="G1856">
        <v>16</v>
      </c>
      <c r="H1856" s="23">
        <f t="shared" si="64"/>
        <v>3</v>
      </c>
    </row>
    <row r="1857" spans="1:8" x14ac:dyDescent="0.25">
      <c r="A1857" s="22">
        <v>41898.166666666664</v>
      </c>
      <c r="B1857">
        <v>467.8</v>
      </c>
      <c r="C1857">
        <v>94</v>
      </c>
      <c r="D1857">
        <v>10.199999999999999</v>
      </c>
      <c r="E1857">
        <v>6</v>
      </c>
      <c r="G1857">
        <v>16</v>
      </c>
      <c r="H1857" s="23">
        <f t="shared" si="64"/>
        <v>4</v>
      </c>
    </row>
    <row r="1858" spans="1:8" x14ac:dyDescent="0.25">
      <c r="A1858" s="22">
        <v>41898.170138888891</v>
      </c>
      <c r="B1858">
        <v>467.7</v>
      </c>
      <c r="C1858">
        <v>94</v>
      </c>
      <c r="D1858">
        <v>10.199999999999999</v>
      </c>
      <c r="E1858">
        <v>5.9</v>
      </c>
      <c r="G1858">
        <v>16</v>
      </c>
      <c r="H1858" s="23">
        <f t="shared" si="64"/>
        <v>4</v>
      </c>
    </row>
    <row r="1859" spans="1:8" x14ac:dyDescent="0.25">
      <c r="A1859" s="22">
        <v>41898.173611111109</v>
      </c>
      <c r="B1859">
        <v>466.4</v>
      </c>
      <c r="C1859">
        <v>94</v>
      </c>
      <c r="D1859">
        <v>10.1</v>
      </c>
      <c r="E1859">
        <v>5.9</v>
      </c>
      <c r="G1859">
        <v>16</v>
      </c>
      <c r="H1859" s="23">
        <f t="shared" si="64"/>
        <v>4</v>
      </c>
    </row>
    <row r="1860" spans="1:8" x14ac:dyDescent="0.25">
      <c r="A1860" s="22">
        <v>41898.177083333336</v>
      </c>
      <c r="B1860">
        <v>464.6</v>
      </c>
      <c r="C1860">
        <v>94.1</v>
      </c>
      <c r="D1860">
        <v>10.1</v>
      </c>
      <c r="E1860">
        <v>5.9</v>
      </c>
      <c r="G1860">
        <v>16</v>
      </c>
      <c r="H1860" s="23">
        <f t="shared" si="64"/>
        <v>4</v>
      </c>
    </row>
    <row r="1861" spans="1:8" x14ac:dyDescent="0.25">
      <c r="A1861" s="22">
        <v>41898.180555555555</v>
      </c>
      <c r="B1861">
        <v>461.6</v>
      </c>
      <c r="C1861">
        <v>94</v>
      </c>
      <c r="D1861">
        <v>10</v>
      </c>
      <c r="E1861">
        <v>5.8</v>
      </c>
      <c r="G1861">
        <v>16</v>
      </c>
      <c r="H1861" s="23">
        <f t="shared" si="64"/>
        <v>4</v>
      </c>
    </row>
    <row r="1862" spans="1:8" x14ac:dyDescent="0.25">
      <c r="A1862" s="22">
        <v>41898.184027777781</v>
      </c>
      <c r="B1862">
        <v>457.1</v>
      </c>
      <c r="C1862">
        <v>94</v>
      </c>
      <c r="D1862">
        <v>10</v>
      </c>
      <c r="E1862">
        <v>5.8</v>
      </c>
      <c r="G1862">
        <v>16</v>
      </c>
      <c r="H1862" s="23">
        <f t="shared" ref="H1862:H1925" si="65">+HOUR(A1862)</f>
        <v>4</v>
      </c>
    </row>
    <row r="1863" spans="1:8" x14ac:dyDescent="0.25">
      <c r="A1863" s="22">
        <v>41898.1875</v>
      </c>
      <c r="B1863">
        <v>452.4</v>
      </c>
      <c r="C1863">
        <v>93.9</v>
      </c>
      <c r="D1863">
        <v>9.9</v>
      </c>
      <c r="E1863">
        <v>5.8</v>
      </c>
      <c r="G1863">
        <v>16</v>
      </c>
      <c r="H1863" s="23">
        <f t="shared" si="65"/>
        <v>4</v>
      </c>
    </row>
    <row r="1864" spans="1:8" x14ac:dyDescent="0.25">
      <c r="A1864" s="22">
        <v>41898.190972222219</v>
      </c>
      <c r="B1864">
        <v>447.1</v>
      </c>
      <c r="C1864">
        <v>93.9</v>
      </c>
      <c r="D1864">
        <v>9.9</v>
      </c>
      <c r="E1864">
        <v>5.8</v>
      </c>
      <c r="G1864">
        <v>16</v>
      </c>
      <c r="H1864" s="23">
        <f t="shared" si="65"/>
        <v>4</v>
      </c>
    </row>
    <row r="1865" spans="1:8" x14ac:dyDescent="0.25">
      <c r="A1865" s="22">
        <v>41898.194444444445</v>
      </c>
      <c r="B1865">
        <v>444</v>
      </c>
      <c r="C1865">
        <v>94.1</v>
      </c>
      <c r="D1865">
        <v>9.8000000000000007</v>
      </c>
      <c r="E1865">
        <v>5.8</v>
      </c>
      <c r="G1865">
        <v>16</v>
      </c>
      <c r="H1865" s="23">
        <f t="shared" si="65"/>
        <v>4</v>
      </c>
    </row>
    <row r="1866" spans="1:8" x14ac:dyDescent="0.25">
      <c r="A1866" s="22">
        <v>41898.197916666664</v>
      </c>
      <c r="B1866">
        <v>438.9</v>
      </c>
      <c r="C1866">
        <v>94</v>
      </c>
      <c r="D1866">
        <v>9.8000000000000007</v>
      </c>
      <c r="E1866">
        <v>5.8</v>
      </c>
      <c r="G1866">
        <v>16</v>
      </c>
      <c r="H1866" s="23">
        <f t="shared" si="65"/>
        <v>4</v>
      </c>
    </row>
    <row r="1867" spans="1:8" x14ac:dyDescent="0.25">
      <c r="A1867" s="22">
        <v>41898.201388888891</v>
      </c>
      <c r="B1867">
        <v>432.5</v>
      </c>
      <c r="C1867">
        <v>93.9</v>
      </c>
      <c r="D1867">
        <v>9.6999999999999993</v>
      </c>
      <c r="E1867">
        <v>5.8</v>
      </c>
      <c r="G1867">
        <v>16</v>
      </c>
      <c r="H1867" s="23">
        <f t="shared" si="65"/>
        <v>4</v>
      </c>
    </row>
    <row r="1868" spans="1:8" x14ac:dyDescent="0.25">
      <c r="A1868" s="22">
        <v>41898.204861111109</v>
      </c>
      <c r="B1868">
        <v>427.9</v>
      </c>
      <c r="C1868">
        <v>94.1</v>
      </c>
      <c r="D1868">
        <v>9.6999999999999993</v>
      </c>
      <c r="E1868">
        <v>5.8</v>
      </c>
      <c r="G1868">
        <v>16</v>
      </c>
      <c r="H1868" s="23">
        <f t="shared" si="65"/>
        <v>4</v>
      </c>
    </row>
    <row r="1869" spans="1:8" x14ac:dyDescent="0.25">
      <c r="A1869" s="22">
        <v>41898.208333333336</v>
      </c>
      <c r="B1869">
        <v>425.9</v>
      </c>
      <c r="C1869">
        <v>94.1</v>
      </c>
      <c r="D1869">
        <v>9.6999999999999993</v>
      </c>
      <c r="E1869">
        <v>5.8</v>
      </c>
      <c r="G1869">
        <v>16</v>
      </c>
      <c r="H1869" s="23">
        <f t="shared" si="65"/>
        <v>5</v>
      </c>
    </row>
    <row r="1870" spans="1:8" x14ac:dyDescent="0.25">
      <c r="A1870" s="22">
        <v>41898.211805555555</v>
      </c>
      <c r="B1870">
        <v>424.3</v>
      </c>
      <c r="C1870">
        <v>94.1</v>
      </c>
      <c r="D1870">
        <v>9.6999999999999993</v>
      </c>
      <c r="E1870">
        <v>5.8</v>
      </c>
      <c r="G1870">
        <v>16</v>
      </c>
      <c r="H1870" s="23">
        <f t="shared" si="65"/>
        <v>5</v>
      </c>
    </row>
    <row r="1871" spans="1:8" x14ac:dyDescent="0.25">
      <c r="A1871" s="22">
        <v>41898.215277777781</v>
      </c>
      <c r="B1871">
        <v>424</v>
      </c>
      <c r="C1871">
        <v>94</v>
      </c>
      <c r="D1871">
        <v>9.6999999999999993</v>
      </c>
      <c r="E1871">
        <v>5.8</v>
      </c>
      <c r="G1871">
        <v>16</v>
      </c>
      <c r="H1871" s="23">
        <f t="shared" si="65"/>
        <v>5</v>
      </c>
    </row>
    <row r="1872" spans="1:8" x14ac:dyDescent="0.25">
      <c r="A1872" s="22">
        <v>41898.21875</v>
      </c>
      <c r="B1872">
        <v>421.5</v>
      </c>
      <c r="C1872">
        <v>94</v>
      </c>
      <c r="D1872">
        <v>9.6</v>
      </c>
      <c r="E1872">
        <v>5.8</v>
      </c>
      <c r="G1872">
        <v>16</v>
      </c>
      <c r="H1872" s="23">
        <f t="shared" si="65"/>
        <v>5</v>
      </c>
    </row>
    <row r="1873" spans="1:8" x14ac:dyDescent="0.25">
      <c r="A1873" s="22">
        <v>41898.222222222219</v>
      </c>
      <c r="B1873">
        <v>418.7</v>
      </c>
      <c r="C1873">
        <v>94.1</v>
      </c>
      <c r="D1873">
        <v>9.6</v>
      </c>
      <c r="E1873">
        <v>5.8</v>
      </c>
      <c r="G1873">
        <v>16</v>
      </c>
      <c r="H1873" s="23">
        <f t="shared" si="65"/>
        <v>5</v>
      </c>
    </row>
    <row r="1874" spans="1:8" x14ac:dyDescent="0.25">
      <c r="A1874" s="22">
        <v>41898.996527777781</v>
      </c>
      <c r="B1874">
        <v>435.6</v>
      </c>
      <c r="C1874">
        <v>94.1</v>
      </c>
      <c r="D1874">
        <v>10</v>
      </c>
      <c r="E1874">
        <v>6</v>
      </c>
      <c r="G1874">
        <v>16</v>
      </c>
      <c r="H1874" s="23">
        <f t="shared" si="65"/>
        <v>23</v>
      </c>
    </row>
    <row r="1875" spans="1:8" x14ac:dyDescent="0.25">
      <c r="A1875" s="22">
        <v>41899</v>
      </c>
      <c r="B1875">
        <v>477.2</v>
      </c>
      <c r="C1875">
        <v>94.3</v>
      </c>
      <c r="D1875">
        <v>10.7</v>
      </c>
      <c r="E1875">
        <v>6.3</v>
      </c>
      <c r="G1875">
        <v>17</v>
      </c>
      <c r="H1875" s="23">
        <f t="shared" si="65"/>
        <v>0</v>
      </c>
    </row>
    <row r="1876" spans="1:8" x14ac:dyDescent="0.25">
      <c r="A1876" s="22">
        <v>41899.003472222219</v>
      </c>
      <c r="B1876">
        <v>476.8</v>
      </c>
      <c r="C1876">
        <v>94.2</v>
      </c>
      <c r="D1876">
        <v>10.7</v>
      </c>
      <c r="E1876">
        <v>6.3</v>
      </c>
      <c r="G1876">
        <v>17</v>
      </c>
      <c r="H1876" s="23">
        <f t="shared" si="65"/>
        <v>0</v>
      </c>
    </row>
    <row r="1877" spans="1:8" x14ac:dyDescent="0.25">
      <c r="A1877" s="22">
        <v>41899.006944444445</v>
      </c>
      <c r="B1877">
        <v>474.4</v>
      </c>
      <c r="C1877">
        <v>94.2</v>
      </c>
      <c r="D1877">
        <v>10.7</v>
      </c>
      <c r="E1877">
        <v>6.3</v>
      </c>
      <c r="G1877">
        <v>17</v>
      </c>
      <c r="H1877" s="23">
        <f t="shared" si="65"/>
        <v>0</v>
      </c>
    </row>
    <row r="1878" spans="1:8" x14ac:dyDescent="0.25">
      <c r="A1878" s="22">
        <v>41899.010416666664</v>
      </c>
      <c r="B1878">
        <v>470.2</v>
      </c>
      <c r="C1878">
        <v>94.3</v>
      </c>
      <c r="D1878">
        <v>10.6</v>
      </c>
      <c r="E1878">
        <v>6.3</v>
      </c>
      <c r="G1878">
        <v>17</v>
      </c>
      <c r="H1878" s="23">
        <f t="shared" si="65"/>
        <v>0</v>
      </c>
    </row>
    <row r="1879" spans="1:8" x14ac:dyDescent="0.25">
      <c r="A1879" s="22">
        <v>41899.013888888891</v>
      </c>
      <c r="B1879">
        <v>468.7</v>
      </c>
      <c r="C1879">
        <v>94.2</v>
      </c>
      <c r="D1879">
        <v>10.6</v>
      </c>
      <c r="E1879">
        <v>6.3</v>
      </c>
      <c r="G1879">
        <v>17</v>
      </c>
      <c r="H1879" s="23">
        <f t="shared" si="65"/>
        <v>0</v>
      </c>
    </row>
    <row r="1880" spans="1:8" x14ac:dyDescent="0.25">
      <c r="A1880" s="22">
        <v>41899.017361111109</v>
      </c>
      <c r="B1880">
        <v>468.4</v>
      </c>
      <c r="C1880">
        <v>94.1</v>
      </c>
      <c r="D1880">
        <v>10.6</v>
      </c>
      <c r="E1880">
        <v>6.3</v>
      </c>
      <c r="G1880">
        <v>17</v>
      </c>
      <c r="H1880" s="23">
        <f t="shared" si="65"/>
        <v>0</v>
      </c>
    </row>
    <row r="1881" spans="1:8" x14ac:dyDescent="0.25">
      <c r="A1881" s="22">
        <v>41899.020833333336</v>
      </c>
      <c r="B1881">
        <v>467.8</v>
      </c>
      <c r="C1881">
        <v>94.2</v>
      </c>
      <c r="D1881">
        <v>10.5</v>
      </c>
      <c r="E1881">
        <v>6.3</v>
      </c>
      <c r="G1881">
        <v>17</v>
      </c>
      <c r="H1881" s="23">
        <f t="shared" si="65"/>
        <v>0</v>
      </c>
    </row>
    <row r="1882" spans="1:8" x14ac:dyDescent="0.25">
      <c r="A1882" s="22">
        <v>41899.024305555555</v>
      </c>
      <c r="B1882">
        <v>468.5</v>
      </c>
      <c r="C1882">
        <v>94.2</v>
      </c>
      <c r="D1882">
        <v>10.5</v>
      </c>
      <c r="E1882">
        <v>6.2</v>
      </c>
      <c r="G1882">
        <v>17</v>
      </c>
      <c r="H1882" s="23">
        <f t="shared" si="65"/>
        <v>0</v>
      </c>
    </row>
    <row r="1883" spans="1:8" x14ac:dyDescent="0.25">
      <c r="A1883" s="22">
        <v>41899.027777777781</v>
      </c>
      <c r="B1883">
        <v>468.3</v>
      </c>
      <c r="C1883">
        <v>94.2</v>
      </c>
      <c r="D1883">
        <v>10.5</v>
      </c>
      <c r="E1883">
        <v>6.2</v>
      </c>
      <c r="G1883">
        <v>17</v>
      </c>
      <c r="H1883" s="23">
        <f t="shared" si="65"/>
        <v>0</v>
      </c>
    </row>
    <row r="1884" spans="1:8" x14ac:dyDescent="0.25">
      <c r="A1884" s="22">
        <v>41899.03125</v>
      </c>
      <c r="B1884">
        <v>469.7</v>
      </c>
      <c r="C1884">
        <v>94.2</v>
      </c>
      <c r="D1884">
        <v>10.5</v>
      </c>
      <c r="E1884">
        <v>6.2</v>
      </c>
      <c r="G1884">
        <v>17</v>
      </c>
      <c r="H1884" s="23">
        <f t="shared" si="65"/>
        <v>0</v>
      </c>
    </row>
    <row r="1885" spans="1:8" x14ac:dyDescent="0.25">
      <c r="A1885" s="22">
        <v>41899.034722222219</v>
      </c>
      <c r="B1885">
        <v>472.8</v>
      </c>
      <c r="C1885">
        <v>94.1</v>
      </c>
      <c r="D1885">
        <v>10.4</v>
      </c>
      <c r="E1885">
        <v>6.1</v>
      </c>
      <c r="G1885">
        <v>17</v>
      </c>
      <c r="H1885" s="23">
        <f t="shared" si="65"/>
        <v>0</v>
      </c>
    </row>
    <row r="1886" spans="1:8" x14ac:dyDescent="0.25">
      <c r="A1886" s="22">
        <v>41899.038194444445</v>
      </c>
      <c r="B1886">
        <v>476.4</v>
      </c>
      <c r="C1886">
        <v>94</v>
      </c>
      <c r="D1886">
        <v>10.4</v>
      </c>
      <c r="E1886">
        <v>6</v>
      </c>
      <c r="G1886">
        <v>17</v>
      </c>
      <c r="H1886" s="23">
        <f t="shared" si="65"/>
        <v>0</v>
      </c>
    </row>
    <row r="1887" spans="1:8" x14ac:dyDescent="0.25">
      <c r="A1887" s="22">
        <v>41899.041666666664</v>
      </c>
      <c r="B1887">
        <v>487.7</v>
      </c>
      <c r="C1887">
        <v>94.1</v>
      </c>
      <c r="D1887">
        <v>10.4</v>
      </c>
      <c r="E1887">
        <v>5.9</v>
      </c>
      <c r="G1887">
        <v>17</v>
      </c>
      <c r="H1887" s="23">
        <f t="shared" si="65"/>
        <v>1</v>
      </c>
    </row>
    <row r="1888" spans="1:8" x14ac:dyDescent="0.25">
      <c r="A1888" s="22">
        <v>41899.045138888891</v>
      </c>
      <c r="B1888">
        <v>490.7</v>
      </c>
      <c r="C1888">
        <v>94.1</v>
      </c>
      <c r="D1888">
        <v>10.4</v>
      </c>
      <c r="E1888">
        <v>5.9</v>
      </c>
      <c r="G1888">
        <v>17</v>
      </c>
      <c r="H1888" s="23">
        <f t="shared" si="65"/>
        <v>1</v>
      </c>
    </row>
    <row r="1889" spans="1:8" x14ac:dyDescent="0.25">
      <c r="A1889" s="22">
        <v>41899.048611111109</v>
      </c>
      <c r="B1889">
        <v>497.5</v>
      </c>
      <c r="C1889">
        <v>94.1</v>
      </c>
      <c r="D1889">
        <v>10.5</v>
      </c>
      <c r="E1889">
        <v>6</v>
      </c>
      <c r="G1889">
        <v>17</v>
      </c>
      <c r="H1889" s="23">
        <f t="shared" si="65"/>
        <v>1</v>
      </c>
    </row>
    <row r="1890" spans="1:8" x14ac:dyDescent="0.25">
      <c r="A1890" s="22">
        <v>41899.052083333336</v>
      </c>
      <c r="B1890">
        <v>498.7</v>
      </c>
      <c r="C1890">
        <v>94</v>
      </c>
      <c r="D1890">
        <v>10.7</v>
      </c>
      <c r="E1890">
        <v>6.2</v>
      </c>
      <c r="G1890">
        <v>17</v>
      </c>
      <c r="H1890" s="23">
        <f t="shared" si="65"/>
        <v>1</v>
      </c>
    </row>
    <row r="1891" spans="1:8" x14ac:dyDescent="0.25">
      <c r="A1891" s="22">
        <v>41899.055555555555</v>
      </c>
      <c r="B1891">
        <v>506.7</v>
      </c>
      <c r="C1891">
        <v>94.1</v>
      </c>
      <c r="D1891">
        <v>10.9</v>
      </c>
      <c r="E1891">
        <v>6.3</v>
      </c>
      <c r="G1891">
        <v>17</v>
      </c>
      <c r="H1891" s="23">
        <f t="shared" si="65"/>
        <v>1</v>
      </c>
    </row>
    <row r="1892" spans="1:8" x14ac:dyDescent="0.25">
      <c r="A1892" s="22">
        <v>41899.059027777781</v>
      </c>
      <c r="B1892">
        <v>518.5</v>
      </c>
      <c r="C1892">
        <v>94.2</v>
      </c>
      <c r="D1892">
        <v>11</v>
      </c>
      <c r="E1892">
        <v>6.3</v>
      </c>
      <c r="G1892">
        <v>17</v>
      </c>
      <c r="H1892" s="23">
        <f t="shared" si="65"/>
        <v>1</v>
      </c>
    </row>
    <row r="1893" spans="1:8" x14ac:dyDescent="0.25">
      <c r="A1893" s="22">
        <v>41899.0625</v>
      </c>
      <c r="B1893">
        <v>260.2</v>
      </c>
      <c r="C1893">
        <v>90.6</v>
      </c>
      <c r="D1893">
        <v>11.3</v>
      </c>
      <c r="E1893">
        <v>8.8000000000000007</v>
      </c>
      <c r="G1893">
        <v>17</v>
      </c>
      <c r="H1893" s="23">
        <f t="shared" si="65"/>
        <v>1</v>
      </c>
    </row>
    <row r="1894" spans="1:8" x14ac:dyDescent="0.25">
      <c r="A1894" s="22">
        <v>41899.065972222219</v>
      </c>
      <c r="B1894">
        <v>247.4</v>
      </c>
      <c r="C1894">
        <v>90.6</v>
      </c>
      <c r="D1894">
        <v>11.5</v>
      </c>
      <c r="E1894">
        <v>9.1</v>
      </c>
      <c r="G1894">
        <v>17</v>
      </c>
      <c r="H1894" s="23">
        <f t="shared" si="65"/>
        <v>1</v>
      </c>
    </row>
    <row r="1895" spans="1:8" x14ac:dyDescent="0.25">
      <c r="A1895" s="22">
        <v>41899.069444444445</v>
      </c>
      <c r="B1895">
        <v>137.30000000000001</v>
      </c>
      <c r="C1895">
        <v>86.1</v>
      </c>
      <c r="D1895">
        <v>11.5</v>
      </c>
      <c r="E1895">
        <v>10.4</v>
      </c>
      <c r="G1895">
        <v>17</v>
      </c>
      <c r="H1895" s="23">
        <f t="shared" si="65"/>
        <v>1</v>
      </c>
    </row>
    <row r="1896" spans="1:8" x14ac:dyDescent="0.25">
      <c r="A1896" s="22">
        <v>41899.072916666664</v>
      </c>
      <c r="B1896">
        <v>277.39999999999998</v>
      </c>
      <c r="C1896">
        <v>94.5</v>
      </c>
      <c r="D1896">
        <v>11.7</v>
      </c>
      <c r="E1896">
        <v>9.1999999999999993</v>
      </c>
      <c r="G1896">
        <v>17</v>
      </c>
      <c r="H1896" s="23">
        <f t="shared" si="65"/>
        <v>1</v>
      </c>
    </row>
    <row r="1897" spans="1:8" x14ac:dyDescent="0.25">
      <c r="A1897" s="22">
        <v>41899.076388888891</v>
      </c>
      <c r="B1897">
        <v>524.4</v>
      </c>
      <c r="C1897">
        <v>94.2</v>
      </c>
      <c r="D1897">
        <v>12.1</v>
      </c>
      <c r="E1897">
        <v>7.3</v>
      </c>
      <c r="G1897">
        <v>17</v>
      </c>
      <c r="H1897" s="23">
        <f t="shared" si="65"/>
        <v>1</v>
      </c>
    </row>
    <row r="1898" spans="1:8" x14ac:dyDescent="0.25">
      <c r="A1898" s="22">
        <v>41899.079861111109</v>
      </c>
      <c r="B1898">
        <v>538</v>
      </c>
      <c r="C1898">
        <v>94.2</v>
      </c>
      <c r="D1898">
        <v>12.4</v>
      </c>
      <c r="E1898">
        <v>7.5</v>
      </c>
      <c r="G1898">
        <v>17</v>
      </c>
      <c r="H1898" s="23">
        <f t="shared" si="65"/>
        <v>1</v>
      </c>
    </row>
    <row r="1899" spans="1:8" x14ac:dyDescent="0.25">
      <c r="A1899" s="22">
        <v>41899.083333333336</v>
      </c>
      <c r="B1899">
        <v>517.79999999999995</v>
      </c>
      <c r="C1899">
        <v>94.2</v>
      </c>
      <c r="D1899">
        <v>12.6</v>
      </c>
      <c r="E1899">
        <v>7.9</v>
      </c>
      <c r="G1899">
        <v>17</v>
      </c>
      <c r="H1899" s="23">
        <f t="shared" si="65"/>
        <v>2</v>
      </c>
    </row>
    <row r="1900" spans="1:8" x14ac:dyDescent="0.25">
      <c r="A1900" s="22">
        <v>41899.086805555555</v>
      </c>
      <c r="B1900">
        <v>516.6</v>
      </c>
      <c r="C1900">
        <v>94.3</v>
      </c>
      <c r="D1900">
        <v>12.6</v>
      </c>
      <c r="E1900">
        <v>7.9</v>
      </c>
      <c r="G1900">
        <v>17</v>
      </c>
      <c r="H1900" s="23">
        <f t="shared" si="65"/>
        <v>2</v>
      </c>
    </row>
    <row r="1901" spans="1:8" x14ac:dyDescent="0.25">
      <c r="A1901" s="22">
        <v>41899.090277777781</v>
      </c>
      <c r="B1901">
        <v>517.20000000000005</v>
      </c>
      <c r="C1901">
        <v>94.4</v>
      </c>
      <c r="D1901">
        <v>12.6</v>
      </c>
      <c r="E1901">
        <v>7.9</v>
      </c>
      <c r="G1901">
        <v>17</v>
      </c>
      <c r="H1901" s="23">
        <f t="shared" si="65"/>
        <v>2</v>
      </c>
    </row>
    <row r="1902" spans="1:8" x14ac:dyDescent="0.25">
      <c r="A1902" s="22">
        <v>41899.09375</v>
      </c>
      <c r="B1902">
        <v>516.29999999999995</v>
      </c>
      <c r="C1902">
        <v>94.2</v>
      </c>
      <c r="D1902">
        <v>12.6</v>
      </c>
      <c r="E1902">
        <v>7.9</v>
      </c>
      <c r="G1902">
        <v>17</v>
      </c>
      <c r="H1902" s="23">
        <f t="shared" si="65"/>
        <v>2</v>
      </c>
    </row>
    <row r="1903" spans="1:8" x14ac:dyDescent="0.25">
      <c r="A1903" s="22">
        <v>41899.097222222219</v>
      </c>
      <c r="B1903">
        <v>516.29999999999995</v>
      </c>
      <c r="C1903">
        <v>94.3</v>
      </c>
      <c r="D1903">
        <v>12.7</v>
      </c>
      <c r="E1903">
        <v>8</v>
      </c>
      <c r="G1903">
        <v>17</v>
      </c>
      <c r="H1903" s="23">
        <f t="shared" si="65"/>
        <v>2</v>
      </c>
    </row>
    <row r="1904" spans="1:8" x14ac:dyDescent="0.25">
      <c r="A1904" s="22">
        <v>41899.100694444445</v>
      </c>
      <c r="B1904">
        <v>514.5</v>
      </c>
      <c r="C1904">
        <v>94.3</v>
      </c>
      <c r="D1904">
        <v>12.7</v>
      </c>
      <c r="E1904">
        <v>8.1</v>
      </c>
      <c r="G1904">
        <v>17</v>
      </c>
      <c r="H1904" s="23">
        <f t="shared" si="65"/>
        <v>2</v>
      </c>
    </row>
    <row r="1905" spans="1:8" x14ac:dyDescent="0.25">
      <c r="A1905" s="22">
        <v>41899.104166666664</v>
      </c>
      <c r="B1905">
        <v>515.79999999999995</v>
      </c>
      <c r="C1905">
        <v>95.5</v>
      </c>
      <c r="D1905">
        <v>12.8</v>
      </c>
      <c r="E1905">
        <v>8.1999999999999993</v>
      </c>
      <c r="G1905">
        <v>17</v>
      </c>
      <c r="H1905" s="23">
        <f t="shared" si="65"/>
        <v>2</v>
      </c>
    </row>
    <row r="1906" spans="1:8" x14ac:dyDescent="0.25">
      <c r="A1906" s="22">
        <v>41899.107638888891</v>
      </c>
      <c r="B1906">
        <v>514.29999999999995</v>
      </c>
      <c r="C1906">
        <v>92.3</v>
      </c>
      <c r="D1906">
        <v>12.9</v>
      </c>
      <c r="E1906">
        <v>8.1999999999999993</v>
      </c>
      <c r="G1906">
        <v>17</v>
      </c>
      <c r="H1906" s="23">
        <f t="shared" si="65"/>
        <v>2</v>
      </c>
    </row>
    <row r="1907" spans="1:8" x14ac:dyDescent="0.25">
      <c r="A1907" s="22">
        <v>41899.111111111109</v>
      </c>
      <c r="B1907">
        <v>515.4</v>
      </c>
      <c r="C1907">
        <v>93.9</v>
      </c>
      <c r="D1907">
        <v>13</v>
      </c>
      <c r="E1907">
        <v>8.3000000000000007</v>
      </c>
      <c r="G1907">
        <v>17</v>
      </c>
      <c r="H1907" s="23">
        <f t="shared" si="65"/>
        <v>2</v>
      </c>
    </row>
    <row r="1908" spans="1:8" x14ac:dyDescent="0.25">
      <c r="A1908" s="22">
        <v>41899.114583333336</v>
      </c>
      <c r="B1908">
        <v>521</v>
      </c>
      <c r="C1908">
        <v>93.9</v>
      </c>
      <c r="D1908">
        <v>13</v>
      </c>
      <c r="E1908">
        <v>8.3000000000000007</v>
      </c>
      <c r="G1908">
        <v>17</v>
      </c>
      <c r="H1908" s="23">
        <f t="shared" si="65"/>
        <v>2</v>
      </c>
    </row>
    <row r="1909" spans="1:8" x14ac:dyDescent="0.25">
      <c r="A1909" s="22">
        <v>41899.118055555555</v>
      </c>
      <c r="B1909">
        <v>526.5</v>
      </c>
      <c r="C1909">
        <v>94.7</v>
      </c>
      <c r="D1909">
        <v>13.1</v>
      </c>
      <c r="E1909">
        <v>8.3000000000000007</v>
      </c>
      <c r="G1909">
        <v>17</v>
      </c>
      <c r="H1909" s="23">
        <f t="shared" si="65"/>
        <v>2</v>
      </c>
    </row>
    <row r="1910" spans="1:8" x14ac:dyDescent="0.25">
      <c r="A1910" s="22">
        <v>41899.121527777781</v>
      </c>
      <c r="B1910">
        <v>527.70000000000005</v>
      </c>
      <c r="C1910">
        <v>94.8</v>
      </c>
      <c r="D1910">
        <v>13.1</v>
      </c>
      <c r="E1910">
        <v>8.3000000000000007</v>
      </c>
      <c r="G1910">
        <v>17</v>
      </c>
      <c r="H1910" s="23">
        <f t="shared" si="65"/>
        <v>2</v>
      </c>
    </row>
    <row r="1911" spans="1:8" x14ac:dyDescent="0.25">
      <c r="A1911" s="22">
        <v>41899.125</v>
      </c>
      <c r="B1911">
        <v>530</v>
      </c>
      <c r="C1911">
        <v>94.1</v>
      </c>
      <c r="D1911">
        <v>13.2</v>
      </c>
      <c r="E1911">
        <v>8.3000000000000007</v>
      </c>
      <c r="G1911">
        <v>17</v>
      </c>
      <c r="H1911" s="23">
        <f t="shared" si="65"/>
        <v>3</v>
      </c>
    </row>
    <row r="1912" spans="1:8" x14ac:dyDescent="0.25">
      <c r="A1912" s="22">
        <v>41899.128472222219</v>
      </c>
      <c r="B1912">
        <v>529.5</v>
      </c>
      <c r="C1912">
        <v>94.2</v>
      </c>
      <c r="D1912">
        <v>13.2</v>
      </c>
      <c r="E1912">
        <v>8.4</v>
      </c>
      <c r="G1912">
        <v>17</v>
      </c>
      <c r="H1912" s="23">
        <f t="shared" si="65"/>
        <v>3</v>
      </c>
    </row>
    <row r="1913" spans="1:8" x14ac:dyDescent="0.25">
      <c r="A1913" s="22">
        <v>41899.131944444445</v>
      </c>
      <c r="B1913">
        <v>529.5</v>
      </c>
      <c r="C1913">
        <v>94.2</v>
      </c>
      <c r="D1913">
        <v>13.2</v>
      </c>
      <c r="E1913">
        <v>8.4</v>
      </c>
      <c r="G1913">
        <v>17</v>
      </c>
      <c r="H1913" s="23">
        <f t="shared" si="65"/>
        <v>3</v>
      </c>
    </row>
    <row r="1914" spans="1:8" x14ac:dyDescent="0.25">
      <c r="A1914" s="22">
        <v>41899.135416666664</v>
      </c>
      <c r="B1914">
        <v>529.4</v>
      </c>
      <c r="C1914">
        <v>94.3</v>
      </c>
      <c r="D1914">
        <v>13.2</v>
      </c>
      <c r="E1914">
        <v>8.4</v>
      </c>
      <c r="G1914">
        <v>17</v>
      </c>
      <c r="H1914" s="23">
        <f t="shared" si="65"/>
        <v>3</v>
      </c>
    </row>
    <row r="1915" spans="1:8" x14ac:dyDescent="0.25">
      <c r="A1915" s="22">
        <v>41899.138888888891</v>
      </c>
      <c r="B1915">
        <v>529.1</v>
      </c>
      <c r="C1915">
        <v>94.1</v>
      </c>
      <c r="D1915">
        <v>13.2</v>
      </c>
      <c r="E1915">
        <v>8.4</v>
      </c>
      <c r="G1915">
        <v>17</v>
      </c>
      <c r="H1915" s="23">
        <f t="shared" si="65"/>
        <v>3</v>
      </c>
    </row>
    <row r="1916" spans="1:8" x14ac:dyDescent="0.25">
      <c r="A1916" s="22">
        <v>41899.142361111109</v>
      </c>
      <c r="B1916">
        <v>530.20000000000005</v>
      </c>
      <c r="C1916">
        <v>94.2</v>
      </c>
      <c r="D1916">
        <v>13.2</v>
      </c>
      <c r="E1916">
        <v>8.4</v>
      </c>
      <c r="G1916">
        <v>17</v>
      </c>
      <c r="H1916" s="23">
        <f t="shared" si="65"/>
        <v>3</v>
      </c>
    </row>
    <row r="1917" spans="1:8" x14ac:dyDescent="0.25">
      <c r="A1917" s="22">
        <v>41899.145833333336</v>
      </c>
      <c r="B1917">
        <v>529.70000000000005</v>
      </c>
      <c r="C1917">
        <v>94.1</v>
      </c>
      <c r="D1917">
        <v>13.3</v>
      </c>
      <c r="E1917">
        <v>8.4</v>
      </c>
      <c r="G1917">
        <v>17</v>
      </c>
      <c r="H1917" s="23">
        <f t="shared" si="65"/>
        <v>3</v>
      </c>
    </row>
    <row r="1918" spans="1:8" x14ac:dyDescent="0.25">
      <c r="A1918" s="22">
        <v>41899.149305555555</v>
      </c>
      <c r="B1918">
        <v>530.70000000000005</v>
      </c>
      <c r="C1918">
        <v>94.2</v>
      </c>
      <c r="D1918">
        <v>13.3</v>
      </c>
      <c r="E1918">
        <v>8.4</v>
      </c>
      <c r="G1918">
        <v>17</v>
      </c>
      <c r="H1918" s="23">
        <f t="shared" si="65"/>
        <v>3</v>
      </c>
    </row>
    <row r="1919" spans="1:8" x14ac:dyDescent="0.25">
      <c r="A1919" s="22">
        <v>41899.152777777781</v>
      </c>
      <c r="B1919">
        <v>530.1</v>
      </c>
      <c r="C1919">
        <v>94.2</v>
      </c>
      <c r="D1919">
        <v>13.3</v>
      </c>
      <c r="E1919">
        <v>8.5</v>
      </c>
      <c r="G1919">
        <v>17</v>
      </c>
      <c r="H1919" s="23">
        <f t="shared" si="65"/>
        <v>3</v>
      </c>
    </row>
    <row r="1920" spans="1:8" x14ac:dyDescent="0.25">
      <c r="A1920" s="22">
        <v>41899.15625</v>
      </c>
      <c r="B1920">
        <v>531.70000000000005</v>
      </c>
      <c r="C1920">
        <v>94.2</v>
      </c>
      <c r="D1920">
        <v>13.3</v>
      </c>
      <c r="E1920">
        <v>8.4</v>
      </c>
      <c r="G1920">
        <v>17</v>
      </c>
      <c r="H1920" s="23">
        <f t="shared" si="65"/>
        <v>3</v>
      </c>
    </row>
    <row r="1921" spans="1:8" x14ac:dyDescent="0.25">
      <c r="A1921" s="22">
        <v>41899.159722222219</v>
      </c>
      <c r="B1921">
        <v>531.29999999999995</v>
      </c>
      <c r="C1921">
        <v>94.2</v>
      </c>
      <c r="D1921">
        <v>13.3</v>
      </c>
      <c r="E1921">
        <v>8.5</v>
      </c>
      <c r="G1921">
        <v>17</v>
      </c>
      <c r="H1921" s="23">
        <f t="shared" si="65"/>
        <v>3</v>
      </c>
    </row>
    <row r="1922" spans="1:8" x14ac:dyDescent="0.25">
      <c r="A1922" s="22">
        <v>41899.163194444445</v>
      </c>
      <c r="B1922">
        <v>531.1</v>
      </c>
      <c r="C1922">
        <v>94.2</v>
      </c>
      <c r="D1922">
        <v>13.3</v>
      </c>
      <c r="E1922">
        <v>8.5</v>
      </c>
      <c r="G1922">
        <v>17</v>
      </c>
      <c r="H1922" s="23">
        <f t="shared" si="65"/>
        <v>3</v>
      </c>
    </row>
    <row r="1923" spans="1:8" x14ac:dyDescent="0.25">
      <c r="A1923" s="22">
        <v>41899.166666666664</v>
      </c>
      <c r="B1923">
        <v>532.29999999999995</v>
      </c>
      <c r="C1923">
        <v>94.3</v>
      </c>
      <c r="D1923">
        <v>13.3</v>
      </c>
      <c r="E1923">
        <v>8.5</v>
      </c>
      <c r="G1923">
        <v>17</v>
      </c>
      <c r="H1923" s="23">
        <f t="shared" si="65"/>
        <v>4</v>
      </c>
    </row>
    <row r="1924" spans="1:8" x14ac:dyDescent="0.25">
      <c r="A1924" s="22">
        <v>41899.170138888891</v>
      </c>
      <c r="B1924">
        <v>533.1</v>
      </c>
      <c r="C1924">
        <v>94.2</v>
      </c>
      <c r="D1924">
        <v>13.3</v>
      </c>
      <c r="E1924">
        <v>8.5</v>
      </c>
      <c r="G1924">
        <v>17</v>
      </c>
      <c r="H1924" s="23">
        <f t="shared" si="65"/>
        <v>4</v>
      </c>
    </row>
    <row r="1925" spans="1:8" x14ac:dyDescent="0.25">
      <c r="A1925" s="22">
        <v>41899.173611111109</v>
      </c>
      <c r="B1925">
        <v>533.9</v>
      </c>
      <c r="C1925">
        <v>94.2</v>
      </c>
      <c r="D1925">
        <v>13.3</v>
      </c>
      <c r="E1925">
        <v>8.5</v>
      </c>
      <c r="G1925">
        <v>17</v>
      </c>
      <c r="H1925" s="23">
        <f t="shared" si="65"/>
        <v>4</v>
      </c>
    </row>
    <row r="1926" spans="1:8" x14ac:dyDescent="0.25">
      <c r="A1926" s="22">
        <v>41899.177083333336</v>
      </c>
      <c r="B1926">
        <v>534</v>
      </c>
      <c r="C1926">
        <v>94.3</v>
      </c>
      <c r="D1926">
        <v>13.4</v>
      </c>
      <c r="E1926">
        <v>8.5</v>
      </c>
      <c r="G1926">
        <v>17</v>
      </c>
      <c r="H1926" s="23">
        <f t="shared" ref="H1926:H1989" si="66">+HOUR(A1926)</f>
        <v>4</v>
      </c>
    </row>
    <row r="1927" spans="1:8" x14ac:dyDescent="0.25">
      <c r="A1927" s="22">
        <v>41899.180555555555</v>
      </c>
      <c r="B1927">
        <v>535</v>
      </c>
      <c r="C1927">
        <v>94.3</v>
      </c>
      <c r="D1927">
        <v>13.4</v>
      </c>
      <c r="E1927">
        <v>8.5</v>
      </c>
      <c r="G1927">
        <v>17</v>
      </c>
      <c r="H1927" s="23">
        <f t="shared" si="66"/>
        <v>4</v>
      </c>
    </row>
    <row r="1928" spans="1:8" x14ac:dyDescent="0.25">
      <c r="A1928" s="22">
        <v>41899.184027777781</v>
      </c>
      <c r="B1928">
        <v>535.1</v>
      </c>
      <c r="C1928">
        <v>94.2</v>
      </c>
      <c r="D1928">
        <v>13.3</v>
      </c>
      <c r="E1928">
        <v>8.5</v>
      </c>
      <c r="G1928">
        <v>17</v>
      </c>
      <c r="H1928" s="23">
        <f t="shared" si="66"/>
        <v>4</v>
      </c>
    </row>
    <row r="1929" spans="1:8" x14ac:dyDescent="0.25">
      <c r="A1929" s="22">
        <v>41899.1875</v>
      </c>
      <c r="B1929">
        <v>533.79999999999995</v>
      </c>
      <c r="C1929">
        <v>94.1</v>
      </c>
      <c r="D1929">
        <v>13.3</v>
      </c>
      <c r="E1929">
        <v>8.5</v>
      </c>
      <c r="G1929">
        <v>17</v>
      </c>
      <c r="H1929" s="23">
        <f t="shared" si="66"/>
        <v>4</v>
      </c>
    </row>
    <row r="1930" spans="1:8" x14ac:dyDescent="0.25">
      <c r="A1930" s="22">
        <v>41899.190972222219</v>
      </c>
      <c r="B1930">
        <v>536.1</v>
      </c>
      <c r="C1930">
        <v>94.2</v>
      </c>
      <c r="D1930">
        <v>13.3</v>
      </c>
      <c r="E1930">
        <v>8.4</v>
      </c>
      <c r="G1930">
        <v>17</v>
      </c>
      <c r="H1930" s="23">
        <f t="shared" si="66"/>
        <v>4</v>
      </c>
    </row>
    <row r="1931" spans="1:8" x14ac:dyDescent="0.25">
      <c r="A1931" s="22">
        <v>41899.194444444445</v>
      </c>
      <c r="B1931">
        <v>538.5</v>
      </c>
      <c r="C1931">
        <v>94.3</v>
      </c>
      <c r="D1931">
        <v>13.3</v>
      </c>
      <c r="E1931">
        <v>8.4</v>
      </c>
      <c r="G1931">
        <v>17</v>
      </c>
      <c r="H1931" s="23">
        <f t="shared" si="66"/>
        <v>4</v>
      </c>
    </row>
    <row r="1932" spans="1:8" x14ac:dyDescent="0.25">
      <c r="A1932" s="22">
        <v>41899.197916666664</v>
      </c>
      <c r="B1932">
        <v>537.29999999999995</v>
      </c>
      <c r="C1932">
        <v>94.2</v>
      </c>
      <c r="D1932">
        <v>13.2</v>
      </c>
      <c r="E1932">
        <v>8.3000000000000007</v>
      </c>
      <c r="G1932">
        <v>17</v>
      </c>
      <c r="H1932" s="23">
        <f t="shared" si="66"/>
        <v>4</v>
      </c>
    </row>
    <row r="1933" spans="1:8" x14ac:dyDescent="0.25">
      <c r="A1933" s="22">
        <v>41899.201388888891</v>
      </c>
      <c r="B1933">
        <v>537</v>
      </c>
      <c r="C1933">
        <v>94.2</v>
      </c>
      <c r="D1933">
        <v>13.2</v>
      </c>
      <c r="E1933">
        <v>8.3000000000000007</v>
      </c>
      <c r="G1933">
        <v>17</v>
      </c>
      <c r="H1933" s="23">
        <f t="shared" si="66"/>
        <v>4</v>
      </c>
    </row>
    <row r="1934" spans="1:8" x14ac:dyDescent="0.25">
      <c r="A1934" s="22">
        <v>41899.204861111109</v>
      </c>
      <c r="B1934">
        <v>542.20000000000005</v>
      </c>
      <c r="C1934">
        <v>94.2</v>
      </c>
      <c r="D1934">
        <v>13.4</v>
      </c>
      <c r="E1934">
        <v>8.4</v>
      </c>
      <c r="G1934">
        <v>17</v>
      </c>
      <c r="H1934" s="23">
        <f t="shared" si="66"/>
        <v>4</v>
      </c>
    </row>
    <row r="1935" spans="1:8" x14ac:dyDescent="0.25">
      <c r="A1935" s="22">
        <v>41899.208333333336</v>
      </c>
      <c r="B1935">
        <v>547</v>
      </c>
      <c r="C1935">
        <v>94.3</v>
      </c>
      <c r="D1935">
        <v>13.7</v>
      </c>
      <c r="E1935">
        <v>8.6999999999999993</v>
      </c>
      <c r="G1935">
        <v>17</v>
      </c>
      <c r="H1935" s="23">
        <f t="shared" si="66"/>
        <v>5</v>
      </c>
    </row>
    <row r="1936" spans="1:8" x14ac:dyDescent="0.25">
      <c r="A1936" s="22">
        <v>41899.211805555555</v>
      </c>
      <c r="B1936">
        <v>547.1</v>
      </c>
      <c r="C1936">
        <v>94.3</v>
      </c>
      <c r="D1936">
        <v>13.9</v>
      </c>
      <c r="E1936">
        <v>8.9</v>
      </c>
      <c r="G1936">
        <v>17</v>
      </c>
      <c r="H1936" s="23">
        <f t="shared" si="66"/>
        <v>5</v>
      </c>
    </row>
    <row r="1937" spans="1:8" x14ac:dyDescent="0.25">
      <c r="A1937" s="22">
        <v>41899.215277777781</v>
      </c>
      <c r="B1937">
        <v>543.6</v>
      </c>
      <c r="C1937">
        <v>94.3</v>
      </c>
      <c r="D1937">
        <v>13.9</v>
      </c>
      <c r="E1937">
        <v>8.9</v>
      </c>
      <c r="G1937">
        <v>17</v>
      </c>
      <c r="H1937" s="23">
        <f t="shared" si="66"/>
        <v>5</v>
      </c>
    </row>
    <row r="1938" spans="1:8" x14ac:dyDescent="0.25">
      <c r="A1938" s="22">
        <v>41899.21875</v>
      </c>
      <c r="B1938">
        <v>545.4</v>
      </c>
      <c r="C1938">
        <v>94.2</v>
      </c>
      <c r="D1938">
        <v>13.9</v>
      </c>
      <c r="E1938">
        <v>8.9</v>
      </c>
      <c r="G1938">
        <v>17</v>
      </c>
      <c r="H1938" s="23">
        <f t="shared" si="66"/>
        <v>5</v>
      </c>
    </row>
    <row r="1939" spans="1:8" x14ac:dyDescent="0.25">
      <c r="A1939" s="22">
        <v>41899.222222222219</v>
      </c>
      <c r="B1939">
        <v>547.1</v>
      </c>
      <c r="C1939">
        <v>94.3</v>
      </c>
      <c r="D1939">
        <v>13.8</v>
      </c>
      <c r="E1939">
        <v>8.8000000000000007</v>
      </c>
      <c r="G1939">
        <v>17</v>
      </c>
      <c r="H1939" s="23">
        <f t="shared" si="66"/>
        <v>5</v>
      </c>
    </row>
    <row r="1940" spans="1:8" x14ac:dyDescent="0.25">
      <c r="A1940" s="22">
        <v>41899.225694444445</v>
      </c>
      <c r="B1940">
        <v>547.5</v>
      </c>
      <c r="C1940">
        <v>94.3</v>
      </c>
      <c r="D1940">
        <v>13.8</v>
      </c>
      <c r="E1940">
        <v>8.8000000000000007</v>
      </c>
      <c r="G1940">
        <v>17</v>
      </c>
      <c r="H1940" s="23">
        <f t="shared" si="66"/>
        <v>5</v>
      </c>
    </row>
    <row r="1941" spans="1:8" x14ac:dyDescent="0.25">
      <c r="A1941" s="22">
        <v>41899.229166666664</v>
      </c>
      <c r="B1941">
        <v>543</v>
      </c>
      <c r="C1941">
        <v>94.3</v>
      </c>
      <c r="D1941">
        <v>13.7</v>
      </c>
      <c r="E1941">
        <v>8.6999999999999993</v>
      </c>
      <c r="G1941">
        <v>17</v>
      </c>
      <c r="H1941" s="23">
        <f t="shared" si="66"/>
        <v>5</v>
      </c>
    </row>
    <row r="1942" spans="1:8" x14ac:dyDescent="0.25">
      <c r="A1942" s="22">
        <v>41899.232638888891</v>
      </c>
      <c r="B1942">
        <v>528.70000000000005</v>
      </c>
      <c r="C1942">
        <v>94.2</v>
      </c>
      <c r="D1942">
        <v>13.3</v>
      </c>
      <c r="E1942">
        <v>8.5</v>
      </c>
      <c r="G1942">
        <v>17</v>
      </c>
      <c r="H1942" s="23">
        <f t="shared" si="66"/>
        <v>5</v>
      </c>
    </row>
    <row r="1943" spans="1:8" x14ac:dyDescent="0.25">
      <c r="A1943" s="22">
        <v>41899.236111111109</v>
      </c>
      <c r="B1943">
        <v>511.2</v>
      </c>
      <c r="C1943">
        <v>94.3</v>
      </c>
      <c r="D1943">
        <v>12.3</v>
      </c>
      <c r="E1943">
        <v>7.6</v>
      </c>
      <c r="G1943">
        <v>17</v>
      </c>
      <c r="H1943" s="23">
        <f t="shared" si="66"/>
        <v>5</v>
      </c>
    </row>
    <row r="1944" spans="1:8" x14ac:dyDescent="0.25">
      <c r="A1944" s="22">
        <v>41899.239583333336</v>
      </c>
      <c r="B1944">
        <v>498.6</v>
      </c>
      <c r="C1944">
        <v>94.2</v>
      </c>
      <c r="D1944">
        <v>11.9</v>
      </c>
      <c r="E1944">
        <v>7.3</v>
      </c>
      <c r="G1944">
        <v>17</v>
      </c>
      <c r="H1944" s="23">
        <f t="shared" si="66"/>
        <v>5</v>
      </c>
    </row>
    <row r="1945" spans="1:8" x14ac:dyDescent="0.25">
      <c r="A1945" s="22">
        <v>41899.243055555555</v>
      </c>
      <c r="B1945">
        <v>512.1</v>
      </c>
      <c r="C1945">
        <v>94.3</v>
      </c>
      <c r="D1945">
        <v>12.5</v>
      </c>
      <c r="E1945">
        <v>7.9</v>
      </c>
      <c r="G1945">
        <v>17</v>
      </c>
      <c r="H1945" s="23">
        <f t="shared" si="66"/>
        <v>5</v>
      </c>
    </row>
    <row r="1946" spans="1:8" x14ac:dyDescent="0.25">
      <c r="A1946" s="22">
        <v>41899.246527777781</v>
      </c>
      <c r="B1946">
        <v>509.7</v>
      </c>
      <c r="C1946">
        <v>94.5</v>
      </c>
      <c r="D1946">
        <v>13.4</v>
      </c>
      <c r="E1946">
        <v>8.6999999999999993</v>
      </c>
      <c r="G1946">
        <v>17</v>
      </c>
      <c r="H1946" s="23">
        <f t="shared" si="66"/>
        <v>5</v>
      </c>
    </row>
    <row r="1947" spans="1:8" x14ac:dyDescent="0.25">
      <c r="A1947" s="22">
        <v>41899.25</v>
      </c>
      <c r="B1947">
        <v>504.7</v>
      </c>
      <c r="C1947">
        <v>94.4</v>
      </c>
      <c r="D1947">
        <v>13.2</v>
      </c>
      <c r="E1947">
        <v>8.6</v>
      </c>
      <c r="G1947">
        <v>17</v>
      </c>
      <c r="H1947" s="23">
        <f t="shared" si="66"/>
        <v>6</v>
      </c>
    </row>
    <row r="1948" spans="1:8" x14ac:dyDescent="0.25">
      <c r="A1948" s="22">
        <v>41899.253472222219</v>
      </c>
      <c r="B1948">
        <v>501.6</v>
      </c>
      <c r="C1948">
        <v>94.4</v>
      </c>
      <c r="D1948">
        <v>12.4</v>
      </c>
      <c r="E1948">
        <v>7.9</v>
      </c>
      <c r="G1948">
        <v>17</v>
      </c>
      <c r="H1948" s="23">
        <f t="shared" si="66"/>
        <v>6</v>
      </c>
    </row>
    <row r="1949" spans="1:8" x14ac:dyDescent="0.25">
      <c r="A1949" s="22">
        <v>41899.256944444445</v>
      </c>
      <c r="B1949">
        <v>505.2</v>
      </c>
      <c r="C1949">
        <v>94.4</v>
      </c>
      <c r="D1949">
        <v>12.3</v>
      </c>
      <c r="E1949">
        <v>7.7</v>
      </c>
      <c r="G1949">
        <v>17</v>
      </c>
      <c r="H1949" s="23">
        <f t="shared" si="66"/>
        <v>6</v>
      </c>
    </row>
    <row r="1950" spans="1:8" x14ac:dyDescent="0.25">
      <c r="A1950" s="22">
        <v>41899.260416666664</v>
      </c>
      <c r="B1950">
        <v>502.8</v>
      </c>
      <c r="C1950">
        <v>94.3</v>
      </c>
      <c r="D1950">
        <v>12.2</v>
      </c>
      <c r="E1950">
        <v>7.6</v>
      </c>
      <c r="G1950">
        <v>17</v>
      </c>
      <c r="H1950" s="23">
        <f t="shared" si="66"/>
        <v>6</v>
      </c>
    </row>
    <row r="1951" spans="1:8" x14ac:dyDescent="0.25">
      <c r="A1951" s="22">
        <v>41899.263888888891</v>
      </c>
      <c r="B1951">
        <v>498.7</v>
      </c>
      <c r="C1951">
        <v>94.3</v>
      </c>
      <c r="D1951">
        <v>12</v>
      </c>
      <c r="E1951">
        <v>7.5</v>
      </c>
      <c r="G1951">
        <v>17</v>
      </c>
      <c r="H1951" s="23">
        <f t="shared" si="66"/>
        <v>6</v>
      </c>
    </row>
    <row r="1952" spans="1:8" x14ac:dyDescent="0.25">
      <c r="A1952" s="22">
        <v>41899.267361111109</v>
      </c>
      <c r="B1952">
        <v>494.4</v>
      </c>
      <c r="C1952">
        <v>94.2</v>
      </c>
      <c r="D1952">
        <v>11.9</v>
      </c>
      <c r="E1952">
        <v>7.4</v>
      </c>
      <c r="G1952">
        <v>17</v>
      </c>
      <c r="H1952" s="23">
        <f t="shared" si="66"/>
        <v>6</v>
      </c>
    </row>
    <row r="1953" spans="1:8" x14ac:dyDescent="0.25">
      <c r="A1953" s="22">
        <v>41899.270833333336</v>
      </c>
      <c r="B1953">
        <v>491.3</v>
      </c>
      <c r="C1953">
        <v>94.2</v>
      </c>
      <c r="D1953">
        <v>11.7</v>
      </c>
      <c r="E1953">
        <v>7.2</v>
      </c>
      <c r="G1953">
        <v>17</v>
      </c>
      <c r="H1953" s="23">
        <f t="shared" si="66"/>
        <v>6</v>
      </c>
    </row>
    <row r="1954" spans="1:8" x14ac:dyDescent="0.25">
      <c r="A1954" s="22">
        <v>41899.274305555555</v>
      </c>
      <c r="B1954">
        <v>490</v>
      </c>
      <c r="C1954">
        <v>94.2</v>
      </c>
      <c r="D1954">
        <v>11.6</v>
      </c>
      <c r="E1954">
        <v>7.1</v>
      </c>
      <c r="G1954">
        <v>17</v>
      </c>
      <c r="H1954" s="23">
        <f t="shared" si="66"/>
        <v>6</v>
      </c>
    </row>
    <row r="1955" spans="1:8" x14ac:dyDescent="0.25">
      <c r="A1955" s="22">
        <v>41899.277777777781</v>
      </c>
      <c r="B1955">
        <v>486.8</v>
      </c>
      <c r="C1955">
        <v>94</v>
      </c>
      <c r="D1955">
        <v>11.4</v>
      </c>
      <c r="E1955">
        <v>7</v>
      </c>
      <c r="G1955">
        <v>17</v>
      </c>
      <c r="H1955" s="23">
        <f t="shared" si="66"/>
        <v>6</v>
      </c>
    </row>
    <row r="1956" spans="1:8" x14ac:dyDescent="0.25">
      <c r="A1956" s="22">
        <v>41899.28125</v>
      </c>
      <c r="B1956">
        <v>484.6</v>
      </c>
      <c r="C1956">
        <v>94.2</v>
      </c>
      <c r="D1956">
        <v>11.3</v>
      </c>
      <c r="E1956">
        <v>6.9</v>
      </c>
      <c r="G1956">
        <v>17</v>
      </c>
      <c r="H1956" s="23">
        <f t="shared" si="66"/>
        <v>6</v>
      </c>
    </row>
    <row r="1957" spans="1:8" x14ac:dyDescent="0.25">
      <c r="A1957" s="22">
        <v>41899.284722222219</v>
      </c>
      <c r="B1957">
        <v>487</v>
      </c>
      <c r="C1957">
        <v>94.2</v>
      </c>
      <c r="D1957">
        <v>11.1</v>
      </c>
      <c r="E1957">
        <v>6.7</v>
      </c>
      <c r="G1957">
        <v>17</v>
      </c>
      <c r="H1957" s="23">
        <f t="shared" si="66"/>
        <v>6</v>
      </c>
    </row>
    <row r="1958" spans="1:8" x14ac:dyDescent="0.25">
      <c r="A1958" s="22">
        <v>41899.288194444445</v>
      </c>
      <c r="B1958">
        <v>490.3</v>
      </c>
      <c r="C1958">
        <v>94.1</v>
      </c>
      <c r="D1958">
        <v>11</v>
      </c>
      <c r="E1958">
        <v>6.5</v>
      </c>
      <c r="G1958">
        <v>17</v>
      </c>
      <c r="H1958" s="23">
        <f t="shared" si="66"/>
        <v>6</v>
      </c>
    </row>
    <row r="1959" spans="1:8" x14ac:dyDescent="0.25">
      <c r="A1959" s="22">
        <v>41899.291666666664</v>
      </c>
      <c r="B1959">
        <v>488.4</v>
      </c>
      <c r="C1959">
        <v>94</v>
      </c>
      <c r="D1959">
        <v>10.9</v>
      </c>
      <c r="E1959">
        <v>6.4</v>
      </c>
      <c r="G1959">
        <v>17</v>
      </c>
      <c r="H1959" s="23">
        <f t="shared" si="66"/>
        <v>7</v>
      </c>
    </row>
    <row r="1960" spans="1:8" x14ac:dyDescent="0.25">
      <c r="A1960" s="22">
        <v>41899.295138888891</v>
      </c>
      <c r="B1960">
        <v>486.9</v>
      </c>
      <c r="C1960">
        <v>94</v>
      </c>
      <c r="D1960">
        <v>10.7</v>
      </c>
      <c r="E1960">
        <v>6.3</v>
      </c>
      <c r="G1960">
        <v>17</v>
      </c>
      <c r="H1960" s="23">
        <f t="shared" si="66"/>
        <v>7</v>
      </c>
    </row>
    <row r="1961" spans="1:8" x14ac:dyDescent="0.25">
      <c r="A1961" s="22">
        <v>41899.298611111109</v>
      </c>
      <c r="B1961">
        <v>482.6</v>
      </c>
      <c r="C1961">
        <v>94</v>
      </c>
      <c r="D1961">
        <v>10.6</v>
      </c>
      <c r="E1961">
        <v>6.2</v>
      </c>
      <c r="G1961">
        <v>17</v>
      </c>
      <c r="H1961" s="23">
        <f t="shared" si="66"/>
        <v>7</v>
      </c>
    </row>
    <row r="1962" spans="1:8" x14ac:dyDescent="0.25">
      <c r="A1962" s="22">
        <v>41899.302083333336</v>
      </c>
      <c r="B1962">
        <v>480.3</v>
      </c>
      <c r="C1962">
        <v>94.1</v>
      </c>
      <c r="D1962">
        <v>10.5</v>
      </c>
      <c r="E1962">
        <v>6.1</v>
      </c>
      <c r="G1962">
        <v>17</v>
      </c>
      <c r="H1962" s="23">
        <f t="shared" si="66"/>
        <v>7</v>
      </c>
    </row>
    <row r="1963" spans="1:8" x14ac:dyDescent="0.25">
      <c r="A1963" s="22">
        <v>41899.305555555555</v>
      </c>
      <c r="B1963">
        <v>503.7</v>
      </c>
      <c r="C1963">
        <v>94</v>
      </c>
      <c r="D1963">
        <v>11.3</v>
      </c>
      <c r="E1963">
        <v>6.7</v>
      </c>
      <c r="G1963">
        <v>17</v>
      </c>
      <c r="H1963" s="23">
        <f t="shared" si="66"/>
        <v>7</v>
      </c>
    </row>
    <row r="1964" spans="1:8" x14ac:dyDescent="0.25">
      <c r="A1964" s="22">
        <v>41899.309027777781</v>
      </c>
      <c r="B1964">
        <v>469.7</v>
      </c>
      <c r="C1964">
        <v>94</v>
      </c>
      <c r="D1964">
        <v>11.1</v>
      </c>
      <c r="E1964">
        <v>6.8</v>
      </c>
      <c r="G1964">
        <v>17</v>
      </c>
      <c r="H1964" s="23">
        <f t="shared" si="66"/>
        <v>7</v>
      </c>
    </row>
    <row r="1965" spans="1:8" x14ac:dyDescent="0.25">
      <c r="A1965" s="22">
        <v>41899.3125</v>
      </c>
      <c r="B1965">
        <v>473.2</v>
      </c>
      <c r="C1965">
        <v>94</v>
      </c>
      <c r="D1965">
        <v>10.5</v>
      </c>
      <c r="E1965">
        <v>6.2</v>
      </c>
      <c r="G1965">
        <v>17</v>
      </c>
      <c r="H1965" s="23">
        <f t="shared" si="66"/>
        <v>7</v>
      </c>
    </row>
    <row r="1966" spans="1:8" x14ac:dyDescent="0.25">
      <c r="A1966" s="22">
        <v>41899.315972222219</v>
      </c>
      <c r="B1966">
        <v>471.8</v>
      </c>
      <c r="C1966">
        <v>93.9</v>
      </c>
      <c r="D1966">
        <v>10.4</v>
      </c>
      <c r="E1966">
        <v>6.1</v>
      </c>
      <c r="G1966">
        <v>17</v>
      </c>
      <c r="H1966" s="23">
        <f t="shared" si="66"/>
        <v>7</v>
      </c>
    </row>
    <row r="1967" spans="1:8" x14ac:dyDescent="0.25">
      <c r="A1967" s="22">
        <v>41899.319444444445</v>
      </c>
      <c r="B1967">
        <v>470.5</v>
      </c>
      <c r="C1967">
        <v>94</v>
      </c>
      <c r="D1967">
        <v>10.4</v>
      </c>
      <c r="E1967">
        <v>6.1</v>
      </c>
      <c r="G1967">
        <v>17</v>
      </c>
      <c r="H1967" s="23">
        <f t="shared" si="66"/>
        <v>7</v>
      </c>
    </row>
    <row r="1968" spans="1:8" x14ac:dyDescent="0.25">
      <c r="A1968" s="22">
        <v>41899.322916666664</v>
      </c>
      <c r="B1968">
        <v>466.4</v>
      </c>
      <c r="C1968">
        <v>93.9</v>
      </c>
      <c r="D1968">
        <v>10.4</v>
      </c>
      <c r="E1968">
        <v>6.1</v>
      </c>
      <c r="G1968">
        <v>17</v>
      </c>
      <c r="H1968" s="23">
        <f t="shared" si="66"/>
        <v>7</v>
      </c>
    </row>
    <row r="1969" spans="1:8" x14ac:dyDescent="0.25">
      <c r="A1969" s="22">
        <v>41899.326388888891</v>
      </c>
      <c r="B1969">
        <v>462.4</v>
      </c>
      <c r="C1969">
        <v>93.9</v>
      </c>
      <c r="D1969">
        <v>10.5</v>
      </c>
      <c r="E1969">
        <v>6.2</v>
      </c>
      <c r="G1969">
        <v>17</v>
      </c>
      <c r="H1969" s="23">
        <f t="shared" si="66"/>
        <v>7</v>
      </c>
    </row>
    <row r="1970" spans="1:8" x14ac:dyDescent="0.25">
      <c r="A1970" s="22">
        <v>41899.329861111109</v>
      </c>
      <c r="B1970">
        <v>464.1</v>
      </c>
      <c r="C1970">
        <v>94.1</v>
      </c>
      <c r="D1970">
        <v>10.3</v>
      </c>
      <c r="E1970">
        <v>6.1</v>
      </c>
      <c r="G1970">
        <v>17</v>
      </c>
      <c r="H1970" s="23">
        <f t="shared" si="66"/>
        <v>7</v>
      </c>
    </row>
    <row r="1971" spans="1:8" x14ac:dyDescent="0.25">
      <c r="A1971" s="22">
        <v>41899.333333333336</v>
      </c>
      <c r="B1971">
        <v>467.3</v>
      </c>
      <c r="C1971">
        <v>94</v>
      </c>
      <c r="D1971">
        <v>10.3</v>
      </c>
      <c r="E1971">
        <v>6</v>
      </c>
      <c r="G1971">
        <v>17</v>
      </c>
      <c r="H1971" s="23">
        <f t="shared" si="66"/>
        <v>8</v>
      </c>
    </row>
    <row r="1972" spans="1:8" x14ac:dyDescent="0.25">
      <c r="A1972" s="22">
        <v>41899.336805555555</v>
      </c>
      <c r="B1972">
        <v>465.7</v>
      </c>
      <c r="C1972">
        <v>94</v>
      </c>
      <c r="D1972">
        <v>10.3</v>
      </c>
      <c r="E1972">
        <v>6</v>
      </c>
      <c r="G1972">
        <v>17</v>
      </c>
      <c r="H1972" s="23">
        <f t="shared" si="66"/>
        <v>8</v>
      </c>
    </row>
    <row r="1973" spans="1:8" x14ac:dyDescent="0.25">
      <c r="A1973" s="22">
        <v>41899.340277777781</v>
      </c>
      <c r="B1973">
        <v>462.3</v>
      </c>
      <c r="C1973">
        <v>94</v>
      </c>
      <c r="D1973">
        <v>10.199999999999999</v>
      </c>
      <c r="E1973">
        <v>6</v>
      </c>
      <c r="G1973">
        <v>17</v>
      </c>
      <c r="H1973" s="23">
        <f t="shared" si="66"/>
        <v>8</v>
      </c>
    </row>
    <row r="1974" spans="1:8" x14ac:dyDescent="0.25">
      <c r="A1974" s="22">
        <v>41899.34375</v>
      </c>
      <c r="B1974">
        <v>461.8</v>
      </c>
      <c r="C1974">
        <v>94</v>
      </c>
      <c r="D1974">
        <v>10.3</v>
      </c>
      <c r="E1974">
        <v>6</v>
      </c>
      <c r="G1974">
        <v>17</v>
      </c>
      <c r="H1974" s="23">
        <f t="shared" si="66"/>
        <v>8</v>
      </c>
    </row>
    <row r="1975" spans="1:8" x14ac:dyDescent="0.25">
      <c r="A1975" s="22">
        <v>41899.347222222219</v>
      </c>
      <c r="B1975">
        <v>462.1</v>
      </c>
      <c r="C1975">
        <v>94.1</v>
      </c>
      <c r="D1975">
        <v>10.199999999999999</v>
      </c>
      <c r="E1975">
        <v>6</v>
      </c>
      <c r="G1975">
        <v>17</v>
      </c>
      <c r="H1975" s="23">
        <f t="shared" si="66"/>
        <v>8</v>
      </c>
    </row>
    <row r="1976" spans="1:8" x14ac:dyDescent="0.25">
      <c r="A1976" s="22">
        <v>41899.350694444445</v>
      </c>
      <c r="B1976">
        <v>461.3</v>
      </c>
      <c r="C1976">
        <v>94</v>
      </c>
      <c r="D1976">
        <v>10.199999999999999</v>
      </c>
      <c r="E1976">
        <v>6</v>
      </c>
      <c r="G1976">
        <v>17</v>
      </c>
      <c r="H1976" s="23">
        <f t="shared" si="66"/>
        <v>8</v>
      </c>
    </row>
    <row r="1977" spans="1:8" x14ac:dyDescent="0.25">
      <c r="A1977" s="22">
        <v>41899.354166666664</v>
      </c>
      <c r="B1977">
        <v>460.5</v>
      </c>
      <c r="C1977">
        <v>94</v>
      </c>
      <c r="D1977">
        <v>10.199999999999999</v>
      </c>
      <c r="E1977">
        <v>6</v>
      </c>
      <c r="G1977">
        <v>17</v>
      </c>
      <c r="H1977" s="23">
        <f t="shared" si="66"/>
        <v>8</v>
      </c>
    </row>
    <row r="1978" spans="1:8" x14ac:dyDescent="0.25">
      <c r="A1978" s="22">
        <v>41899.357638888891</v>
      </c>
      <c r="B1978">
        <v>457.3</v>
      </c>
      <c r="C1978">
        <v>93.9</v>
      </c>
      <c r="D1978">
        <v>10.1</v>
      </c>
      <c r="E1978">
        <v>5.9</v>
      </c>
      <c r="G1978">
        <v>17</v>
      </c>
      <c r="H1978" s="23">
        <f t="shared" si="66"/>
        <v>8</v>
      </c>
    </row>
    <row r="1979" spans="1:8" x14ac:dyDescent="0.25">
      <c r="A1979" s="22">
        <v>41899.361111111109</v>
      </c>
      <c r="B1979">
        <v>462.1</v>
      </c>
      <c r="C1979">
        <v>94</v>
      </c>
      <c r="D1979">
        <v>10.1</v>
      </c>
      <c r="E1979">
        <v>5.9</v>
      </c>
      <c r="G1979">
        <v>17</v>
      </c>
      <c r="H1979" s="23">
        <f t="shared" si="66"/>
        <v>8</v>
      </c>
    </row>
    <row r="1980" spans="1:8" x14ac:dyDescent="0.25">
      <c r="A1980" s="22">
        <v>41899.364583333336</v>
      </c>
      <c r="B1980">
        <v>461.5</v>
      </c>
      <c r="C1980">
        <v>93.9</v>
      </c>
      <c r="D1980">
        <v>10.1</v>
      </c>
      <c r="E1980">
        <v>5.9</v>
      </c>
      <c r="G1980">
        <v>17</v>
      </c>
      <c r="H1980" s="23">
        <f t="shared" si="66"/>
        <v>8</v>
      </c>
    </row>
    <row r="1981" spans="1:8" x14ac:dyDescent="0.25">
      <c r="A1981" s="22">
        <v>41899.368055555555</v>
      </c>
      <c r="B1981">
        <v>460.3</v>
      </c>
      <c r="C1981">
        <v>94</v>
      </c>
      <c r="D1981">
        <v>10</v>
      </c>
      <c r="E1981">
        <v>5.8</v>
      </c>
      <c r="G1981">
        <v>17</v>
      </c>
      <c r="H1981" s="23">
        <f t="shared" si="66"/>
        <v>8</v>
      </c>
    </row>
    <row r="1982" spans="1:8" x14ac:dyDescent="0.25">
      <c r="A1982" s="22">
        <v>41899.371527777781</v>
      </c>
      <c r="B1982">
        <v>458.4</v>
      </c>
      <c r="C1982">
        <v>94</v>
      </c>
      <c r="D1982">
        <v>10</v>
      </c>
      <c r="E1982">
        <v>5.8</v>
      </c>
      <c r="G1982">
        <v>17</v>
      </c>
      <c r="H1982" s="23">
        <f t="shared" si="66"/>
        <v>8</v>
      </c>
    </row>
    <row r="1983" spans="1:8" x14ac:dyDescent="0.25">
      <c r="A1983" s="22">
        <v>41899.375</v>
      </c>
      <c r="B1983">
        <v>456.7</v>
      </c>
      <c r="C1983">
        <v>93.9</v>
      </c>
      <c r="D1983">
        <v>10</v>
      </c>
      <c r="E1983">
        <v>5.8</v>
      </c>
      <c r="G1983">
        <v>17</v>
      </c>
      <c r="H1983" s="23">
        <f t="shared" si="66"/>
        <v>9</v>
      </c>
    </row>
    <row r="1984" spans="1:8" x14ac:dyDescent="0.25">
      <c r="A1984" s="22">
        <v>41899.378472222219</v>
      </c>
      <c r="B1984">
        <v>455.7</v>
      </c>
      <c r="C1984">
        <v>94</v>
      </c>
      <c r="D1984">
        <v>10</v>
      </c>
      <c r="E1984">
        <v>5.8</v>
      </c>
      <c r="G1984">
        <v>17</v>
      </c>
      <c r="H1984" s="23">
        <f t="shared" si="66"/>
        <v>9</v>
      </c>
    </row>
    <row r="1985" spans="1:8" x14ac:dyDescent="0.25">
      <c r="A1985" s="22">
        <v>41899.381944444445</v>
      </c>
      <c r="B1985">
        <v>453.9</v>
      </c>
      <c r="C1985">
        <v>93.9</v>
      </c>
      <c r="D1985">
        <v>10</v>
      </c>
      <c r="E1985">
        <v>5.8</v>
      </c>
      <c r="G1985">
        <v>17</v>
      </c>
      <c r="H1985" s="23">
        <f t="shared" si="66"/>
        <v>9</v>
      </c>
    </row>
    <row r="1986" spans="1:8" x14ac:dyDescent="0.25">
      <c r="A1986" s="22">
        <v>41899.385416666664</v>
      </c>
      <c r="B1986">
        <v>454.8</v>
      </c>
      <c r="C1986">
        <v>94</v>
      </c>
      <c r="D1986">
        <v>10</v>
      </c>
      <c r="E1986">
        <v>5.8</v>
      </c>
      <c r="G1986">
        <v>17</v>
      </c>
      <c r="H1986" s="23">
        <f t="shared" si="66"/>
        <v>9</v>
      </c>
    </row>
    <row r="1987" spans="1:8" x14ac:dyDescent="0.25">
      <c r="A1987" s="22">
        <v>41899.388888888891</v>
      </c>
      <c r="B1987">
        <v>455.3</v>
      </c>
      <c r="C1987">
        <v>94</v>
      </c>
      <c r="D1987">
        <v>10</v>
      </c>
      <c r="E1987">
        <v>5.8</v>
      </c>
      <c r="G1987">
        <v>17</v>
      </c>
      <c r="H1987" s="23">
        <f t="shared" si="66"/>
        <v>9</v>
      </c>
    </row>
    <row r="1988" spans="1:8" x14ac:dyDescent="0.25">
      <c r="A1988" s="22">
        <v>41899.392361111109</v>
      </c>
      <c r="B1988">
        <v>454</v>
      </c>
      <c r="C1988">
        <v>94</v>
      </c>
      <c r="D1988">
        <v>10</v>
      </c>
      <c r="E1988">
        <v>5.8</v>
      </c>
      <c r="G1988">
        <v>17</v>
      </c>
      <c r="H1988" s="23">
        <f t="shared" si="66"/>
        <v>9</v>
      </c>
    </row>
    <row r="1989" spans="1:8" x14ac:dyDescent="0.25">
      <c r="A1989" s="22">
        <v>41899.395833333336</v>
      </c>
      <c r="B1989">
        <v>456</v>
      </c>
      <c r="C1989">
        <v>94</v>
      </c>
      <c r="D1989">
        <v>10</v>
      </c>
      <c r="E1989">
        <v>5.8</v>
      </c>
      <c r="G1989">
        <v>17</v>
      </c>
      <c r="H1989" s="23">
        <f t="shared" si="66"/>
        <v>9</v>
      </c>
    </row>
    <row r="1990" spans="1:8" x14ac:dyDescent="0.25">
      <c r="A1990" s="22">
        <v>41899.399305555555</v>
      </c>
      <c r="B1990">
        <v>455.5</v>
      </c>
      <c r="C1990">
        <v>93.9</v>
      </c>
      <c r="D1990">
        <v>10</v>
      </c>
      <c r="E1990">
        <v>5.9</v>
      </c>
      <c r="G1990">
        <v>17</v>
      </c>
      <c r="H1990" s="23">
        <f t="shared" ref="H1990:H2053" si="67">+HOUR(A1990)</f>
        <v>9</v>
      </c>
    </row>
    <row r="1991" spans="1:8" x14ac:dyDescent="0.25">
      <c r="A1991" s="22">
        <v>41899.402777777781</v>
      </c>
      <c r="B1991">
        <v>458.2</v>
      </c>
      <c r="C1991">
        <v>94</v>
      </c>
      <c r="D1991">
        <v>10.1</v>
      </c>
      <c r="E1991">
        <v>5.9</v>
      </c>
      <c r="G1991">
        <v>17</v>
      </c>
      <c r="H1991" s="23">
        <f t="shared" si="67"/>
        <v>9</v>
      </c>
    </row>
    <row r="1992" spans="1:8" x14ac:dyDescent="0.25">
      <c r="A1992" s="22">
        <v>41899.40625</v>
      </c>
      <c r="B1992">
        <v>456.6</v>
      </c>
      <c r="C1992">
        <v>93.9</v>
      </c>
      <c r="D1992">
        <v>10.1</v>
      </c>
      <c r="E1992">
        <v>5.9</v>
      </c>
      <c r="G1992">
        <v>17</v>
      </c>
      <c r="H1992" s="23">
        <f t="shared" si="67"/>
        <v>9</v>
      </c>
    </row>
    <row r="1993" spans="1:8" x14ac:dyDescent="0.25">
      <c r="A1993" s="22">
        <v>41899.409722222219</v>
      </c>
      <c r="B1993">
        <v>459.5</v>
      </c>
      <c r="C1993">
        <v>94</v>
      </c>
      <c r="D1993">
        <v>10.1</v>
      </c>
      <c r="E1993">
        <v>5.9</v>
      </c>
      <c r="G1993">
        <v>17</v>
      </c>
      <c r="H1993" s="23">
        <f t="shared" si="67"/>
        <v>9</v>
      </c>
    </row>
    <row r="1994" spans="1:8" x14ac:dyDescent="0.25">
      <c r="A1994" s="22">
        <v>41899.413194444445</v>
      </c>
      <c r="B1994">
        <v>461.7</v>
      </c>
      <c r="C1994">
        <v>94</v>
      </c>
      <c r="D1994">
        <v>10.1</v>
      </c>
      <c r="E1994">
        <v>5.9</v>
      </c>
      <c r="G1994">
        <v>17</v>
      </c>
      <c r="H1994" s="23">
        <f t="shared" si="67"/>
        <v>9</v>
      </c>
    </row>
    <row r="1995" spans="1:8" x14ac:dyDescent="0.25">
      <c r="A1995" s="22">
        <v>41899.416666666664</v>
      </c>
      <c r="B1995">
        <v>464.8</v>
      </c>
      <c r="C1995">
        <v>93.9</v>
      </c>
      <c r="D1995">
        <v>10.1</v>
      </c>
      <c r="E1995">
        <v>5.9</v>
      </c>
      <c r="G1995">
        <v>17</v>
      </c>
      <c r="H1995" s="23">
        <f t="shared" si="67"/>
        <v>10</v>
      </c>
    </row>
    <row r="1996" spans="1:8" x14ac:dyDescent="0.25">
      <c r="A1996" s="22">
        <v>41899.420138888891</v>
      </c>
      <c r="B1996">
        <v>466.1</v>
      </c>
      <c r="C1996">
        <v>94</v>
      </c>
      <c r="D1996">
        <v>10.1</v>
      </c>
      <c r="E1996">
        <v>5.9</v>
      </c>
      <c r="G1996">
        <v>17</v>
      </c>
      <c r="H1996" s="23">
        <f t="shared" si="67"/>
        <v>10</v>
      </c>
    </row>
    <row r="1997" spans="1:8" x14ac:dyDescent="0.25">
      <c r="A1997" s="22">
        <v>41899.423611111109</v>
      </c>
      <c r="B1997">
        <v>462.6</v>
      </c>
      <c r="C1997">
        <v>94</v>
      </c>
      <c r="D1997">
        <v>10.1</v>
      </c>
      <c r="E1997">
        <v>5.9</v>
      </c>
      <c r="G1997">
        <v>17</v>
      </c>
      <c r="H1997" s="23">
        <f t="shared" si="67"/>
        <v>10</v>
      </c>
    </row>
    <row r="1998" spans="1:8" x14ac:dyDescent="0.25">
      <c r="A1998" s="22">
        <v>41899.427083333336</v>
      </c>
      <c r="B1998">
        <v>465.7</v>
      </c>
      <c r="C1998">
        <v>94</v>
      </c>
      <c r="D1998">
        <v>10.199999999999999</v>
      </c>
      <c r="E1998">
        <v>5.9</v>
      </c>
      <c r="G1998">
        <v>17</v>
      </c>
      <c r="H1998" s="23">
        <f t="shared" si="67"/>
        <v>10</v>
      </c>
    </row>
    <row r="1999" spans="1:8" x14ac:dyDescent="0.25">
      <c r="A1999" s="22">
        <v>41899.430555555555</v>
      </c>
      <c r="B1999">
        <v>464.2</v>
      </c>
      <c r="C1999">
        <v>93.9</v>
      </c>
      <c r="D1999">
        <v>10.199999999999999</v>
      </c>
      <c r="E1999">
        <v>5.9</v>
      </c>
      <c r="G1999">
        <v>17</v>
      </c>
      <c r="H1999" s="23">
        <f t="shared" si="67"/>
        <v>10</v>
      </c>
    </row>
    <row r="2000" spans="1:8" x14ac:dyDescent="0.25">
      <c r="A2000" s="22">
        <v>41899.434027777781</v>
      </c>
      <c r="B2000">
        <v>463.8</v>
      </c>
      <c r="C2000">
        <v>94</v>
      </c>
      <c r="D2000">
        <v>10.199999999999999</v>
      </c>
      <c r="E2000">
        <v>5.9</v>
      </c>
      <c r="G2000">
        <v>17</v>
      </c>
      <c r="H2000" s="23">
        <f t="shared" si="67"/>
        <v>10</v>
      </c>
    </row>
    <row r="2001" spans="1:8" x14ac:dyDescent="0.25">
      <c r="A2001" s="22">
        <v>41899.4375</v>
      </c>
      <c r="B2001">
        <v>457.8</v>
      </c>
      <c r="C2001">
        <v>94</v>
      </c>
      <c r="D2001">
        <v>10</v>
      </c>
      <c r="E2001">
        <v>5.8</v>
      </c>
      <c r="G2001">
        <v>17</v>
      </c>
      <c r="H2001" s="23">
        <f t="shared" si="67"/>
        <v>10</v>
      </c>
    </row>
    <row r="2002" spans="1:8" x14ac:dyDescent="0.25">
      <c r="A2002" s="22">
        <v>41899.440972222219</v>
      </c>
      <c r="B2002">
        <v>440.9</v>
      </c>
      <c r="C2002">
        <v>94</v>
      </c>
      <c r="D2002">
        <v>9.8000000000000007</v>
      </c>
      <c r="E2002">
        <v>5.8</v>
      </c>
      <c r="G2002">
        <v>17</v>
      </c>
      <c r="H2002" s="23">
        <f t="shared" si="67"/>
        <v>10</v>
      </c>
    </row>
    <row r="2003" spans="1:8" x14ac:dyDescent="0.25">
      <c r="A2003" s="22">
        <v>41899.444444444445</v>
      </c>
      <c r="B2003">
        <v>432.7</v>
      </c>
      <c r="C2003">
        <v>93.9</v>
      </c>
      <c r="D2003">
        <v>9.6999999999999993</v>
      </c>
      <c r="E2003">
        <v>5.8</v>
      </c>
      <c r="G2003">
        <v>17</v>
      </c>
      <c r="H2003" s="23">
        <f t="shared" si="67"/>
        <v>10</v>
      </c>
    </row>
    <row r="2004" spans="1:8" x14ac:dyDescent="0.25">
      <c r="A2004" s="22">
        <v>41899.447916666664</v>
      </c>
      <c r="B2004">
        <v>429.5</v>
      </c>
      <c r="C2004">
        <v>94</v>
      </c>
      <c r="D2004">
        <v>9.6999999999999993</v>
      </c>
      <c r="E2004">
        <v>5.8</v>
      </c>
      <c r="G2004">
        <v>17</v>
      </c>
      <c r="H2004" s="23">
        <f t="shared" si="67"/>
        <v>10</v>
      </c>
    </row>
    <row r="2005" spans="1:8" x14ac:dyDescent="0.25">
      <c r="A2005" s="22">
        <v>41899.451388888891</v>
      </c>
      <c r="B2005">
        <v>424.9</v>
      </c>
      <c r="C2005">
        <v>94.1</v>
      </c>
      <c r="D2005">
        <v>9.6999999999999993</v>
      </c>
      <c r="E2005">
        <v>5.8</v>
      </c>
      <c r="G2005">
        <v>17</v>
      </c>
      <c r="H2005" s="23">
        <f t="shared" si="67"/>
        <v>10</v>
      </c>
    </row>
    <row r="2006" spans="1:8" x14ac:dyDescent="0.25">
      <c r="A2006" s="22">
        <v>41899.454861111109</v>
      </c>
      <c r="B2006">
        <v>419.6</v>
      </c>
      <c r="C2006">
        <v>94</v>
      </c>
      <c r="D2006">
        <v>9.6</v>
      </c>
      <c r="E2006">
        <v>5.8</v>
      </c>
      <c r="G2006">
        <v>17</v>
      </c>
      <c r="H2006" s="23">
        <f t="shared" si="67"/>
        <v>10</v>
      </c>
    </row>
    <row r="2007" spans="1:8" x14ac:dyDescent="0.25">
      <c r="A2007" s="22">
        <v>41899.458333333336</v>
      </c>
      <c r="B2007">
        <v>413.4</v>
      </c>
      <c r="C2007">
        <v>93.9</v>
      </c>
      <c r="D2007">
        <v>9.6</v>
      </c>
      <c r="E2007">
        <v>5.8</v>
      </c>
      <c r="G2007">
        <v>17</v>
      </c>
      <c r="H2007" s="23">
        <f t="shared" si="67"/>
        <v>11</v>
      </c>
    </row>
    <row r="2008" spans="1:8" x14ac:dyDescent="0.25">
      <c r="A2008" s="22">
        <v>41899.461805555555</v>
      </c>
      <c r="B2008">
        <v>413</v>
      </c>
      <c r="C2008">
        <v>93.9</v>
      </c>
      <c r="D2008">
        <v>9.6</v>
      </c>
      <c r="E2008">
        <v>5.8</v>
      </c>
      <c r="G2008">
        <v>17</v>
      </c>
      <c r="H2008" s="23">
        <f t="shared" si="67"/>
        <v>11</v>
      </c>
    </row>
    <row r="2009" spans="1:8" x14ac:dyDescent="0.25">
      <c r="A2009" s="22">
        <v>41899.465277777781</v>
      </c>
      <c r="B2009">
        <v>416.9</v>
      </c>
      <c r="C2009">
        <v>94</v>
      </c>
      <c r="D2009">
        <v>9.6</v>
      </c>
      <c r="E2009">
        <v>5.8</v>
      </c>
      <c r="G2009">
        <v>17</v>
      </c>
      <c r="H2009" s="23">
        <f t="shared" si="67"/>
        <v>11</v>
      </c>
    </row>
    <row r="2010" spans="1:8" x14ac:dyDescent="0.25">
      <c r="A2010" s="22">
        <v>41899.46875</v>
      </c>
      <c r="B2010">
        <v>420.3</v>
      </c>
      <c r="C2010">
        <v>94</v>
      </c>
      <c r="D2010">
        <v>9.6</v>
      </c>
      <c r="E2010">
        <v>5.8</v>
      </c>
      <c r="G2010">
        <v>17</v>
      </c>
      <c r="H2010" s="23">
        <f t="shared" si="67"/>
        <v>11</v>
      </c>
    </row>
    <row r="2011" spans="1:8" x14ac:dyDescent="0.25">
      <c r="A2011" s="22">
        <v>41899.472222222219</v>
      </c>
      <c r="B2011">
        <v>424.2</v>
      </c>
      <c r="C2011">
        <v>93.9</v>
      </c>
      <c r="D2011">
        <v>9.6999999999999993</v>
      </c>
      <c r="E2011">
        <v>5.8</v>
      </c>
      <c r="G2011">
        <v>17</v>
      </c>
      <c r="H2011" s="23">
        <f t="shared" si="67"/>
        <v>11</v>
      </c>
    </row>
    <row r="2012" spans="1:8" x14ac:dyDescent="0.25">
      <c r="A2012" s="22">
        <v>41899.475694444445</v>
      </c>
      <c r="B2012">
        <v>426</v>
      </c>
      <c r="C2012">
        <v>94</v>
      </c>
      <c r="D2012">
        <v>9.6999999999999993</v>
      </c>
      <c r="E2012">
        <v>5.8</v>
      </c>
      <c r="G2012">
        <v>17</v>
      </c>
      <c r="H2012" s="23">
        <f t="shared" si="67"/>
        <v>11</v>
      </c>
    </row>
    <row r="2013" spans="1:8" x14ac:dyDescent="0.25">
      <c r="A2013" s="22">
        <v>41899.479166666664</v>
      </c>
      <c r="B2013">
        <v>427.2</v>
      </c>
      <c r="C2013">
        <v>94</v>
      </c>
      <c r="D2013">
        <v>9.6999999999999993</v>
      </c>
      <c r="E2013">
        <v>5.8</v>
      </c>
      <c r="G2013">
        <v>17</v>
      </c>
      <c r="H2013" s="23">
        <f t="shared" si="67"/>
        <v>11</v>
      </c>
    </row>
    <row r="2014" spans="1:8" x14ac:dyDescent="0.25">
      <c r="A2014" s="22">
        <v>41899.482638888891</v>
      </c>
      <c r="B2014">
        <v>424.6</v>
      </c>
      <c r="C2014">
        <v>94</v>
      </c>
      <c r="D2014">
        <v>9.6999999999999993</v>
      </c>
      <c r="E2014">
        <v>5.8</v>
      </c>
      <c r="G2014">
        <v>17</v>
      </c>
      <c r="H2014" s="23">
        <f t="shared" si="67"/>
        <v>11</v>
      </c>
    </row>
    <row r="2015" spans="1:8" x14ac:dyDescent="0.25">
      <c r="A2015" s="22">
        <v>41899.486111111109</v>
      </c>
      <c r="B2015">
        <v>420.1</v>
      </c>
      <c r="C2015">
        <v>93.9</v>
      </c>
      <c r="D2015">
        <v>9.6</v>
      </c>
      <c r="E2015">
        <v>5.8</v>
      </c>
      <c r="G2015">
        <v>17</v>
      </c>
      <c r="H2015" s="23">
        <f t="shared" si="67"/>
        <v>11</v>
      </c>
    </row>
    <row r="2016" spans="1:8" x14ac:dyDescent="0.25">
      <c r="A2016" s="22">
        <v>41899.489583333336</v>
      </c>
      <c r="B2016">
        <v>420.9</v>
      </c>
      <c r="C2016">
        <v>94</v>
      </c>
      <c r="D2016">
        <v>9.6</v>
      </c>
      <c r="E2016">
        <v>5.8</v>
      </c>
      <c r="G2016">
        <v>17</v>
      </c>
      <c r="H2016" s="23">
        <f t="shared" si="67"/>
        <v>11</v>
      </c>
    </row>
    <row r="2017" spans="1:8" x14ac:dyDescent="0.25">
      <c r="A2017" s="22">
        <v>41899.493055555555</v>
      </c>
      <c r="B2017">
        <v>420.5</v>
      </c>
      <c r="C2017">
        <v>93.9</v>
      </c>
      <c r="D2017">
        <v>9.6</v>
      </c>
      <c r="E2017">
        <v>5.8</v>
      </c>
      <c r="G2017">
        <v>17</v>
      </c>
      <c r="H2017" s="23">
        <f t="shared" si="67"/>
        <v>11</v>
      </c>
    </row>
    <row r="2018" spans="1:8" x14ac:dyDescent="0.25">
      <c r="A2018" s="22">
        <v>41899.496527777781</v>
      </c>
      <c r="B2018">
        <v>420</v>
      </c>
      <c r="C2018">
        <v>94</v>
      </c>
      <c r="D2018">
        <v>9.6</v>
      </c>
      <c r="E2018">
        <v>5.8</v>
      </c>
      <c r="G2018">
        <v>17</v>
      </c>
      <c r="H2018" s="23">
        <f t="shared" si="67"/>
        <v>11</v>
      </c>
    </row>
    <row r="2019" spans="1:8" x14ac:dyDescent="0.25">
      <c r="A2019" s="22">
        <v>41899.5</v>
      </c>
      <c r="B2019">
        <v>421.2</v>
      </c>
      <c r="C2019">
        <v>94</v>
      </c>
      <c r="D2019">
        <v>9.6</v>
      </c>
      <c r="E2019">
        <v>5.8</v>
      </c>
      <c r="G2019">
        <v>17</v>
      </c>
      <c r="H2019" s="23">
        <f t="shared" si="67"/>
        <v>12</v>
      </c>
    </row>
    <row r="2020" spans="1:8" x14ac:dyDescent="0.25">
      <c r="A2020" s="22">
        <v>41899.503472222219</v>
      </c>
      <c r="B2020">
        <v>423</v>
      </c>
      <c r="C2020">
        <v>93.9</v>
      </c>
      <c r="D2020">
        <v>9.6999999999999993</v>
      </c>
      <c r="E2020">
        <v>5.8</v>
      </c>
      <c r="G2020">
        <v>17</v>
      </c>
      <c r="H2020" s="23">
        <f t="shared" si="67"/>
        <v>12</v>
      </c>
    </row>
    <row r="2021" spans="1:8" x14ac:dyDescent="0.25">
      <c r="A2021" s="22">
        <v>41899.506944444445</v>
      </c>
      <c r="B2021">
        <v>422.3</v>
      </c>
      <c r="C2021">
        <v>93.9</v>
      </c>
      <c r="D2021">
        <v>9.6999999999999993</v>
      </c>
      <c r="E2021">
        <v>5.8</v>
      </c>
      <c r="G2021">
        <v>17</v>
      </c>
      <c r="H2021" s="23">
        <f t="shared" si="67"/>
        <v>12</v>
      </c>
    </row>
    <row r="2022" spans="1:8" x14ac:dyDescent="0.25">
      <c r="A2022" s="22">
        <v>41899.510416666664</v>
      </c>
      <c r="B2022">
        <v>424.2</v>
      </c>
      <c r="C2022">
        <v>94</v>
      </c>
      <c r="D2022">
        <v>9.6999999999999993</v>
      </c>
      <c r="E2022">
        <v>5.8</v>
      </c>
      <c r="G2022">
        <v>17</v>
      </c>
      <c r="H2022" s="23">
        <f t="shared" si="67"/>
        <v>12</v>
      </c>
    </row>
    <row r="2023" spans="1:8" x14ac:dyDescent="0.25">
      <c r="A2023" s="22">
        <v>41899.513888888891</v>
      </c>
      <c r="B2023">
        <v>425</v>
      </c>
      <c r="C2023">
        <v>94</v>
      </c>
      <c r="D2023">
        <v>9.6999999999999993</v>
      </c>
      <c r="E2023">
        <v>5.8</v>
      </c>
      <c r="G2023">
        <v>17</v>
      </c>
      <c r="H2023" s="23">
        <f t="shared" si="67"/>
        <v>12</v>
      </c>
    </row>
    <row r="2024" spans="1:8" x14ac:dyDescent="0.25">
      <c r="A2024" s="22">
        <v>41899.517361111109</v>
      </c>
      <c r="B2024">
        <v>422.2</v>
      </c>
      <c r="C2024">
        <v>94</v>
      </c>
      <c r="D2024">
        <v>9.6</v>
      </c>
      <c r="E2024">
        <v>5.8</v>
      </c>
      <c r="G2024">
        <v>17</v>
      </c>
      <c r="H2024" s="23">
        <f t="shared" si="67"/>
        <v>12</v>
      </c>
    </row>
    <row r="2025" spans="1:8" x14ac:dyDescent="0.25">
      <c r="A2025" s="22">
        <v>41899.520833333336</v>
      </c>
      <c r="B2025">
        <v>437.6</v>
      </c>
      <c r="C2025">
        <v>94</v>
      </c>
      <c r="D2025">
        <v>9.8000000000000007</v>
      </c>
      <c r="E2025">
        <v>5.8</v>
      </c>
      <c r="G2025">
        <v>17</v>
      </c>
      <c r="H2025" s="23">
        <f t="shared" si="67"/>
        <v>12</v>
      </c>
    </row>
    <row r="2026" spans="1:8" x14ac:dyDescent="0.25">
      <c r="A2026" s="22">
        <v>41899.524305555555</v>
      </c>
      <c r="B2026">
        <v>462.7</v>
      </c>
      <c r="C2026">
        <v>94</v>
      </c>
      <c r="D2026">
        <v>10.199999999999999</v>
      </c>
      <c r="E2026">
        <v>5.9</v>
      </c>
      <c r="G2026">
        <v>17</v>
      </c>
      <c r="H2026" s="23">
        <f t="shared" si="67"/>
        <v>12</v>
      </c>
    </row>
    <row r="2027" spans="1:8" x14ac:dyDescent="0.25">
      <c r="A2027" s="22">
        <v>41899.527777777781</v>
      </c>
      <c r="B2027">
        <v>463</v>
      </c>
      <c r="C2027">
        <v>94</v>
      </c>
      <c r="D2027">
        <v>10.199999999999999</v>
      </c>
      <c r="E2027">
        <v>6</v>
      </c>
      <c r="G2027">
        <v>17</v>
      </c>
      <c r="H2027" s="23">
        <f t="shared" si="67"/>
        <v>12</v>
      </c>
    </row>
    <row r="2028" spans="1:8" x14ac:dyDescent="0.25">
      <c r="A2028" s="22">
        <v>41899.53125</v>
      </c>
      <c r="B2028">
        <v>461.3</v>
      </c>
      <c r="C2028">
        <v>94</v>
      </c>
      <c r="D2028">
        <v>10.199999999999999</v>
      </c>
      <c r="E2028">
        <v>6</v>
      </c>
      <c r="G2028">
        <v>17</v>
      </c>
      <c r="H2028" s="23">
        <f t="shared" si="67"/>
        <v>12</v>
      </c>
    </row>
    <row r="2029" spans="1:8" x14ac:dyDescent="0.25">
      <c r="A2029" s="22">
        <v>41899.534722222219</v>
      </c>
      <c r="B2029">
        <v>461.8</v>
      </c>
      <c r="C2029">
        <v>94</v>
      </c>
      <c r="D2029">
        <v>10.199999999999999</v>
      </c>
      <c r="E2029">
        <v>6</v>
      </c>
      <c r="G2029">
        <v>17</v>
      </c>
      <c r="H2029" s="23">
        <f t="shared" si="67"/>
        <v>12</v>
      </c>
    </row>
    <row r="2030" spans="1:8" x14ac:dyDescent="0.25">
      <c r="A2030" s="22">
        <v>41899.538194444445</v>
      </c>
      <c r="B2030">
        <v>461.9</v>
      </c>
      <c r="C2030">
        <v>94</v>
      </c>
      <c r="D2030">
        <v>10.3</v>
      </c>
      <c r="E2030">
        <v>6.1</v>
      </c>
      <c r="G2030">
        <v>17</v>
      </c>
      <c r="H2030" s="23">
        <f t="shared" si="67"/>
        <v>12</v>
      </c>
    </row>
    <row r="2031" spans="1:8" x14ac:dyDescent="0.25">
      <c r="A2031" s="22">
        <v>41899.541666666664</v>
      </c>
      <c r="B2031">
        <v>461.9</v>
      </c>
      <c r="C2031">
        <v>94.1</v>
      </c>
      <c r="D2031">
        <v>10.3</v>
      </c>
      <c r="E2031">
        <v>6.1</v>
      </c>
      <c r="G2031">
        <v>17</v>
      </c>
      <c r="H2031" s="23">
        <f t="shared" si="67"/>
        <v>13</v>
      </c>
    </row>
    <row r="2032" spans="1:8" x14ac:dyDescent="0.25">
      <c r="A2032" s="22">
        <v>41899.545138888891</v>
      </c>
      <c r="B2032">
        <v>463.1</v>
      </c>
      <c r="C2032">
        <v>94.1</v>
      </c>
      <c r="D2032">
        <v>10.4</v>
      </c>
      <c r="E2032">
        <v>6.1</v>
      </c>
      <c r="G2032">
        <v>17</v>
      </c>
      <c r="H2032" s="23">
        <f t="shared" si="67"/>
        <v>13</v>
      </c>
    </row>
    <row r="2033" spans="1:8" x14ac:dyDescent="0.25">
      <c r="A2033" s="22">
        <v>41899.548611111109</v>
      </c>
      <c r="B2033">
        <v>461</v>
      </c>
      <c r="C2033">
        <v>94</v>
      </c>
      <c r="D2033">
        <v>10.4</v>
      </c>
      <c r="E2033">
        <v>6.2</v>
      </c>
      <c r="G2033">
        <v>17</v>
      </c>
      <c r="H2033" s="23">
        <f t="shared" si="67"/>
        <v>13</v>
      </c>
    </row>
    <row r="2034" spans="1:8" x14ac:dyDescent="0.25">
      <c r="A2034" s="22">
        <v>41899.552083333336</v>
      </c>
      <c r="B2034">
        <v>457.5</v>
      </c>
      <c r="C2034">
        <v>93.9</v>
      </c>
      <c r="D2034">
        <v>10.4</v>
      </c>
      <c r="E2034">
        <v>6.2</v>
      </c>
      <c r="G2034">
        <v>17</v>
      </c>
      <c r="H2034" s="23">
        <f t="shared" si="67"/>
        <v>13</v>
      </c>
    </row>
    <row r="2035" spans="1:8" x14ac:dyDescent="0.25">
      <c r="A2035" s="22">
        <v>41899.555555555555</v>
      </c>
      <c r="B2035">
        <v>458.6</v>
      </c>
      <c r="C2035">
        <v>94.1</v>
      </c>
      <c r="D2035">
        <v>10.4</v>
      </c>
      <c r="E2035">
        <v>6.2</v>
      </c>
      <c r="G2035">
        <v>17</v>
      </c>
      <c r="H2035" s="23">
        <f t="shared" si="67"/>
        <v>13</v>
      </c>
    </row>
    <row r="2036" spans="1:8" x14ac:dyDescent="0.25">
      <c r="A2036" s="22">
        <v>41899.559027777781</v>
      </c>
      <c r="B2036">
        <v>461.7</v>
      </c>
      <c r="C2036">
        <v>94.1</v>
      </c>
      <c r="D2036">
        <v>10.5</v>
      </c>
      <c r="E2036">
        <v>6.3</v>
      </c>
      <c r="G2036">
        <v>17</v>
      </c>
      <c r="H2036" s="23">
        <f t="shared" si="67"/>
        <v>13</v>
      </c>
    </row>
    <row r="2037" spans="1:8" x14ac:dyDescent="0.25">
      <c r="A2037" s="22">
        <v>41899.5625</v>
      </c>
      <c r="B2037">
        <v>460.5</v>
      </c>
      <c r="C2037">
        <v>94</v>
      </c>
      <c r="D2037">
        <v>10.4</v>
      </c>
      <c r="E2037">
        <v>6.2</v>
      </c>
      <c r="G2037">
        <v>17</v>
      </c>
      <c r="H2037" s="23">
        <f t="shared" si="67"/>
        <v>13</v>
      </c>
    </row>
    <row r="2038" spans="1:8" x14ac:dyDescent="0.25">
      <c r="A2038" s="22">
        <v>41899.565972222219</v>
      </c>
      <c r="B2038">
        <v>458</v>
      </c>
      <c r="C2038">
        <v>94</v>
      </c>
      <c r="D2038">
        <v>10.5</v>
      </c>
      <c r="E2038">
        <v>6.3</v>
      </c>
      <c r="G2038">
        <v>17</v>
      </c>
      <c r="H2038" s="23">
        <f t="shared" si="67"/>
        <v>13</v>
      </c>
    </row>
    <row r="2039" spans="1:8" x14ac:dyDescent="0.25">
      <c r="A2039" s="22">
        <v>41899.569444444445</v>
      </c>
      <c r="B2039">
        <v>455.6</v>
      </c>
      <c r="C2039">
        <v>94</v>
      </c>
      <c r="D2039">
        <v>10.5</v>
      </c>
      <c r="E2039">
        <v>6.3</v>
      </c>
      <c r="G2039">
        <v>17</v>
      </c>
      <c r="H2039" s="23">
        <f t="shared" si="67"/>
        <v>13</v>
      </c>
    </row>
    <row r="2040" spans="1:8" x14ac:dyDescent="0.25">
      <c r="A2040" s="22">
        <v>41899.572916666664</v>
      </c>
      <c r="B2040">
        <v>462.4</v>
      </c>
      <c r="C2040">
        <v>94.1</v>
      </c>
      <c r="D2040">
        <v>10.5</v>
      </c>
      <c r="E2040">
        <v>6.3</v>
      </c>
      <c r="G2040">
        <v>17</v>
      </c>
      <c r="H2040" s="23">
        <f t="shared" si="67"/>
        <v>13</v>
      </c>
    </row>
    <row r="2041" spans="1:8" x14ac:dyDescent="0.25">
      <c r="A2041" s="22">
        <v>41899.576388888891</v>
      </c>
      <c r="B2041">
        <v>460.1</v>
      </c>
      <c r="C2041">
        <v>94.1</v>
      </c>
      <c r="D2041">
        <v>10.5</v>
      </c>
      <c r="E2041">
        <v>6.3</v>
      </c>
      <c r="G2041">
        <v>17</v>
      </c>
      <c r="H2041" s="23">
        <f t="shared" si="67"/>
        <v>13</v>
      </c>
    </row>
    <row r="2042" spans="1:8" x14ac:dyDescent="0.25">
      <c r="A2042" s="22">
        <v>41899.579861111109</v>
      </c>
      <c r="B2042">
        <v>472</v>
      </c>
      <c r="C2042">
        <v>94</v>
      </c>
      <c r="D2042">
        <v>10.5</v>
      </c>
      <c r="E2042">
        <v>6.2</v>
      </c>
      <c r="G2042">
        <v>17</v>
      </c>
      <c r="H2042" s="23">
        <f t="shared" si="67"/>
        <v>13</v>
      </c>
    </row>
    <row r="2043" spans="1:8" x14ac:dyDescent="0.25">
      <c r="A2043" s="22">
        <v>41899.583333333336</v>
      </c>
      <c r="B2043">
        <v>473.8</v>
      </c>
      <c r="C2043">
        <v>94</v>
      </c>
      <c r="D2043">
        <v>10.6</v>
      </c>
      <c r="E2043">
        <v>6.2</v>
      </c>
      <c r="G2043">
        <v>17</v>
      </c>
      <c r="H2043" s="23">
        <f t="shared" si="67"/>
        <v>14</v>
      </c>
    </row>
    <row r="2044" spans="1:8" x14ac:dyDescent="0.25">
      <c r="A2044" s="22">
        <v>41899.586805555555</v>
      </c>
      <c r="B2044">
        <v>469.1</v>
      </c>
      <c r="C2044">
        <v>94.1</v>
      </c>
      <c r="D2044">
        <v>10.6</v>
      </c>
      <c r="E2044">
        <v>6.3</v>
      </c>
      <c r="G2044">
        <v>17</v>
      </c>
      <c r="H2044" s="23">
        <f t="shared" si="67"/>
        <v>14</v>
      </c>
    </row>
    <row r="2045" spans="1:8" x14ac:dyDescent="0.25">
      <c r="A2045" s="22">
        <v>41899.590277777781</v>
      </c>
      <c r="B2045">
        <v>460.1</v>
      </c>
      <c r="C2045">
        <v>94</v>
      </c>
      <c r="D2045">
        <v>10.5</v>
      </c>
      <c r="E2045">
        <v>6.3</v>
      </c>
      <c r="G2045">
        <v>17</v>
      </c>
      <c r="H2045" s="23">
        <f t="shared" si="67"/>
        <v>14</v>
      </c>
    </row>
    <row r="2046" spans="1:8" x14ac:dyDescent="0.25">
      <c r="A2046" s="22">
        <v>41899.59375</v>
      </c>
      <c r="B2046">
        <v>461.1</v>
      </c>
      <c r="C2046">
        <v>94</v>
      </c>
      <c r="D2046">
        <v>10.5</v>
      </c>
      <c r="E2046">
        <v>6.3</v>
      </c>
      <c r="G2046">
        <v>17</v>
      </c>
      <c r="H2046" s="23">
        <f t="shared" si="67"/>
        <v>14</v>
      </c>
    </row>
    <row r="2047" spans="1:8" x14ac:dyDescent="0.25">
      <c r="A2047" s="22">
        <v>41899.597222222219</v>
      </c>
      <c r="B2047">
        <v>461.9</v>
      </c>
      <c r="C2047">
        <v>93.9</v>
      </c>
      <c r="D2047">
        <v>10.5</v>
      </c>
      <c r="E2047">
        <v>6.3</v>
      </c>
      <c r="G2047">
        <v>17</v>
      </c>
      <c r="H2047" s="23">
        <f t="shared" si="67"/>
        <v>14</v>
      </c>
    </row>
    <row r="2048" spans="1:8" x14ac:dyDescent="0.25">
      <c r="A2048" s="22">
        <v>41899.600694444445</v>
      </c>
      <c r="B2048">
        <v>459.3</v>
      </c>
      <c r="C2048">
        <v>94.1</v>
      </c>
      <c r="D2048">
        <v>10.6</v>
      </c>
      <c r="E2048">
        <v>6.4</v>
      </c>
      <c r="G2048">
        <v>17</v>
      </c>
      <c r="H2048" s="23">
        <f t="shared" si="67"/>
        <v>14</v>
      </c>
    </row>
    <row r="2049" spans="1:8" x14ac:dyDescent="0.25">
      <c r="A2049" s="22">
        <v>41899.604166666664</v>
      </c>
      <c r="B2049">
        <v>460.3</v>
      </c>
      <c r="C2049">
        <v>94.1</v>
      </c>
      <c r="D2049">
        <v>10.6</v>
      </c>
      <c r="E2049">
        <v>6.4</v>
      </c>
      <c r="G2049">
        <v>17</v>
      </c>
      <c r="H2049" s="23">
        <f t="shared" si="67"/>
        <v>14</v>
      </c>
    </row>
    <row r="2050" spans="1:8" x14ac:dyDescent="0.25">
      <c r="A2050" s="22">
        <v>41899.607638888891</v>
      </c>
      <c r="B2050">
        <v>466.1</v>
      </c>
      <c r="C2050">
        <v>94</v>
      </c>
      <c r="D2050">
        <v>10.6</v>
      </c>
      <c r="E2050">
        <v>6.4</v>
      </c>
      <c r="G2050">
        <v>17</v>
      </c>
      <c r="H2050" s="23">
        <f t="shared" si="67"/>
        <v>14</v>
      </c>
    </row>
    <row r="2051" spans="1:8" x14ac:dyDescent="0.25">
      <c r="A2051" s="22">
        <v>41899.611111111109</v>
      </c>
      <c r="B2051">
        <v>468</v>
      </c>
      <c r="C2051">
        <v>94</v>
      </c>
      <c r="D2051">
        <v>10.6</v>
      </c>
      <c r="E2051">
        <v>6.3</v>
      </c>
      <c r="G2051">
        <v>17</v>
      </c>
      <c r="H2051" s="23">
        <f t="shared" si="67"/>
        <v>14</v>
      </c>
    </row>
    <row r="2052" spans="1:8" x14ac:dyDescent="0.25">
      <c r="A2052" s="22">
        <v>41899.614583333336</v>
      </c>
      <c r="B2052">
        <v>463.9</v>
      </c>
      <c r="C2052">
        <v>94</v>
      </c>
      <c r="D2052">
        <v>10.6</v>
      </c>
      <c r="E2052">
        <v>6.3</v>
      </c>
      <c r="G2052">
        <v>17</v>
      </c>
      <c r="H2052" s="23">
        <f t="shared" si="67"/>
        <v>14</v>
      </c>
    </row>
    <row r="2053" spans="1:8" x14ac:dyDescent="0.25">
      <c r="A2053" s="22">
        <v>41899.618055555555</v>
      </c>
      <c r="B2053">
        <v>466.5</v>
      </c>
      <c r="C2053">
        <v>93.9</v>
      </c>
      <c r="D2053">
        <v>10.5</v>
      </c>
      <c r="E2053">
        <v>6.3</v>
      </c>
      <c r="G2053">
        <v>17</v>
      </c>
      <c r="H2053" s="23">
        <f t="shared" si="67"/>
        <v>14</v>
      </c>
    </row>
    <row r="2054" spans="1:8" x14ac:dyDescent="0.25">
      <c r="A2054" s="22">
        <v>41899.621527777781</v>
      </c>
      <c r="B2054">
        <v>466.6</v>
      </c>
      <c r="C2054">
        <v>94</v>
      </c>
      <c r="D2054">
        <v>10.5</v>
      </c>
      <c r="E2054">
        <v>6.2</v>
      </c>
      <c r="G2054">
        <v>17</v>
      </c>
      <c r="H2054" s="23">
        <f t="shared" ref="H2054:H2117" si="68">+HOUR(A2054)</f>
        <v>14</v>
      </c>
    </row>
    <row r="2055" spans="1:8" x14ac:dyDescent="0.25">
      <c r="A2055" s="22">
        <v>41899.625</v>
      </c>
      <c r="B2055">
        <v>467.3</v>
      </c>
      <c r="C2055">
        <v>94</v>
      </c>
      <c r="D2055">
        <v>10.5</v>
      </c>
      <c r="E2055">
        <v>6.2</v>
      </c>
      <c r="G2055">
        <v>17</v>
      </c>
      <c r="H2055" s="23">
        <f t="shared" si="68"/>
        <v>15</v>
      </c>
    </row>
    <row r="2056" spans="1:8" x14ac:dyDescent="0.25">
      <c r="A2056" s="22">
        <v>41899.628472222219</v>
      </c>
      <c r="B2056">
        <v>470.4</v>
      </c>
      <c r="C2056">
        <v>94.1</v>
      </c>
      <c r="D2056">
        <v>10.5</v>
      </c>
      <c r="E2056">
        <v>6.2</v>
      </c>
      <c r="G2056">
        <v>17</v>
      </c>
      <c r="H2056" s="23">
        <f t="shared" si="68"/>
        <v>15</v>
      </c>
    </row>
    <row r="2057" spans="1:8" x14ac:dyDescent="0.25">
      <c r="A2057" s="22">
        <v>41899.631944444445</v>
      </c>
      <c r="B2057">
        <v>471.7</v>
      </c>
      <c r="C2057">
        <v>94.1</v>
      </c>
      <c r="D2057">
        <v>10.5</v>
      </c>
      <c r="E2057">
        <v>6.2</v>
      </c>
      <c r="G2057">
        <v>17</v>
      </c>
      <c r="H2057" s="23">
        <f t="shared" si="68"/>
        <v>15</v>
      </c>
    </row>
    <row r="2058" spans="1:8" x14ac:dyDescent="0.25">
      <c r="A2058" s="22">
        <v>41899.635416666664</v>
      </c>
      <c r="B2058">
        <v>470.7</v>
      </c>
      <c r="C2058">
        <v>94.1</v>
      </c>
      <c r="D2058">
        <v>10.5</v>
      </c>
      <c r="E2058">
        <v>6.2</v>
      </c>
      <c r="G2058">
        <v>17</v>
      </c>
      <c r="H2058" s="23">
        <f t="shared" si="68"/>
        <v>15</v>
      </c>
    </row>
    <row r="2059" spans="1:8" x14ac:dyDescent="0.25">
      <c r="A2059" s="22">
        <v>41899.638888888891</v>
      </c>
      <c r="B2059">
        <v>470.7</v>
      </c>
      <c r="C2059">
        <v>94</v>
      </c>
      <c r="D2059">
        <v>10.4</v>
      </c>
      <c r="E2059">
        <v>6.1</v>
      </c>
      <c r="G2059">
        <v>17</v>
      </c>
      <c r="H2059" s="23">
        <f t="shared" si="68"/>
        <v>15</v>
      </c>
    </row>
    <row r="2060" spans="1:8" x14ac:dyDescent="0.25">
      <c r="A2060" s="22">
        <v>41899.642361111109</v>
      </c>
      <c r="B2060">
        <v>473.1</v>
      </c>
      <c r="C2060">
        <v>94</v>
      </c>
      <c r="D2060">
        <v>10.4</v>
      </c>
      <c r="E2060">
        <v>6.1</v>
      </c>
      <c r="G2060">
        <v>17</v>
      </c>
      <c r="H2060" s="23">
        <f t="shared" si="68"/>
        <v>15</v>
      </c>
    </row>
    <row r="2061" spans="1:8" x14ac:dyDescent="0.25">
      <c r="A2061" s="22">
        <v>41899.645833333336</v>
      </c>
      <c r="B2061">
        <v>468.2</v>
      </c>
      <c r="C2061">
        <v>94</v>
      </c>
      <c r="D2061">
        <v>10.4</v>
      </c>
      <c r="E2061">
        <v>6.2</v>
      </c>
      <c r="G2061">
        <v>17</v>
      </c>
      <c r="H2061" s="23">
        <f t="shared" si="68"/>
        <v>15</v>
      </c>
    </row>
    <row r="2062" spans="1:8" x14ac:dyDescent="0.25">
      <c r="A2062" s="22">
        <v>41899.649305555555</v>
      </c>
      <c r="B2062">
        <v>462.9</v>
      </c>
      <c r="C2062">
        <v>94.1</v>
      </c>
      <c r="D2062">
        <v>10.3</v>
      </c>
      <c r="E2062">
        <v>6</v>
      </c>
      <c r="G2062">
        <v>17</v>
      </c>
      <c r="H2062" s="23">
        <f t="shared" si="68"/>
        <v>15</v>
      </c>
    </row>
    <row r="2063" spans="1:8" x14ac:dyDescent="0.25">
      <c r="A2063" s="22">
        <v>41899.652777777781</v>
      </c>
      <c r="B2063">
        <v>462.9</v>
      </c>
      <c r="C2063">
        <v>94</v>
      </c>
      <c r="D2063">
        <v>10.1</v>
      </c>
      <c r="E2063">
        <v>5.8</v>
      </c>
      <c r="G2063">
        <v>17</v>
      </c>
      <c r="H2063" s="23">
        <f t="shared" si="68"/>
        <v>15</v>
      </c>
    </row>
    <row r="2064" spans="1:8" x14ac:dyDescent="0.25">
      <c r="A2064" s="22">
        <v>41899.65625</v>
      </c>
      <c r="B2064">
        <v>456.8</v>
      </c>
      <c r="C2064">
        <v>93.9</v>
      </c>
      <c r="D2064">
        <v>10</v>
      </c>
      <c r="E2064">
        <v>5.8</v>
      </c>
      <c r="G2064">
        <v>17</v>
      </c>
      <c r="H2064" s="23">
        <f t="shared" si="68"/>
        <v>15</v>
      </c>
    </row>
    <row r="2065" spans="1:8" x14ac:dyDescent="0.25">
      <c r="A2065" s="22">
        <v>41899.659722222219</v>
      </c>
      <c r="B2065">
        <v>449.1</v>
      </c>
      <c r="C2065">
        <v>93.9</v>
      </c>
      <c r="D2065">
        <v>9.9</v>
      </c>
      <c r="E2065">
        <v>5.8</v>
      </c>
      <c r="G2065">
        <v>17</v>
      </c>
      <c r="H2065" s="23">
        <f t="shared" si="68"/>
        <v>15</v>
      </c>
    </row>
    <row r="2066" spans="1:8" x14ac:dyDescent="0.25">
      <c r="A2066" s="22">
        <v>41899.663194444445</v>
      </c>
      <c r="B2066">
        <v>444.6</v>
      </c>
      <c r="C2066">
        <v>94</v>
      </c>
      <c r="D2066">
        <v>9.9</v>
      </c>
      <c r="E2066">
        <v>5.8</v>
      </c>
      <c r="G2066">
        <v>17</v>
      </c>
      <c r="H2066" s="23">
        <f t="shared" si="68"/>
        <v>15</v>
      </c>
    </row>
    <row r="2067" spans="1:8" x14ac:dyDescent="0.25">
      <c r="A2067" s="22">
        <v>41899.666666666664</v>
      </c>
      <c r="B2067">
        <v>444.2</v>
      </c>
      <c r="C2067">
        <v>94</v>
      </c>
      <c r="D2067">
        <v>9.9</v>
      </c>
      <c r="E2067">
        <v>5.8</v>
      </c>
      <c r="G2067">
        <v>17</v>
      </c>
      <c r="H2067" s="23">
        <f t="shared" si="68"/>
        <v>16</v>
      </c>
    </row>
    <row r="2068" spans="1:8" x14ac:dyDescent="0.25">
      <c r="A2068" s="22">
        <v>41899.670138888891</v>
      </c>
      <c r="B2068">
        <v>442.6</v>
      </c>
      <c r="C2068">
        <v>93.9</v>
      </c>
      <c r="D2068">
        <v>9.8000000000000007</v>
      </c>
      <c r="E2068">
        <v>5.8</v>
      </c>
      <c r="G2068">
        <v>17</v>
      </c>
      <c r="H2068" s="23">
        <f t="shared" si="68"/>
        <v>16</v>
      </c>
    </row>
    <row r="2069" spans="1:8" x14ac:dyDescent="0.25">
      <c r="A2069" s="22">
        <v>41899.673611111109</v>
      </c>
      <c r="B2069">
        <v>443.2</v>
      </c>
      <c r="C2069">
        <v>94</v>
      </c>
      <c r="D2069">
        <v>9.9</v>
      </c>
      <c r="E2069">
        <v>5.8</v>
      </c>
      <c r="G2069">
        <v>17</v>
      </c>
      <c r="H2069" s="23">
        <f t="shared" si="68"/>
        <v>16</v>
      </c>
    </row>
    <row r="2070" spans="1:8" x14ac:dyDescent="0.25">
      <c r="A2070" s="22">
        <v>41899.677083333336</v>
      </c>
      <c r="B2070">
        <v>442.8</v>
      </c>
      <c r="C2070">
        <v>93.9</v>
      </c>
      <c r="D2070">
        <v>9.9</v>
      </c>
      <c r="E2070">
        <v>5.8</v>
      </c>
      <c r="G2070">
        <v>17</v>
      </c>
      <c r="H2070" s="23">
        <f t="shared" si="68"/>
        <v>16</v>
      </c>
    </row>
    <row r="2071" spans="1:8" x14ac:dyDescent="0.25">
      <c r="A2071" s="22">
        <v>41899.680555555555</v>
      </c>
      <c r="B2071">
        <v>440</v>
      </c>
      <c r="C2071">
        <v>93.9</v>
      </c>
      <c r="D2071">
        <v>9.8000000000000007</v>
      </c>
      <c r="E2071">
        <v>5.8</v>
      </c>
      <c r="G2071">
        <v>17</v>
      </c>
      <c r="H2071" s="23">
        <f t="shared" si="68"/>
        <v>16</v>
      </c>
    </row>
    <row r="2072" spans="1:8" x14ac:dyDescent="0.25">
      <c r="A2072" s="22">
        <v>41899.684027777781</v>
      </c>
      <c r="B2072">
        <v>436.2</v>
      </c>
      <c r="C2072">
        <v>93.9</v>
      </c>
      <c r="D2072">
        <v>9.8000000000000007</v>
      </c>
      <c r="E2072">
        <v>5.8</v>
      </c>
      <c r="G2072">
        <v>17</v>
      </c>
      <c r="H2072" s="23">
        <f t="shared" si="68"/>
        <v>16</v>
      </c>
    </row>
    <row r="2073" spans="1:8" x14ac:dyDescent="0.25">
      <c r="A2073" s="22">
        <v>41899.6875</v>
      </c>
      <c r="B2073">
        <v>433.6</v>
      </c>
      <c r="C2073">
        <v>93.9</v>
      </c>
      <c r="D2073">
        <v>9.8000000000000007</v>
      </c>
      <c r="E2073">
        <v>5.8</v>
      </c>
      <c r="G2073">
        <v>17</v>
      </c>
      <c r="H2073" s="23">
        <f t="shared" si="68"/>
        <v>16</v>
      </c>
    </row>
    <row r="2074" spans="1:8" x14ac:dyDescent="0.25">
      <c r="A2074" s="22">
        <v>41899.690972222219</v>
      </c>
      <c r="B2074">
        <v>429.7</v>
      </c>
      <c r="C2074">
        <v>93.9</v>
      </c>
      <c r="D2074">
        <v>9.6999999999999993</v>
      </c>
      <c r="E2074">
        <v>5.8</v>
      </c>
      <c r="G2074">
        <v>17</v>
      </c>
      <c r="H2074" s="23">
        <f t="shared" si="68"/>
        <v>16</v>
      </c>
    </row>
    <row r="2075" spans="1:8" x14ac:dyDescent="0.25">
      <c r="A2075" s="22">
        <v>41899.694444444445</v>
      </c>
      <c r="B2075">
        <v>428.5</v>
      </c>
      <c r="C2075">
        <v>94</v>
      </c>
      <c r="D2075">
        <v>9.6999999999999993</v>
      </c>
      <c r="E2075">
        <v>5.8</v>
      </c>
      <c r="G2075">
        <v>17</v>
      </c>
      <c r="H2075" s="23">
        <f t="shared" si="68"/>
        <v>16</v>
      </c>
    </row>
    <row r="2076" spans="1:8" x14ac:dyDescent="0.25">
      <c r="A2076" s="22">
        <v>41899.697916666664</v>
      </c>
      <c r="B2076">
        <v>427.2</v>
      </c>
      <c r="C2076">
        <v>93.9</v>
      </c>
      <c r="D2076">
        <v>9.6999999999999993</v>
      </c>
      <c r="E2076">
        <v>5.8</v>
      </c>
      <c r="G2076">
        <v>17</v>
      </c>
      <c r="H2076" s="23">
        <f t="shared" si="68"/>
        <v>16</v>
      </c>
    </row>
    <row r="2077" spans="1:8" x14ac:dyDescent="0.25">
      <c r="A2077" s="22">
        <v>41899.701388888891</v>
      </c>
      <c r="B2077">
        <v>420.7</v>
      </c>
      <c r="C2077">
        <v>93.9</v>
      </c>
      <c r="D2077">
        <v>9.6</v>
      </c>
      <c r="E2077">
        <v>5.8</v>
      </c>
      <c r="G2077">
        <v>17</v>
      </c>
      <c r="H2077" s="23">
        <f t="shared" si="68"/>
        <v>16</v>
      </c>
    </row>
    <row r="2078" spans="1:8" x14ac:dyDescent="0.25">
      <c r="A2078" s="22">
        <v>41899.704861111109</v>
      </c>
      <c r="B2078">
        <v>415.8</v>
      </c>
      <c r="C2078">
        <v>93.9</v>
      </c>
      <c r="D2078">
        <v>9.6</v>
      </c>
      <c r="E2078">
        <v>5.8</v>
      </c>
      <c r="G2078">
        <v>17</v>
      </c>
      <c r="H2078" s="23">
        <f t="shared" si="68"/>
        <v>16</v>
      </c>
    </row>
    <row r="2079" spans="1:8" x14ac:dyDescent="0.25">
      <c r="A2079" s="22">
        <v>41899.708333333336</v>
      </c>
      <c r="B2079">
        <v>412.1</v>
      </c>
      <c r="C2079">
        <v>93.9</v>
      </c>
      <c r="D2079">
        <v>9.6</v>
      </c>
      <c r="E2079">
        <v>5.8</v>
      </c>
      <c r="G2079">
        <v>17</v>
      </c>
      <c r="H2079" s="23">
        <f t="shared" si="68"/>
        <v>17</v>
      </c>
    </row>
    <row r="2080" spans="1:8" x14ac:dyDescent="0.25">
      <c r="A2080" s="22">
        <v>41899.711805555555</v>
      </c>
      <c r="B2080">
        <v>413.4</v>
      </c>
      <c r="C2080">
        <v>93.9</v>
      </c>
      <c r="D2080">
        <v>9.6</v>
      </c>
      <c r="E2080">
        <v>5.8</v>
      </c>
      <c r="G2080">
        <v>17</v>
      </c>
      <c r="H2080" s="23">
        <f t="shared" si="68"/>
        <v>17</v>
      </c>
    </row>
    <row r="2081" spans="1:8" x14ac:dyDescent="0.25">
      <c r="A2081" s="22">
        <v>41899.715277777781</v>
      </c>
      <c r="B2081">
        <v>411.8</v>
      </c>
      <c r="C2081">
        <v>93.9</v>
      </c>
      <c r="D2081">
        <v>9.6</v>
      </c>
      <c r="E2081">
        <v>5.8</v>
      </c>
      <c r="G2081">
        <v>17</v>
      </c>
      <c r="H2081" s="23">
        <f t="shared" si="68"/>
        <v>17</v>
      </c>
    </row>
    <row r="2082" spans="1:8" x14ac:dyDescent="0.25">
      <c r="A2082" s="22">
        <v>41899.71875</v>
      </c>
      <c r="B2082">
        <v>411.3</v>
      </c>
      <c r="C2082">
        <v>93.8</v>
      </c>
      <c r="D2082">
        <v>9.6</v>
      </c>
      <c r="E2082">
        <v>5.8</v>
      </c>
      <c r="G2082">
        <v>17</v>
      </c>
      <c r="H2082" s="23">
        <f t="shared" si="68"/>
        <v>17</v>
      </c>
    </row>
    <row r="2083" spans="1:8" x14ac:dyDescent="0.25">
      <c r="A2083" s="22">
        <v>41899.722222222219</v>
      </c>
      <c r="B2083">
        <v>422.2</v>
      </c>
      <c r="C2083">
        <v>93.9</v>
      </c>
      <c r="D2083">
        <v>9.6999999999999993</v>
      </c>
      <c r="E2083">
        <v>5.8</v>
      </c>
      <c r="G2083">
        <v>17</v>
      </c>
      <c r="H2083" s="23">
        <f t="shared" si="68"/>
        <v>17</v>
      </c>
    </row>
    <row r="2084" spans="1:8" x14ac:dyDescent="0.25">
      <c r="A2084" s="22">
        <v>41899.725694444445</v>
      </c>
      <c r="B2084">
        <v>435.2</v>
      </c>
      <c r="C2084">
        <v>94</v>
      </c>
      <c r="D2084">
        <v>9.8000000000000007</v>
      </c>
      <c r="E2084">
        <v>5.8</v>
      </c>
      <c r="G2084">
        <v>17</v>
      </c>
      <c r="H2084" s="23">
        <f t="shared" si="68"/>
        <v>17</v>
      </c>
    </row>
    <row r="2085" spans="1:8" x14ac:dyDescent="0.25">
      <c r="A2085" s="22">
        <v>41899.729166666664</v>
      </c>
      <c r="B2085">
        <v>442.2</v>
      </c>
      <c r="C2085">
        <v>93.9</v>
      </c>
      <c r="D2085">
        <v>9.9</v>
      </c>
      <c r="E2085">
        <v>5.8</v>
      </c>
      <c r="G2085">
        <v>17</v>
      </c>
      <c r="H2085" s="23">
        <f t="shared" si="68"/>
        <v>17</v>
      </c>
    </row>
    <row r="2086" spans="1:8" x14ac:dyDescent="0.25">
      <c r="A2086" s="22">
        <v>41899.732638888891</v>
      </c>
      <c r="B2086">
        <v>455.8</v>
      </c>
      <c r="C2086">
        <v>93.9</v>
      </c>
      <c r="D2086">
        <v>10.1</v>
      </c>
      <c r="E2086">
        <v>5.9</v>
      </c>
      <c r="G2086">
        <v>17</v>
      </c>
      <c r="H2086" s="23">
        <f t="shared" si="68"/>
        <v>17</v>
      </c>
    </row>
    <row r="2087" spans="1:8" x14ac:dyDescent="0.25">
      <c r="A2087" s="22">
        <v>41899.736111111109</v>
      </c>
      <c r="B2087">
        <v>459.4</v>
      </c>
      <c r="C2087">
        <v>94</v>
      </c>
      <c r="D2087">
        <v>10.4</v>
      </c>
      <c r="E2087">
        <v>6.2</v>
      </c>
      <c r="G2087">
        <v>17</v>
      </c>
      <c r="H2087" s="23">
        <f t="shared" si="68"/>
        <v>17</v>
      </c>
    </row>
    <row r="2088" spans="1:8" x14ac:dyDescent="0.25">
      <c r="A2088" s="22">
        <v>41899.739583333336</v>
      </c>
      <c r="B2088">
        <v>459.1</v>
      </c>
      <c r="C2088">
        <v>94.1</v>
      </c>
      <c r="D2088">
        <v>10.5</v>
      </c>
      <c r="E2088">
        <v>6.3</v>
      </c>
      <c r="G2088">
        <v>17</v>
      </c>
      <c r="H2088" s="23">
        <f t="shared" si="68"/>
        <v>17</v>
      </c>
    </row>
    <row r="2089" spans="1:8" x14ac:dyDescent="0.25">
      <c r="A2089" s="22">
        <v>41899.743055555555</v>
      </c>
      <c r="B2089">
        <v>459.5</v>
      </c>
      <c r="C2089">
        <v>94.1</v>
      </c>
      <c r="D2089">
        <v>10.5</v>
      </c>
      <c r="E2089">
        <v>6.3</v>
      </c>
      <c r="G2089">
        <v>17</v>
      </c>
      <c r="H2089" s="23">
        <f t="shared" si="68"/>
        <v>17</v>
      </c>
    </row>
    <row r="2090" spans="1:8" x14ac:dyDescent="0.25">
      <c r="A2090" s="22">
        <v>41899.746527777781</v>
      </c>
      <c r="B2090">
        <v>462.4</v>
      </c>
      <c r="C2090">
        <v>94.1</v>
      </c>
      <c r="D2090">
        <v>10.5</v>
      </c>
      <c r="E2090">
        <v>6.3</v>
      </c>
      <c r="G2090">
        <v>17</v>
      </c>
      <c r="H2090" s="23">
        <f t="shared" si="68"/>
        <v>17</v>
      </c>
    </row>
    <row r="2091" spans="1:8" x14ac:dyDescent="0.25">
      <c r="A2091" s="22">
        <v>41899.75</v>
      </c>
      <c r="B2091">
        <v>462.7</v>
      </c>
      <c r="C2091">
        <v>94</v>
      </c>
      <c r="D2091">
        <v>10.6</v>
      </c>
      <c r="E2091">
        <v>6.4</v>
      </c>
      <c r="G2091">
        <v>17</v>
      </c>
      <c r="H2091" s="23">
        <f t="shared" si="68"/>
        <v>18</v>
      </c>
    </row>
    <row r="2092" spans="1:8" x14ac:dyDescent="0.25">
      <c r="A2092" s="22">
        <v>41899.753472222219</v>
      </c>
      <c r="B2092">
        <v>459.7</v>
      </c>
      <c r="C2092">
        <v>94</v>
      </c>
      <c r="D2092">
        <v>10.6</v>
      </c>
      <c r="E2092">
        <v>6.4</v>
      </c>
      <c r="G2092">
        <v>17</v>
      </c>
      <c r="H2092" s="23">
        <f t="shared" si="68"/>
        <v>18</v>
      </c>
    </row>
    <row r="2093" spans="1:8" x14ac:dyDescent="0.25">
      <c r="A2093" s="22">
        <v>41899.756944444445</v>
      </c>
      <c r="B2093">
        <v>461.5</v>
      </c>
      <c r="C2093">
        <v>94.2</v>
      </c>
      <c r="D2093">
        <v>10.7</v>
      </c>
      <c r="E2093">
        <v>6.5</v>
      </c>
      <c r="G2093">
        <v>17</v>
      </c>
      <c r="H2093" s="23">
        <f t="shared" si="68"/>
        <v>18</v>
      </c>
    </row>
    <row r="2094" spans="1:8" x14ac:dyDescent="0.25">
      <c r="A2094" s="22">
        <v>41899.760416666664</v>
      </c>
      <c r="B2094">
        <v>463.1</v>
      </c>
      <c r="C2094">
        <v>94</v>
      </c>
      <c r="D2094">
        <v>10.7</v>
      </c>
      <c r="E2094">
        <v>6.5</v>
      </c>
      <c r="G2094">
        <v>17</v>
      </c>
      <c r="H2094" s="23">
        <f t="shared" si="68"/>
        <v>18</v>
      </c>
    </row>
    <row r="2095" spans="1:8" x14ac:dyDescent="0.25">
      <c r="A2095" s="22">
        <v>41899.763888888891</v>
      </c>
      <c r="B2095">
        <v>462.9</v>
      </c>
      <c r="C2095">
        <v>94.1</v>
      </c>
      <c r="D2095">
        <v>10.7</v>
      </c>
      <c r="E2095">
        <v>6.5</v>
      </c>
      <c r="G2095">
        <v>17</v>
      </c>
      <c r="H2095" s="23">
        <f t="shared" si="68"/>
        <v>18</v>
      </c>
    </row>
    <row r="2096" spans="1:8" x14ac:dyDescent="0.25">
      <c r="A2096" s="22">
        <v>41899.767361111109</v>
      </c>
      <c r="B2096">
        <v>464.3</v>
      </c>
      <c r="C2096">
        <v>94.1</v>
      </c>
      <c r="D2096">
        <v>10.8</v>
      </c>
      <c r="E2096">
        <v>6.6</v>
      </c>
      <c r="G2096">
        <v>17</v>
      </c>
      <c r="H2096" s="23">
        <f t="shared" si="68"/>
        <v>18</v>
      </c>
    </row>
    <row r="2097" spans="1:8" x14ac:dyDescent="0.25">
      <c r="A2097" s="22">
        <v>41899.770833333336</v>
      </c>
      <c r="B2097">
        <v>465.8</v>
      </c>
      <c r="C2097">
        <v>94.2</v>
      </c>
      <c r="D2097">
        <v>10.8</v>
      </c>
      <c r="E2097">
        <v>6.6</v>
      </c>
      <c r="G2097">
        <v>17</v>
      </c>
      <c r="H2097" s="23">
        <f t="shared" si="68"/>
        <v>18</v>
      </c>
    </row>
    <row r="2098" spans="1:8" x14ac:dyDescent="0.25">
      <c r="A2098" s="22">
        <v>41899.774305555555</v>
      </c>
      <c r="B2098">
        <v>464</v>
      </c>
      <c r="C2098">
        <v>94.1</v>
      </c>
      <c r="D2098">
        <v>10.9</v>
      </c>
      <c r="E2098">
        <v>6.7</v>
      </c>
      <c r="G2098">
        <v>17</v>
      </c>
      <c r="H2098" s="23">
        <f t="shared" si="68"/>
        <v>18</v>
      </c>
    </row>
    <row r="2099" spans="1:8" x14ac:dyDescent="0.25">
      <c r="A2099" s="22">
        <v>41899.777777777781</v>
      </c>
      <c r="B2099">
        <v>463.5</v>
      </c>
      <c r="C2099">
        <v>94.2</v>
      </c>
      <c r="D2099">
        <v>10.9</v>
      </c>
      <c r="E2099">
        <v>6.7</v>
      </c>
      <c r="G2099">
        <v>17</v>
      </c>
      <c r="H2099" s="23">
        <f t="shared" si="68"/>
        <v>18</v>
      </c>
    </row>
    <row r="2100" spans="1:8" x14ac:dyDescent="0.25">
      <c r="A2100" s="22">
        <v>41899.78125</v>
      </c>
      <c r="B2100">
        <v>467</v>
      </c>
      <c r="C2100">
        <v>94.1</v>
      </c>
      <c r="D2100">
        <v>11</v>
      </c>
      <c r="E2100">
        <v>6.8</v>
      </c>
      <c r="G2100">
        <v>17</v>
      </c>
      <c r="H2100" s="23">
        <f t="shared" si="68"/>
        <v>18</v>
      </c>
    </row>
    <row r="2101" spans="1:8" x14ac:dyDescent="0.25">
      <c r="A2101" s="22">
        <v>41899.784722222219</v>
      </c>
      <c r="B2101">
        <v>468.1</v>
      </c>
      <c r="C2101">
        <v>94.2</v>
      </c>
      <c r="D2101">
        <v>11.2</v>
      </c>
      <c r="E2101">
        <v>6.9</v>
      </c>
      <c r="G2101">
        <v>17</v>
      </c>
      <c r="H2101" s="23">
        <f t="shared" si="68"/>
        <v>18</v>
      </c>
    </row>
    <row r="2102" spans="1:8" x14ac:dyDescent="0.25">
      <c r="A2102" s="22">
        <v>41899.788194444445</v>
      </c>
      <c r="B2102">
        <v>469.1</v>
      </c>
      <c r="C2102">
        <v>94.3</v>
      </c>
      <c r="D2102">
        <v>11.2</v>
      </c>
      <c r="E2102">
        <v>6.9</v>
      </c>
      <c r="G2102">
        <v>17</v>
      </c>
      <c r="H2102" s="23">
        <f t="shared" si="68"/>
        <v>18</v>
      </c>
    </row>
    <row r="2103" spans="1:8" x14ac:dyDescent="0.25">
      <c r="A2103" s="22">
        <v>41899.791666666664</v>
      </c>
      <c r="B2103">
        <v>467.1</v>
      </c>
      <c r="C2103">
        <v>94.1</v>
      </c>
      <c r="D2103">
        <v>11.2</v>
      </c>
      <c r="E2103">
        <v>6.9</v>
      </c>
      <c r="G2103">
        <v>17</v>
      </c>
      <c r="H2103" s="23">
        <f t="shared" si="68"/>
        <v>19</v>
      </c>
    </row>
    <row r="2104" spans="1:8" x14ac:dyDescent="0.25">
      <c r="A2104" s="22">
        <v>41899.795138888891</v>
      </c>
      <c r="B2104">
        <v>469.1</v>
      </c>
      <c r="C2104">
        <v>94.2</v>
      </c>
      <c r="D2104">
        <v>11.2</v>
      </c>
      <c r="E2104">
        <v>6.9</v>
      </c>
      <c r="G2104">
        <v>17</v>
      </c>
      <c r="H2104" s="23">
        <f t="shared" si="68"/>
        <v>19</v>
      </c>
    </row>
    <row r="2105" spans="1:8" x14ac:dyDescent="0.25">
      <c r="A2105" s="22">
        <v>41899.798611111109</v>
      </c>
      <c r="B2105">
        <v>472.5</v>
      </c>
      <c r="C2105">
        <v>94.2</v>
      </c>
      <c r="D2105">
        <v>11.3</v>
      </c>
      <c r="E2105">
        <v>6.9</v>
      </c>
      <c r="G2105">
        <v>17</v>
      </c>
      <c r="H2105" s="23">
        <f t="shared" si="68"/>
        <v>19</v>
      </c>
    </row>
    <row r="2106" spans="1:8" x14ac:dyDescent="0.25">
      <c r="A2106" s="22">
        <v>41899.802083333336</v>
      </c>
      <c r="B2106">
        <v>472.6</v>
      </c>
      <c r="C2106">
        <v>94.3</v>
      </c>
      <c r="D2106">
        <v>11.3</v>
      </c>
      <c r="E2106">
        <v>7</v>
      </c>
      <c r="G2106">
        <v>17</v>
      </c>
      <c r="H2106" s="23">
        <f t="shared" si="68"/>
        <v>19</v>
      </c>
    </row>
    <row r="2107" spans="1:8" x14ac:dyDescent="0.25">
      <c r="A2107" s="22">
        <v>41899.805555555555</v>
      </c>
      <c r="B2107">
        <v>472.1</v>
      </c>
      <c r="C2107">
        <v>94.2</v>
      </c>
      <c r="D2107">
        <v>11.3</v>
      </c>
      <c r="E2107">
        <v>7</v>
      </c>
      <c r="G2107">
        <v>17</v>
      </c>
      <c r="H2107" s="23">
        <f t="shared" si="68"/>
        <v>19</v>
      </c>
    </row>
    <row r="2108" spans="1:8" x14ac:dyDescent="0.25">
      <c r="A2108" s="22">
        <v>41899.809027777781</v>
      </c>
      <c r="B2108">
        <v>474.2</v>
      </c>
      <c r="C2108">
        <v>94.2</v>
      </c>
      <c r="D2108">
        <v>11.4</v>
      </c>
      <c r="E2108">
        <v>7</v>
      </c>
      <c r="G2108">
        <v>17</v>
      </c>
      <c r="H2108" s="23">
        <f t="shared" si="68"/>
        <v>19</v>
      </c>
    </row>
    <row r="2109" spans="1:8" x14ac:dyDescent="0.25">
      <c r="A2109" s="22">
        <v>41899.8125</v>
      </c>
      <c r="B2109">
        <v>472.8</v>
      </c>
      <c r="C2109">
        <v>94.2</v>
      </c>
      <c r="D2109">
        <v>11.4</v>
      </c>
      <c r="E2109">
        <v>7.1</v>
      </c>
      <c r="G2109">
        <v>17</v>
      </c>
      <c r="H2109" s="23">
        <f t="shared" si="68"/>
        <v>19</v>
      </c>
    </row>
    <row r="2110" spans="1:8" x14ac:dyDescent="0.25">
      <c r="A2110" s="22">
        <v>41899.815972222219</v>
      </c>
      <c r="B2110">
        <v>476.4</v>
      </c>
      <c r="C2110">
        <v>94.2</v>
      </c>
      <c r="D2110">
        <v>11.4</v>
      </c>
      <c r="E2110">
        <v>7</v>
      </c>
      <c r="G2110">
        <v>17</v>
      </c>
      <c r="H2110" s="23">
        <f t="shared" si="68"/>
        <v>19</v>
      </c>
    </row>
    <row r="2111" spans="1:8" x14ac:dyDescent="0.25">
      <c r="A2111" s="22">
        <v>41899.819444444445</v>
      </c>
      <c r="B2111">
        <v>473.6</v>
      </c>
      <c r="C2111">
        <v>94.2</v>
      </c>
      <c r="D2111">
        <v>11.4</v>
      </c>
      <c r="E2111">
        <v>7.1</v>
      </c>
      <c r="G2111">
        <v>17</v>
      </c>
      <c r="H2111" s="23">
        <f t="shared" si="68"/>
        <v>19</v>
      </c>
    </row>
    <row r="2112" spans="1:8" x14ac:dyDescent="0.25">
      <c r="A2112" s="22">
        <v>41899.822916666664</v>
      </c>
      <c r="B2112">
        <v>474.2</v>
      </c>
      <c r="C2112">
        <v>94.1</v>
      </c>
      <c r="D2112">
        <v>11.4</v>
      </c>
      <c r="E2112">
        <v>7.1</v>
      </c>
      <c r="G2112">
        <v>17</v>
      </c>
      <c r="H2112" s="23">
        <f t="shared" si="68"/>
        <v>19</v>
      </c>
    </row>
    <row r="2113" spans="1:8" x14ac:dyDescent="0.25">
      <c r="A2113" s="22">
        <v>41899.826388888891</v>
      </c>
      <c r="B2113">
        <v>474.8</v>
      </c>
      <c r="C2113">
        <v>94.2</v>
      </c>
      <c r="D2113">
        <v>11.4</v>
      </c>
      <c r="E2113">
        <v>7.1</v>
      </c>
      <c r="G2113">
        <v>17</v>
      </c>
      <c r="H2113" s="23">
        <f t="shared" si="68"/>
        <v>19</v>
      </c>
    </row>
    <row r="2114" spans="1:8" x14ac:dyDescent="0.25">
      <c r="A2114" s="22">
        <v>41899.829861111109</v>
      </c>
      <c r="B2114">
        <v>476.4</v>
      </c>
      <c r="C2114">
        <v>94.3</v>
      </c>
      <c r="D2114">
        <v>11.4</v>
      </c>
      <c r="E2114">
        <v>7.1</v>
      </c>
      <c r="G2114">
        <v>17</v>
      </c>
      <c r="H2114" s="23">
        <f t="shared" si="68"/>
        <v>19</v>
      </c>
    </row>
    <row r="2115" spans="1:8" x14ac:dyDescent="0.25">
      <c r="A2115" s="22">
        <v>41899.833333333336</v>
      </c>
      <c r="B2115">
        <v>478.9</v>
      </c>
      <c r="C2115">
        <v>94.2</v>
      </c>
      <c r="D2115">
        <v>11.4</v>
      </c>
      <c r="E2115">
        <v>7.1</v>
      </c>
      <c r="G2115">
        <v>17</v>
      </c>
      <c r="H2115" s="23">
        <f t="shared" si="68"/>
        <v>20</v>
      </c>
    </row>
    <row r="2116" spans="1:8" x14ac:dyDescent="0.25">
      <c r="A2116" s="22">
        <v>41899.836805555555</v>
      </c>
      <c r="B2116">
        <v>478.5</v>
      </c>
      <c r="C2116">
        <v>94.2</v>
      </c>
      <c r="D2116">
        <v>11.4</v>
      </c>
      <c r="E2116">
        <v>7</v>
      </c>
      <c r="G2116">
        <v>17</v>
      </c>
      <c r="H2116" s="23">
        <f t="shared" si="68"/>
        <v>20</v>
      </c>
    </row>
    <row r="2117" spans="1:8" x14ac:dyDescent="0.25">
      <c r="A2117" s="22">
        <v>41899.840277777781</v>
      </c>
      <c r="B2117">
        <v>477.9</v>
      </c>
      <c r="C2117">
        <v>94.2</v>
      </c>
      <c r="D2117">
        <v>11.4</v>
      </c>
      <c r="E2117">
        <v>7</v>
      </c>
      <c r="G2117">
        <v>17</v>
      </c>
      <c r="H2117" s="23">
        <f t="shared" si="68"/>
        <v>20</v>
      </c>
    </row>
    <row r="2118" spans="1:8" x14ac:dyDescent="0.25">
      <c r="A2118" s="22">
        <v>41899.84375</v>
      </c>
      <c r="B2118">
        <v>478.4</v>
      </c>
      <c r="C2118">
        <v>94.3</v>
      </c>
      <c r="D2118">
        <v>11.4</v>
      </c>
      <c r="E2118">
        <v>7</v>
      </c>
      <c r="G2118">
        <v>17</v>
      </c>
      <c r="H2118" s="23">
        <f t="shared" ref="H2118:H2181" si="69">+HOUR(A2118)</f>
        <v>20</v>
      </c>
    </row>
    <row r="2119" spans="1:8" x14ac:dyDescent="0.25">
      <c r="A2119" s="22">
        <v>41899.847222222219</v>
      </c>
      <c r="B2119">
        <v>475.6</v>
      </c>
      <c r="C2119">
        <v>94.3</v>
      </c>
      <c r="D2119">
        <v>11.4</v>
      </c>
      <c r="E2119">
        <v>7</v>
      </c>
      <c r="G2119">
        <v>17</v>
      </c>
      <c r="H2119" s="23">
        <f t="shared" si="69"/>
        <v>20</v>
      </c>
    </row>
    <row r="2120" spans="1:8" x14ac:dyDescent="0.25">
      <c r="A2120" s="22">
        <v>41899.850694444445</v>
      </c>
      <c r="B2120">
        <v>476.4</v>
      </c>
      <c r="C2120">
        <v>94.3</v>
      </c>
      <c r="D2120">
        <v>11.4</v>
      </c>
      <c r="E2120">
        <v>7</v>
      </c>
      <c r="G2120">
        <v>17</v>
      </c>
      <c r="H2120" s="23">
        <f t="shared" si="69"/>
        <v>20</v>
      </c>
    </row>
    <row r="2121" spans="1:8" x14ac:dyDescent="0.25">
      <c r="A2121" s="22">
        <v>41899.854166666664</v>
      </c>
      <c r="B2121">
        <v>472.6</v>
      </c>
      <c r="C2121">
        <v>94.2</v>
      </c>
      <c r="D2121">
        <v>11.4</v>
      </c>
      <c r="E2121">
        <v>7.1</v>
      </c>
      <c r="G2121">
        <v>17</v>
      </c>
      <c r="H2121" s="23">
        <f t="shared" si="69"/>
        <v>20</v>
      </c>
    </row>
    <row r="2122" spans="1:8" x14ac:dyDescent="0.25">
      <c r="A2122" s="22">
        <v>41899.857638888891</v>
      </c>
      <c r="B2122">
        <v>471</v>
      </c>
      <c r="C2122">
        <v>94.1</v>
      </c>
      <c r="D2122">
        <v>11.4</v>
      </c>
      <c r="E2122">
        <v>7.1</v>
      </c>
      <c r="G2122">
        <v>17</v>
      </c>
      <c r="H2122" s="23">
        <f t="shared" si="69"/>
        <v>20</v>
      </c>
    </row>
    <row r="2123" spans="1:8" x14ac:dyDescent="0.25">
      <c r="A2123" s="22">
        <v>41899.861111111109</v>
      </c>
      <c r="B2123">
        <v>475.1</v>
      </c>
      <c r="C2123">
        <v>94.3</v>
      </c>
      <c r="D2123">
        <v>11.4</v>
      </c>
      <c r="E2123">
        <v>7.1</v>
      </c>
      <c r="G2123">
        <v>17</v>
      </c>
      <c r="H2123" s="23">
        <f t="shared" si="69"/>
        <v>20</v>
      </c>
    </row>
    <row r="2124" spans="1:8" x14ac:dyDescent="0.25">
      <c r="A2124" s="22">
        <v>41899.864583333336</v>
      </c>
      <c r="B2124">
        <v>472.8</v>
      </c>
      <c r="C2124">
        <v>94.2</v>
      </c>
      <c r="D2124">
        <v>11.4</v>
      </c>
      <c r="E2124">
        <v>7.1</v>
      </c>
      <c r="G2124">
        <v>17</v>
      </c>
      <c r="H2124" s="23">
        <f t="shared" si="69"/>
        <v>20</v>
      </c>
    </row>
    <row r="2125" spans="1:8" x14ac:dyDescent="0.25">
      <c r="A2125" s="22">
        <v>41899.868055555555</v>
      </c>
      <c r="B2125">
        <v>473</v>
      </c>
      <c r="C2125">
        <v>94.1</v>
      </c>
      <c r="D2125">
        <v>11.4</v>
      </c>
      <c r="E2125">
        <v>7.1</v>
      </c>
      <c r="G2125">
        <v>17</v>
      </c>
      <c r="H2125" s="23">
        <f t="shared" si="69"/>
        <v>20</v>
      </c>
    </row>
    <row r="2126" spans="1:8" x14ac:dyDescent="0.25">
      <c r="A2126" s="22">
        <v>41899.871527777781</v>
      </c>
      <c r="B2126">
        <v>472</v>
      </c>
      <c r="C2126">
        <v>94.2</v>
      </c>
      <c r="D2126">
        <v>11.4</v>
      </c>
      <c r="E2126">
        <v>7.1</v>
      </c>
      <c r="G2126">
        <v>17</v>
      </c>
      <c r="H2126" s="23">
        <f t="shared" si="69"/>
        <v>20</v>
      </c>
    </row>
    <row r="2127" spans="1:8" x14ac:dyDescent="0.25">
      <c r="A2127" s="22">
        <v>41899.875</v>
      </c>
      <c r="B2127">
        <v>473.5</v>
      </c>
      <c r="C2127">
        <v>94.2</v>
      </c>
      <c r="D2127">
        <v>11.4</v>
      </c>
      <c r="E2127">
        <v>7.1</v>
      </c>
      <c r="G2127">
        <v>17</v>
      </c>
      <c r="H2127" s="23">
        <f t="shared" si="69"/>
        <v>21</v>
      </c>
    </row>
    <row r="2128" spans="1:8" x14ac:dyDescent="0.25">
      <c r="A2128" s="22">
        <v>41899.878472222219</v>
      </c>
      <c r="B2128">
        <v>475.1</v>
      </c>
      <c r="C2128">
        <v>94.3</v>
      </c>
      <c r="D2128">
        <v>11.4</v>
      </c>
      <c r="E2128">
        <v>7.1</v>
      </c>
      <c r="G2128">
        <v>17</v>
      </c>
      <c r="H2128" s="23">
        <f t="shared" si="69"/>
        <v>21</v>
      </c>
    </row>
    <row r="2129" spans="1:8" x14ac:dyDescent="0.25">
      <c r="A2129" s="22">
        <v>41899.881944444445</v>
      </c>
      <c r="B2129">
        <v>474.7</v>
      </c>
      <c r="C2129">
        <v>94.2</v>
      </c>
      <c r="D2129">
        <v>11.4</v>
      </c>
      <c r="E2129">
        <v>7.1</v>
      </c>
      <c r="G2129">
        <v>17</v>
      </c>
      <c r="H2129" s="23">
        <f t="shared" si="69"/>
        <v>21</v>
      </c>
    </row>
    <row r="2130" spans="1:8" x14ac:dyDescent="0.25">
      <c r="A2130" s="22">
        <v>41899.885416666664</v>
      </c>
      <c r="B2130">
        <v>476.1</v>
      </c>
      <c r="C2130">
        <v>94.1</v>
      </c>
      <c r="D2130">
        <v>11.4</v>
      </c>
      <c r="E2130">
        <v>7.1</v>
      </c>
      <c r="G2130">
        <v>17</v>
      </c>
      <c r="H2130" s="23">
        <f t="shared" si="69"/>
        <v>21</v>
      </c>
    </row>
    <row r="2131" spans="1:8" x14ac:dyDescent="0.25">
      <c r="A2131" s="22">
        <v>41899.888888888891</v>
      </c>
      <c r="B2131">
        <v>475.7</v>
      </c>
      <c r="C2131">
        <v>94.1</v>
      </c>
      <c r="D2131">
        <v>11.4</v>
      </c>
      <c r="E2131">
        <v>7.1</v>
      </c>
      <c r="G2131">
        <v>17</v>
      </c>
      <c r="H2131" s="23">
        <f t="shared" si="69"/>
        <v>21</v>
      </c>
    </row>
    <row r="2132" spans="1:8" x14ac:dyDescent="0.25">
      <c r="A2132" s="22">
        <v>41899.892361111109</v>
      </c>
      <c r="B2132">
        <v>477.3</v>
      </c>
      <c r="C2132">
        <v>94.2</v>
      </c>
      <c r="D2132">
        <v>11.4</v>
      </c>
      <c r="E2132">
        <v>7.1</v>
      </c>
      <c r="G2132">
        <v>17</v>
      </c>
      <c r="H2132" s="23">
        <f t="shared" si="69"/>
        <v>21</v>
      </c>
    </row>
    <row r="2133" spans="1:8" x14ac:dyDescent="0.25">
      <c r="A2133" s="22">
        <v>41899.895833333336</v>
      </c>
      <c r="B2133">
        <v>477.9</v>
      </c>
      <c r="C2133">
        <v>94.2</v>
      </c>
      <c r="D2133">
        <v>11.4</v>
      </c>
      <c r="E2133">
        <v>7.1</v>
      </c>
      <c r="G2133">
        <v>17</v>
      </c>
      <c r="H2133" s="23">
        <f t="shared" si="69"/>
        <v>21</v>
      </c>
    </row>
    <row r="2134" spans="1:8" x14ac:dyDescent="0.25">
      <c r="A2134" s="22">
        <v>41899.899305555555</v>
      </c>
      <c r="B2134">
        <v>478.2</v>
      </c>
      <c r="C2134">
        <v>94.2</v>
      </c>
      <c r="D2134">
        <v>11.5</v>
      </c>
      <c r="E2134">
        <v>7.1</v>
      </c>
      <c r="G2134">
        <v>17</v>
      </c>
      <c r="H2134" s="23">
        <f t="shared" si="69"/>
        <v>21</v>
      </c>
    </row>
    <row r="2135" spans="1:8" x14ac:dyDescent="0.25">
      <c r="A2135" s="22">
        <v>41899.902777777781</v>
      </c>
      <c r="B2135">
        <v>478.4</v>
      </c>
      <c r="C2135">
        <v>94.3</v>
      </c>
      <c r="D2135">
        <v>11.5</v>
      </c>
      <c r="E2135">
        <v>7.2</v>
      </c>
      <c r="G2135">
        <v>17</v>
      </c>
      <c r="H2135" s="23">
        <f t="shared" si="69"/>
        <v>21</v>
      </c>
    </row>
    <row r="2136" spans="1:8" x14ac:dyDescent="0.25">
      <c r="A2136" s="22">
        <v>41899.90625</v>
      </c>
      <c r="B2136">
        <v>477.6</v>
      </c>
      <c r="C2136">
        <v>94.3</v>
      </c>
      <c r="D2136">
        <v>11.5</v>
      </c>
      <c r="E2136">
        <v>7.2</v>
      </c>
      <c r="G2136">
        <v>17</v>
      </c>
      <c r="H2136" s="23">
        <f t="shared" si="69"/>
        <v>21</v>
      </c>
    </row>
    <row r="2137" spans="1:8" x14ac:dyDescent="0.25">
      <c r="A2137" s="22">
        <v>41899.909722222219</v>
      </c>
      <c r="B2137">
        <v>478.6</v>
      </c>
      <c r="C2137">
        <v>94.2</v>
      </c>
      <c r="D2137">
        <v>11.5</v>
      </c>
      <c r="E2137">
        <v>7.2</v>
      </c>
      <c r="G2137">
        <v>17</v>
      </c>
      <c r="H2137" s="23">
        <f t="shared" si="69"/>
        <v>21</v>
      </c>
    </row>
    <row r="2138" spans="1:8" x14ac:dyDescent="0.25">
      <c r="A2138" s="22">
        <v>41899.913194444445</v>
      </c>
      <c r="B2138">
        <v>478.1</v>
      </c>
      <c r="C2138">
        <v>94.2</v>
      </c>
      <c r="D2138">
        <v>11.5</v>
      </c>
      <c r="E2138">
        <v>7.2</v>
      </c>
      <c r="G2138">
        <v>17</v>
      </c>
      <c r="H2138" s="23">
        <f t="shared" si="69"/>
        <v>21</v>
      </c>
    </row>
    <row r="2139" spans="1:8" x14ac:dyDescent="0.25">
      <c r="A2139" s="22">
        <v>41899.916666666664</v>
      </c>
      <c r="B2139">
        <v>477.9</v>
      </c>
      <c r="C2139">
        <v>94.2</v>
      </c>
      <c r="D2139">
        <v>11.5</v>
      </c>
      <c r="E2139">
        <v>7.2</v>
      </c>
      <c r="G2139">
        <v>17</v>
      </c>
      <c r="H2139" s="23">
        <f t="shared" si="69"/>
        <v>22</v>
      </c>
    </row>
    <row r="2140" spans="1:8" x14ac:dyDescent="0.25">
      <c r="A2140" s="22">
        <v>41899.920138888891</v>
      </c>
      <c r="B2140">
        <v>478.4</v>
      </c>
      <c r="C2140">
        <v>94.2</v>
      </c>
      <c r="D2140">
        <v>11.6</v>
      </c>
      <c r="E2140">
        <v>7.2</v>
      </c>
      <c r="G2140">
        <v>17</v>
      </c>
      <c r="H2140" s="23">
        <f t="shared" si="69"/>
        <v>22</v>
      </c>
    </row>
    <row r="2141" spans="1:8" x14ac:dyDescent="0.25">
      <c r="A2141" s="22">
        <v>41899.923611111109</v>
      </c>
      <c r="B2141">
        <v>481.3</v>
      </c>
      <c r="C2141">
        <v>94.2</v>
      </c>
      <c r="D2141">
        <v>11.6</v>
      </c>
      <c r="E2141">
        <v>7.2</v>
      </c>
      <c r="G2141">
        <v>17</v>
      </c>
      <c r="H2141" s="23">
        <f t="shared" si="69"/>
        <v>22</v>
      </c>
    </row>
    <row r="2142" spans="1:8" x14ac:dyDescent="0.25">
      <c r="A2142" s="22">
        <v>41899.927083333336</v>
      </c>
      <c r="B2142">
        <v>481.1</v>
      </c>
      <c r="C2142">
        <v>94.2</v>
      </c>
      <c r="D2142">
        <v>11.6</v>
      </c>
      <c r="E2142">
        <v>7.2</v>
      </c>
      <c r="G2142">
        <v>17</v>
      </c>
      <c r="H2142" s="23">
        <f t="shared" si="69"/>
        <v>22</v>
      </c>
    </row>
    <row r="2143" spans="1:8" x14ac:dyDescent="0.25">
      <c r="A2143" s="22">
        <v>41899.930555555555</v>
      </c>
      <c r="B2143">
        <v>480.4</v>
      </c>
      <c r="C2143">
        <v>94.2</v>
      </c>
      <c r="D2143">
        <v>11.6</v>
      </c>
      <c r="E2143">
        <v>7.2</v>
      </c>
      <c r="G2143">
        <v>17</v>
      </c>
      <c r="H2143" s="23">
        <f t="shared" si="69"/>
        <v>22</v>
      </c>
    </row>
    <row r="2144" spans="1:8" x14ac:dyDescent="0.25">
      <c r="A2144" s="22">
        <v>41899.934027777781</v>
      </c>
      <c r="B2144">
        <v>480.1</v>
      </c>
      <c r="C2144">
        <v>94.2</v>
      </c>
      <c r="D2144">
        <v>11.5</v>
      </c>
      <c r="E2144">
        <v>7.1</v>
      </c>
      <c r="G2144">
        <v>17</v>
      </c>
      <c r="H2144" s="23">
        <f t="shared" si="69"/>
        <v>22</v>
      </c>
    </row>
    <row r="2145" spans="1:8" x14ac:dyDescent="0.25">
      <c r="A2145" s="22">
        <v>41899.9375</v>
      </c>
      <c r="B2145">
        <v>481.7</v>
      </c>
      <c r="C2145">
        <v>94.2</v>
      </c>
      <c r="D2145">
        <v>11.3</v>
      </c>
      <c r="E2145">
        <v>6.9</v>
      </c>
      <c r="G2145">
        <v>17</v>
      </c>
      <c r="H2145" s="23">
        <f t="shared" si="69"/>
        <v>22</v>
      </c>
    </row>
    <row r="2146" spans="1:8" x14ac:dyDescent="0.25">
      <c r="A2146" s="22">
        <v>41899.940972222219</v>
      </c>
      <c r="B2146">
        <v>493.9</v>
      </c>
      <c r="C2146">
        <v>94.2</v>
      </c>
      <c r="D2146">
        <v>11.6</v>
      </c>
      <c r="E2146">
        <v>7.1</v>
      </c>
      <c r="G2146">
        <v>17</v>
      </c>
      <c r="H2146" s="23">
        <f t="shared" si="69"/>
        <v>22</v>
      </c>
    </row>
    <row r="2147" spans="1:8" x14ac:dyDescent="0.25">
      <c r="A2147" s="22">
        <v>41899.944444444445</v>
      </c>
      <c r="B2147">
        <v>486</v>
      </c>
      <c r="C2147">
        <v>94.2</v>
      </c>
      <c r="D2147">
        <v>12.1</v>
      </c>
      <c r="E2147">
        <v>7.6</v>
      </c>
      <c r="G2147">
        <v>17</v>
      </c>
      <c r="H2147" s="23">
        <f t="shared" si="69"/>
        <v>22</v>
      </c>
    </row>
    <row r="2148" spans="1:8" x14ac:dyDescent="0.25">
      <c r="A2148" s="22">
        <v>41899.947916666664</v>
      </c>
      <c r="B2148">
        <v>479.1</v>
      </c>
      <c r="C2148">
        <v>94.2</v>
      </c>
      <c r="D2148">
        <v>11.5</v>
      </c>
      <c r="E2148">
        <v>7.2</v>
      </c>
      <c r="G2148">
        <v>17</v>
      </c>
      <c r="H2148" s="23">
        <f t="shared" si="69"/>
        <v>22</v>
      </c>
    </row>
    <row r="2149" spans="1:8" x14ac:dyDescent="0.25">
      <c r="A2149" s="22">
        <v>41899.951388888891</v>
      </c>
      <c r="B2149">
        <v>481.8</v>
      </c>
      <c r="C2149">
        <v>94.2</v>
      </c>
      <c r="D2149">
        <v>11.3</v>
      </c>
      <c r="E2149">
        <v>6.9</v>
      </c>
      <c r="G2149">
        <v>17</v>
      </c>
      <c r="H2149" s="23">
        <f t="shared" si="69"/>
        <v>22</v>
      </c>
    </row>
    <row r="2150" spans="1:8" x14ac:dyDescent="0.25">
      <c r="A2150" s="22">
        <v>41899.954861111109</v>
      </c>
      <c r="B2150">
        <v>482.8</v>
      </c>
      <c r="C2150">
        <v>94.2</v>
      </c>
      <c r="D2150">
        <v>11.4</v>
      </c>
      <c r="E2150">
        <v>7</v>
      </c>
      <c r="G2150">
        <v>17</v>
      </c>
      <c r="H2150" s="23">
        <f t="shared" si="69"/>
        <v>22</v>
      </c>
    </row>
    <row r="2151" spans="1:8" x14ac:dyDescent="0.25">
      <c r="A2151" s="22">
        <v>41899.958333333336</v>
      </c>
      <c r="B2151">
        <v>482.6</v>
      </c>
      <c r="C2151">
        <v>94.1</v>
      </c>
      <c r="D2151">
        <v>11.3</v>
      </c>
      <c r="E2151">
        <v>6.9</v>
      </c>
      <c r="G2151">
        <v>17</v>
      </c>
      <c r="H2151" s="23">
        <f t="shared" si="69"/>
        <v>23</v>
      </c>
    </row>
    <row r="2152" spans="1:8" x14ac:dyDescent="0.25">
      <c r="A2152" s="22">
        <v>41899.961805555555</v>
      </c>
      <c r="B2152">
        <v>480.9</v>
      </c>
      <c r="C2152">
        <v>94.1</v>
      </c>
      <c r="D2152">
        <v>11.2</v>
      </c>
      <c r="E2152">
        <v>6.9</v>
      </c>
      <c r="G2152">
        <v>17</v>
      </c>
      <c r="H2152" s="23">
        <f t="shared" si="69"/>
        <v>23</v>
      </c>
    </row>
    <row r="2153" spans="1:8" x14ac:dyDescent="0.25">
      <c r="A2153" s="22">
        <v>41899.965277777781</v>
      </c>
      <c r="B2153">
        <v>480.3</v>
      </c>
      <c r="C2153">
        <v>94.2</v>
      </c>
      <c r="D2153">
        <v>11.2</v>
      </c>
      <c r="E2153">
        <v>6.8</v>
      </c>
      <c r="G2153">
        <v>17</v>
      </c>
      <c r="H2153" s="23">
        <f t="shared" si="69"/>
        <v>23</v>
      </c>
    </row>
    <row r="2154" spans="1:8" x14ac:dyDescent="0.25">
      <c r="A2154" s="22">
        <v>41899.96875</v>
      </c>
      <c r="B2154">
        <v>480.6</v>
      </c>
      <c r="C2154">
        <v>94.2</v>
      </c>
      <c r="D2154">
        <v>11.1</v>
      </c>
      <c r="E2154">
        <v>6.7</v>
      </c>
      <c r="G2154">
        <v>17</v>
      </c>
      <c r="H2154" s="23">
        <f t="shared" si="69"/>
        <v>23</v>
      </c>
    </row>
    <row r="2155" spans="1:8" x14ac:dyDescent="0.25">
      <c r="A2155" s="22">
        <v>41899.972222222219</v>
      </c>
      <c r="B2155">
        <v>481.6</v>
      </c>
      <c r="C2155">
        <v>94.1</v>
      </c>
      <c r="D2155">
        <v>11</v>
      </c>
      <c r="E2155">
        <v>6.7</v>
      </c>
      <c r="G2155">
        <v>17</v>
      </c>
      <c r="H2155" s="23">
        <f t="shared" si="69"/>
        <v>23</v>
      </c>
    </row>
    <row r="2156" spans="1:8" x14ac:dyDescent="0.25">
      <c r="A2156" s="22">
        <v>41899.975694444445</v>
      </c>
      <c r="B2156">
        <v>480.3</v>
      </c>
      <c r="C2156">
        <v>94.1</v>
      </c>
      <c r="D2156">
        <v>11</v>
      </c>
      <c r="E2156">
        <v>6.6</v>
      </c>
      <c r="G2156">
        <v>17</v>
      </c>
      <c r="H2156" s="23">
        <f t="shared" si="69"/>
        <v>23</v>
      </c>
    </row>
    <row r="2157" spans="1:8" x14ac:dyDescent="0.25">
      <c r="A2157" s="22">
        <v>41899.979166666664</v>
      </c>
      <c r="B2157">
        <v>479.6</v>
      </c>
      <c r="C2157">
        <v>94</v>
      </c>
      <c r="D2157">
        <v>10.9</v>
      </c>
      <c r="E2157">
        <v>6.5</v>
      </c>
      <c r="G2157">
        <v>17</v>
      </c>
      <c r="H2157" s="23">
        <f t="shared" si="69"/>
        <v>23</v>
      </c>
    </row>
    <row r="2158" spans="1:8" x14ac:dyDescent="0.25">
      <c r="A2158" s="22">
        <v>41899.982638888891</v>
      </c>
      <c r="B2158">
        <v>479.3</v>
      </c>
      <c r="C2158">
        <v>94</v>
      </c>
      <c r="D2158">
        <v>10.9</v>
      </c>
      <c r="E2158">
        <v>6.5</v>
      </c>
      <c r="G2158">
        <v>17</v>
      </c>
      <c r="H2158" s="23">
        <f t="shared" si="69"/>
        <v>23</v>
      </c>
    </row>
    <row r="2159" spans="1:8" x14ac:dyDescent="0.25">
      <c r="A2159" s="22">
        <v>41899.986111111109</v>
      </c>
      <c r="B2159">
        <v>479.5</v>
      </c>
      <c r="C2159">
        <v>94.1</v>
      </c>
      <c r="D2159">
        <v>10.8</v>
      </c>
      <c r="E2159">
        <v>6.5</v>
      </c>
      <c r="G2159">
        <v>17</v>
      </c>
      <c r="H2159" s="23">
        <f t="shared" si="69"/>
        <v>23</v>
      </c>
    </row>
    <row r="2160" spans="1:8" x14ac:dyDescent="0.25">
      <c r="A2160" s="22">
        <v>41899.989583333336</v>
      </c>
      <c r="B2160">
        <v>480</v>
      </c>
      <c r="C2160">
        <v>94</v>
      </c>
      <c r="D2160">
        <v>10.8</v>
      </c>
      <c r="E2160">
        <v>6.4</v>
      </c>
      <c r="G2160">
        <v>17</v>
      </c>
      <c r="H2160" s="23">
        <f t="shared" si="69"/>
        <v>23</v>
      </c>
    </row>
    <row r="2161" spans="1:8" x14ac:dyDescent="0.25">
      <c r="A2161" s="22">
        <v>41899.993055555555</v>
      </c>
      <c r="B2161">
        <v>479.4</v>
      </c>
      <c r="C2161">
        <v>94</v>
      </c>
      <c r="D2161">
        <v>10.8</v>
      </c>
      <c r="E2161">
        <v>6.4</v>
      </c>
      <c r="G2161">
        <v>17</v>
      </c>
      <c r="H2161" s="23">
        <f t="shared" si="69"/>
        <v>23</v>
      </c>
    </row>
    <row r="2162" spans="1:8" x14ac:dyDescent="0.25">
      <c r="A2162" s="22">
        <v>41899.996527777781</v>
      </c>
      <c r="B2162">
        <v>480</v>
      </c>
      <c r="C2162">
        <v>94</v>
      </c>
      <c r="D2162">
        <v>10.8</v>
      </c>
      <c r="E2162">
        <v>6.4</v>
      </c>
      <c r="G2162">
        <v>17</v>
      </c>
      <c r="H2162" s="23">
        <f t="shared" si="69"/>
        <v>23</v>
      </c>
    </row>
    <row r="2163" spans="1:8" x14ac:dyDescent="0.25">
      <c r="A2163" s="22">
        <v>41900</v>
      </c>
      <c r="B2163">
        <v>479</v>
      </c>
      <c r="C2163">
        <v>94</v>
      </c>
      <c r="D2163">
        <v>10.7</v>
      </c>
      <c r="E2163">
        <v>6.4</v>
      </c>
      <c r="G2163">
        <v>18</v>
      </c>
      <c r="H2163" s="23">
        <f t="shared" si="69"/>
        <v>0</v>
      </c>
    </row>
    <row r="2164" spans="1:8" x14ac:dyDescent="0.25">
      <c r="A2164" s="22">
        <v>41900.003472222219</v>
      </c>
      <c r="B2164">
        <v>473.3</v>
      </c>
      <c r="C2164">
        <v>94</v>
      </c>
      <c r="D2164">
        <v>10.7</v>
      </c>
      <c r="E2164">
        <v>6.4</v>
      </c>
      <c r="G2164">
        <v>18</v>
      </c>
      <c r="H2164" s="23">
        <f t="shared" si="69"/>
        <v>0</v>
      </c>
    </row>
    <row r="2165" spans="1:8" x14ac:dyDescent="0.25">
      <c r="A2165" s="22">
        <v>41900.006944444445</v>
      </c>
      <c r="B2165">
        <v>470.8</v>
      </c>
      <c r="C2165">
        <v>93.9</v>
      </c>
      <c r="D2165">
        <v>10.7</v>
      </c>
      <c r="E2165">
        <v>6.4</v>
      </c>
      <c r="G2165">
        <v>18</v>
      </c>
      <c r="H2165" s="23">
        <f t="shared" si="69"/>
        <v>0</v>
      </c>
    </row>
    <row r="2166" spans="1:8" x14ac:dyDescent="0.25">
      <c r="A2166" s="22">
        <v>41900.010416666664</v>
      </c>
      <c r="B2166">
        <v>470.1</v>
      </c>
      <c r="C2166">
        <v>94.1</v>
      </c>
      <c r="D2166">
        <v>10.6</v>
      </c>
      <c r="E2166">
        <v>6.3</v>
      </c>
      <c r="G2166">
        <v>18</v>
      </c>
      <c r="H2166" s="23">
        <f t="shared" si="69"/>
        <v>0</v>
      </c>
    </row>
    <row r="2167" spans="1:8" x14ac:dyDescent="0.25">
      <c r="A2167" s="22">
        <v>41900.013888888891</v>
      </c>
      <c r="B2167">
        <v>469.7</v>
      </c>
      <c r="C2167">
        <v>94</v>
      </c>
      <c r="D2167">
        <v>10.6</v>
      </c>
      <c r="E2167">
        <v>6.3</v>
      </c>
      <c r="G2167">
        <v>18</v>
      </c>
      <c r="H2167" s="23">
        <f t="shared" si="69"/>
        <v>0</v>
      </c>
    </row>
    <row r="2168" spans="1:8" x14ac:dyDescent="0.25">
      <c r="A2168" s="22">
        <v>41900.017361111109</v>
      </c>
      <c r="B2168">
        <v>468.8</v>
      </c>
      <c r="C2168">
        <v>94</v>
      </c>
      <c r="D2168">
        <v>10.6</v>
      </c>
      <c r="E2168">
        <v>6.3</v>
      </c>
      <c r="G2168">
        <v>18</v>
      </c>
      <c r="H2168" s="23">
        <f t="shared" si="69"/>
        <v>0</v>
      </c>
    </row>
    <row r="2169" spans="1:8" x14ac:dyDescent="0.25">
      <c r="A2169" s="22">
        <v>41900.020833333336</v>
      </c>
      <c r="B2169">
        <v>469.4</v>
      </c>
      <c r="C2169">
        <v>93.9</v>
      </c>
      <c r="D2169">
        <v>10.6</v>
      </c>
      <c r="E2169">
        <v>6.3</v>
      </c>
      <c r="G2169">
        <v>18</v>
      </c>
      <c r="H2169" s="23">
        <f t="shared" si="69"/>
        <v>0</v>
      </c>
    </row>
    <row r="2170" spans="1:8" x14ac:dyDescent="0.25">
      <c r="A2170" s="22">
        <v>41900.024305555555</v>
      </c>
      <c r="B2170">
        <v>467.4</v>
      </c>
      <c r="C2170">
        <v>94</v>
      </c>
      <c r="D2170">
        <v>10.5</v>
      </c>
      <c r="E2170">
        <v>6.3</v>
      </c>
      <c r="G2170">
        <v>18</v>
      </c>
      <c r="H2170" s="23">
        <f t="shared" si="69"/>
        <v>0</v>
      </c>
    </row>
    <row r="2171" spans="1:8" x14ac:dyDescent="0.25">
      <c r="A2171" s="22">
        <v>41900.027777777781</v>
      </c>
      <c r="B2171">
        <v>468.4</v>
      </c>
      <c r="C2171">
        <v>94.1</v>
      </c>
      <c r="D2171">
        <v>10.5</v>
      </c>
      <c r="E2171">
        <v>6.2</v>
      </c>
      <c r="G2171">
        <v>18</v>
      </c>
      <c r="H2171" s="23">
        <f t="shared" si="69"/>
        <v>0</v>
      </c>
    </row>
    <row r="2172" spans="1:8" x14ac:dyDescent="0.25">
      <c r="A2172" s="22">
        <v>41900.03125</v>
      </c>
      <c r="B2172">
        <v>467.8</v>
      </c>
      <c r="C2172">
        <v>94</v>
      </c>
      <c r="D2172">
        <v>10.5</v>
      </c>
      <c r="E2172">
        <v>6.2</v>
      </c>
      <c r="G2172">
        <v>18</v>
      </c>
      <c r="H2172" s="23">
        <f t="shared" si="69"/>
        <v>0</v>
      </c>
    </row>
    <row r="2173" spans="1:8" x14ac:dyDescent="0.25">
      <c r="A2173" s="22">
        <v>41900.034722222219</v>
      </c>
      <c r="B2173">
        <v>466.4</v>
      </c>
      <c r="C2173">
        <v>94</v>
      </c>
      <c r="D2173">
        <v>10.5</v>
      </c>
      <c r="E2173">
        <v>6.2</v>
      </c>
      <c r="G2173">
        <v>18</v>
      </c>
      <c r="H2173" s="23">
        <f t="shared" si="69"/>
        <v>0</v>
      </c>
    </row>
    <row r="2174" spans="1:8" x14ac:dyDescent="0.25">
      <c r="A2174" s="22">
        <v>41900.038194444445</v>
      </c>
      <c r="B2174">
        <v>466.2</v>
      </c>
      <c r="C2174">
        <v>94</v>
      </c>
      <c r="D2174">
        <v>10.5</v>
      </c>
      <c r="E2174">
        <v>6.2</v>
      </c>
      <c r="G2174">
        <v>18</v>
      </c>
      <c r="H2174" s="23">
        <f t="shared" si="69"/>
        <v>0</v>
      </c>
    </row>
    <row r="2175" spans="1:8" x14ac:dyDescent="0.25">
      <c r="A2175" s="22">
        <v>41900.041666666664</v>
      </c>
      <c r="B2175">
        <v>465.7</v>
      </c>
      <c r="C2175">
        <v>94.1</v>
      </c>
      <c r="D2175">
        <v>10.4</v>
      </c>
      <c r="E2175">
        <v>6.2</v>
      </c>
      <c r="G2175">
        <v>18</v>
      </c>
      <c r="H2175" s="23">
        <f t="shared" si="69"/>
        <v>1</v>
      </c>
    </row>
    <row r="2176" spans="1:8" x14ac:dyDescent="0.25">
      <c r="A2176" s="22">
        <v>41900.045138888891</v>
      </c>
      <c r="B2176">
        <v>463.1</v>
      </c>
      <c r="C2176">
        <v>94</v>
      </c>
      <c r="D2176">
        <v>10.4</v>
      </c>
      <c r="E2176">
        <v>6.2</v>
      </c>
      <c r="G2176">
        <v>18</v>
      </c>
      <c r="H2176" s="23">
        <f t="shared" si="69"/>
        <v>1</v>
      </c>
    </row>
    <row r="2177" spans="1:8" x14ac:dyDescent="0.25">
      <c r="A2177" s="22">
        <v>41900.048611111109</v>
      </c>
      <c r="B2177">
        <v>461.7</v>
      </c>
      <c r="C2177">
        <v>94</v>
      </c>
      <c r="D2177">
        <v>10.3</v>
      </c>
      <c r="E2177">
        <v>6.1</v>
      </c>
      <c r="G2177">
        <v>18</v>
      </c>
      <c r="H2177" s="23">
        <f t="shared" si="69"/>
        <v>1</v>
      </c>
    </row>
    <row r="2178" spans="1:8" x14ac:dyDescent="0.25">
      <c r="A2178" s="22">
        <v>41900.052083333336</v>
      </c>
      <c r="B2178">
        <v>461.4</v>
      </c>
      <c r="C2178">
        <v>93.9</v>
      </c>
      <c r="D2178">
        <v>10.3</v>
      </c>
      <c r="E2178">
        <v>6.1</v>
      </c>
      <c r="G2178">
        <v>18</v>
      </c>
      <c r="H2178" s="23">
        <f t="shared" si="69"/>
        <v>1</v>
      </c>
    </row>
    <row r="2179" spans="1:8" x14ac:dyDescent="0.25">
      <c r="A2179" s="22">
        <v>41900.055555555555</v>
      </c>
      <c r="B2179">
        <v>459.8</v>
      </c>
      <c r="C2179">
        <v>93.9</v>
      </c>
      <c r="D2179">
        <v>10.199999999999999</v>
      </c>
      <c r="E2179">
        <v>6</v>
      </c>
      <c r="G2179">
        <v>18</v>
      </c>
      <c r="H2179" s="23">
        <f t="shared" si="69"/>
        <v>1</v>
      </c>
    </row>
    <row r="2180" spans="1:8" x14ac:dyDescent="0.25">
      <c r="A2180" s="22">
        <v>41900.059027777781</v>
      </c>
      <c r="B2180">
        <v>460.6</v>
      </c>
      <c r="C2180">
        <v>94</v>
      </c>
      <c r="D2180">
        <v>10.199999999999999</v>
      </c>
      <c r="E2180">
        <v>6</v>
      </c>
      <c r="G2180">
        <v>18</v>
      </c>
      <c r="H2180" s="23">
        <f t="shared" si="69"/>
        <v>1</v>
      </c>
    </row>
    <row r="2181" spans="1:8" x14ac:dyDescent="0.25">
      <c r="A2181" s="22">
        <v>41900.0625</v>
      </c>
      <c r="B2181">
        <v>459.1</v>
      </c>
      <c r="C2181">
        <v>93.9</v>
      </c>
      <c r="D2181">
        <v>10.199999999999999</v>
      </c>
      <c r="E2181">
        <v>6</v>
      </c>
      <c r="G2181">
        <v>18</v>
      </c>
      <c r="H2181" s="23">
        <f t="shared" si="69"/>
        <v>1</v>
      </c>
    </row>
    <row r="2182" spans="1:8" x14ac:dyDescent="0.25">
      <c r="A2182" s="22">
        <v>41900.065972222219</v>
      </c>
      <c r="B2182">
        <v>457.2</v>
      </c>
      <c r="C2182">
        <v>93.9</v>
      </c>
      <c r="D2182">
        <v>10.1</v>
      </c>
      <c r="E2182">
        <v>6</v>
      </c>
      <c r="G2182">
        <v>18</v>
      </c>
      <c r="H2182" s="23">
        <f t="shared" ref="H2182:H2245" si="70">+HOUR(A2182)</f>
        <v>1</v>
      </c>
    </row>
    <row r="2183" spans="1:8" x14ac:dyDescent="0.25">
      <c r="A2183" s="22">
        <v>41900.069444444445</v>
      </c>
      <c r="B2183">
        <v>457.2</v>
      </c>
      <c r="C2183">
        <v>93.9</v>
      </c>
      <c r="D2183">
        <v>10.1</v>
      </c>
      <c r="E2183">
        <v>5.9</v>
      </c>
      <c r="G2183">
        <v>18</v>
      </c>
      <c r="H2183" s="23">
        <f t="shared" si="70"/>
        <v>1</v>
      </c>
    </row>
    <row r="2184" spans="1:8" x14ac:dyDescent="0.25">
      <c r="A2184" s="22">
        <v>41900.072916666664</v>
      </c>
      <c r="B2184">
        <v>456.2</v>
      </c>
      <c r="C2184">
        <v>93.9</v>
      </c>
      <c r="D2184">
        <v>10</v>
      </c>
      <c r="E2184">
        <v>5.9</v>
      </c>
      <c r="G2184">
        <v>18</v>
      </c>
      <c r="H2184" s="23">
        <f t="shared" si="70"/>
        <v>1</v>
      </c>
    </row>
    <row r="2185" spans="1:8" x14ac:dyDescent="0.25">
      <c r="A2185" s="22">
        <v>41900.076388888891</v>
      </c>
      <c r="B2185">
        <v>455.8</v>
      </c>
      <c r="C2185">
        <v>94</v>
      </c>
      <c r="D2185">
        <v>10</v>
      </c>
      <c r="E2185">
        <v>5.9</v>
      </c>
      <c r="G2185">
        <v>18</v>
      </c>
      <c r="H2185" s="23">
        <f t="shared" si="70"/>
        <v>1</v>
      </c>
    </row>
    <row r="2186" spans="1:8" x14ac:dyDescent="0.25">
      <c r="A2186" s="22">
        <v>41900.079861111109</v>
      </c>
      <c r="B2186">
        <v>452.1</v>
      </c>
      <c r="C2186">
        <v>93.9</v>
      </c>
      <c r="D2186">
        <v>10</v>
      </c>
      <c r="E2186">
        <v>5.8</v>
      </c>
      <c r="G2186">
        <v>18</v>
      </c>
      <c r="H2186" s="23">
        <f t="shared" si="70"/>
        <v>1</v>
      </c>
    </row>
    <row r="2187" spans="1:8" x14ac:dyDescent="0.25">
      <c r="A2187" s="22">
        <v>41900.083333333336</v>
      </c>
      <c r="B2187">
        <v>449.5</v>
      </c>
      <c r="C2187">
        <v>93.9</v>
      </c>
      <c r="D2187">
        <v>9.9</v>
      </c>
      <c r="E2187">
        <v>5.8</v>
      </c>
      <c r="G2187">
        <v>18</v>
      </c>
      <c r="H2187" s="23">
        <f t="shared" si="70"/>
        <v>2</v>
      </c>
    </row>
    <row r="2188" spans="1:8" x14ac:dyDescent="0.25">
      <c r="A2188" s="22">
        <v>41900.086805555555</v>
      </c>
      <c r="B2188">
        <v>447.7</v>
      </c>
      <c r="C2188">
        <v>94</v>
      </c>
      <c r="D2188">
        <v>9.9</v>
      </c>
      <c r="E2188">
        <v>5.8</v>
      </c>
      <c r="G2188">
        <v>18</v>
      </c>
      <c r="H2188" s="23">
        <f t="shared" si="70"/>
        <v>2</v>
      </c>
    </row>
    <row r="2189" spans="1:8" x14ac:dyDescent="0.25">
      <c r="A2189" s="22">
        <v>41900.090277777781</v>
      </c>
      <c r="B2189">
        <v>444</v>
      </c>
      <c r="C2189">
        <v>94</v>
      </c>
      <c r="D2189">
        <v>9.9</v>
      </c>
      <c r="E2189">
        <v>5.8</v>
      </c>
      <c r="G2189">
        <v>18</v>
      </c>
      <c r="H2189" s="23">
        <f t="shared" si="70"/>
        <v>2</v>
      </c>
    </row>
    <row r="2190" spans="1:8" x14ac:dyDescent="0.25">
      <c r="A2190" s="22">
        <v>41900.09375</v>
      </c>
      <c r="B2190">
        <v>444.4</v>
      </c>
      <c r="C2190">
        <v>94</v>
      </c>
      <c r="D2190">
        <v>9.9</v>
      </c>
      <c r="E2190">
        <v>5.8</v>
      </c>
      <c r="G2190">
        <v>18</v>
      </c>
      <c r="H2190" s="23">
        <f t="shared" si="70"/>
        <v>2</v>
      </c>
    </row>
    <row r="2191" spans="1:8" x14ac:dyDescent="0.25">
      <c r="A2191" s="22">
        <v>41900.097222222219</v>
      </c>
      <c r="B2191">
        <v>440.4</v>
      </c>
      <c r="C2191">
        <v>93.8</v>
      </c>
      <c r="D2191">
        <v>9.8000000000000007</v>
      </c>
      <c r="E2191">
        <v>5.8</v>
      </c>
      <c r="G2191">
        <v>18</v>
      </c>
      <c r="H2191" s="23">
        <f t="shared" si="70"/>
        <v>2</v>
      </c>
    </row>
    <row r="2192" spans="1:8" x14ac:dyDescent="0.25">
      <c r="A2192" s="22">
        <v>41900.100694444445</v>
      </c>
      <c r="B2192">
        <v>439</v>
      </c>
      <c r="C2192">
        <v>94</v>
      </c>
      <c r="D2192">
        <v>9.8000000000000007</v>
      </c>
      <c r="E2192">
        <v>5.8</v>
      </c>
      <c r="G2192">
        <v>18</v>
      </c>
      <c r="H2192" s="23">
        <f t="shared" si="70"/>
        <v>2</v>
      </c>
    </row>
    <row r="2193" spans="1:8" x14ac:dyDescent="0.25">
      <c r="A2193" s="22">
        <v>41900.104166666664</v>
      </c>
      <c r="B2193">
        <v>437.6</v>
      </c>
      <c r="C2193">
        <v>94</v>
      </c>
      <c r="D2193">
        <v>9.8000000000000007</v>
      </c>
      <c r="E2193">
        <v>5.8</v>
      </c>
      <c r="G2193">
        <v>18</v>
      </c>
      <c r="H2193" s="23">
        <f t="shared" si="70"/>
        <v>2</v>
      </c>
    </row>
    <row r="2194" spans="1:8" x14ac:dyDescent="0.25">
      <c r="A2194" s="22">
        <v>41900.107638888891</v>
      </c>
      <c r="B2194">
        <v>435.1</v>
      </c>
      <c r="C2194">
        <v>94</v>
      </c>
      <c r="D2194">
        <v>9.8000000000000007</v>
      </c>
      <c r="E2194">
        <v>5.8</v>
      </c>
      <c r="G2194">
        <v>18</v>
      </c>
      <c r="H2194" s="23">
        <f t="shared" si="70"/>
        <v>2</v>
      </c>
    </row>
    <row r="2195" spans="1:8" x14ac:dyDescent="0.25">
      <c r="A2195" s="22">
        <v>41900.111111111109</v>
      </c>
      <c r="B2195">
        <v>429.8</v>
      </c>
      <c r="C2195">
        <v>94</v>
      </c>
      <c r="D2195">
        <v>9.6999999999999993</v>
      </c>
      <c r="E2195">
        <v>5.8</v>
      </c>
      <c r="G2195">
        <v>18</v>
      </c>
      <c r="H2195" s="23">
        <f t="shared" si="70"/>
        <v>2</v>
      </c>
    </row>
    <row r="2196" spans="1:8" x14ac:dyDescent="0.25">
      <c r="A2196" s="22">
        <v>41900.114583333336</v>
      </c>
      <c r="B2196">
        <v>425.4</v>
      </c>
      <c r="C2196">
        <v>93.9</v>
      </c>
      <c r="D2196">
        <v>9.6999999999999993</v>
      </c>
      <c r="E2196">
        <v>5.8</v>
      </c>
      <c r="G2196">
        <v>18</v>
      </c>
      <c r="H2196" s="23">
        <f t="shared" si="70"/>
        <v>2</v>
      </c>
    </row>
    <row r="2197" spans="1:8" x14ac:dyDescent="0.25">
      <c r="A2197" s="22">
        <v>41900.118055555555</v>
      </c>
      <c r="B2197">
        <v>424.1</v>
      </c>
      <c r="C2197">
        <v>94</v>
      </c>
      <c r="D2197">
        <v>9.6999999999999993</v>
      </c>
      <c r="E2197">
        <v>5.8</v>
      </c>
      <c r="G2197">
        <v>18</v>
      </c>
      <c r="H2197" s="23">
        <f t="shared" si="70"/>
        <v>2</v>
      </c>
    </row>
    <row r="2198" spans="1:8" x14ac:dyDescent="0.25">
      <c r="A2198" s="22">
        <v>41900.121527777781</v>
      </c>
      <c r="B2198">
        <v>421.9</v>
      </c>
      <c r="C2198">
        <v>94.1</v>
      </c>
      <c r="D2198">
        <v>9.6999999999999993</v>
      </c>
      <c r="E2198">
        <v>5.8</v>
      </c>
      <c r="G2198">
        <v>18</v>
      </c>
      <c r="H2198" s="23">
        <f t="shared" si="70"/>
        <v>2</v>
      </c>
    </row>
    <row r="2199" spans="1:8" x14ac:dyDescent="0.25">
      <c r="A2199" s="22">
        <v>41900.125</v>
      </c>
      <c r="B2199">
        <v>418.2</v>
      </c>
      <c r="C2199">
        <v>93.9</v>
      </c>
      <c r="D2199">
        <v>9.6</v>
      </c>
      <c r="E2199">
        <v>5.8</v>
      </c>
      <c r="G2199">
        <v>18</v>
      </c>
      <c r="H2199" s="23">
        <f t="shared" si="70"/>
        <v>3</v>
      </c>
    </row>
    <row r="2200" spans="1:8" x14ac:dyDescent="0.25">
      <c r="A2200" s="22">
        <v>41900.128472222219</v>
      </c>
      <c r="B2200">
        <v>417</v>
      </c>
      <c r="C2200">
        <v>93.9</v>
      </c>
      <c r="D2200">
        <v>9.6</v>
      </c>
      <c r="E2200">
        <v>5.8</v>
      </c>
      <c r="G2200">
        <v>18</v>
      </c>
      <c r="H2200" s="23">
        <f t="shared" si="70"/>
        <v>3</v>
      </c>
    </row>
    <row r="2201" spans="1:8" x14ac:dyDescent="0.25">
      <c r="A2201" s="22">
        <v>41900.131944444445</v>
      </c>
      <c r="B2201">
        <v>415.4</v>
      </c>
      <c r="C2201">
        <v>94</v>
      </c>
      <c r="D2201">
        <v>9.6</v>
      </c>
      <c r="E2201">
        <v>5.8</v>
      </c>
      <c r="G2201">
        <v>18</v>
      </c>
      <c r="H2201" s="23">
        <f t="shared" si="70"/>
        <v>3</v>
      </c>
    </row>
    <row r="2202" spans="1:8" x14ac:dyDescent="0.25">
      <c r="A2202" s="22">
        <v>41900.135416666664</v>
      </c>
      <c r="B2202">
        <v>412.7</v>
      </c>
      <c r="C2202">
        <v>94</v>
      </c>
      <c r="D2202">
        <v>9.6</v>
      </c>
      <c r="E2202">
        <v>5.8</v>
      </c>
      <c r="G2202">
        <v>18</v>
      </c>
      <c r="H2202" s="23">
        <f t="shared" si="70"/>
        <v>3</v>
      </c>
    </row>
    <row r="2203" spans="1:8" x14ac:dyDescent="0.25">
      <c r="A2203" s="22">
        <v>41900.138888888891</v>
      </c>
      <c r="B2203">
        <v>412.4</v>
      </c>
      <c r="C2203">
        <v>93.9</v>
      </c>
      <c r="D2203">
        <v>9.6</v>
      </c>
      <c r="E2203">
        <v>5.8</v>
      </c>
      <c r="G2203">
        <v>18</v>
      </c>
      <c r="H2203" s="23">
        <f t="shared" si="70"/>
        <v>3</v>
      </c>
    </row>
    <row r="2204" spans="1:8" x14ac:dyDescent="0.25">
      <c r="A2204" s="22">
        <v>41900.142361111109</v>
      </c>
      <c r="B2204">
        <v>411.8</v>
      </c>
      <c r="C2204">
        <v>93.8</v>
      </c>
      <c r="D2204">
        <v>9.6</v>
      </c>
      <c r="E2204">
        <v>5.8</v>
      </c>
      <c r="G2204">
        <v>18</v>
      </c>
      <c r="H2204" s="23">
        <f t="shared" si="70"/>
        <v>3</v>
      </c>
    </row>
    <row r="2205" spans="1:8" x14ac:dyDescent="0.25">
      <c r="A2205" s="22">
        <v>41900.145833333336</v>
      </c>
      <c r="B2205">
        <v>410.7</v>
      </c>
      <c r="C2205">
        <v>93.9</v>
      </c>
      <c r="D2205">
        <v>9.5</v>
      </c>
      <c r="E2205">
        <v>5.8</v>
      </c>
      <c r="G2205">
        <v>18</v>
      </c>
      <c r="H2205" s="23">
        <f t="shared" si="70"/>
        <v>3</v>
      </c>
    </row>
    <row r="2206" spans="1:8" x14ac:dyDescent="0.25">
      <c r="A2206" s="22">
        <v>41900.149305555555</v>
      </c>
      <c r="B2206">
        <v>409.1</v>
      </c>
      <c r="C2206">
        <v>93.9</v>
      </c>
      <c r="D2206">
        <v>9.5</v>
      </c>
      <c r="E2206">
        <v>5.8</v>
      </c>
      <c r="G2206">
        <v>18</v>
      </c>
      <c r="H2206" s="23">
        <f t="shared" si="70"/>
        <v>3</v>
      </c>
    </row>
    <row r="2207" spans="1:8" x14ac:dyDescent="0.25">
      <c r="A2207" s="22">
        <v>41900.152777777781</v>
      </c>
      <c r="B2207">
        <v>410.8</v>
      </c>
      <c r="C2207">
        <v>94</v>
      </c>
      <c r="D2207">
        <v>9.6</v>
      </c>
      <c r="E2207">
        <v>5.8</v>
      </c>
      <c r="G2207">
        <v>18</v>
      </c>
      <c r="H2207" s="23">
        <f t="shared" si="70"/>
        <v>3</v>
      </c>
    </row>
    <row r="2208" spans="1:8" x14ac:dyDescent="0.25">
      <c r="A2208" s="22">
        <v>41900.15625</v>
      </c>
      <c r="B2208">
        <v>410.9</v>
      </c>
      <c r="C2208">
        <v>93.9</v>
      </c>
      <c r="D2208">
        <v>9.6</v>
      </c>
      <c r="E2208">
        <v>5.8</v>
      </c>
      <c r="G2208">
        <v>18</v>
      </c>
      <c r="H2208" s="23">
        <f t="shared" si="70"/>
        <v>3</v>
      </c>
    </row>
    <row r="2209" spans="1:8" x14ac:dyDescent="0.25">
      <c r="A2209" s="22">
        <v>41900.159722222219</v>
      </c>
      <c r="B2209">
        <v>408.2</v>
      </c>
      <c r="C2209">
        <v>93.8</v>
      </c>
      <c r="D2209">
        <v>9.5</v>
      </c>
      <c r="E2209">
        <v>5.8</v>
      </c>
      <c r="G2209">
        <v>18</v>
      </c>
      <c r="H2209" s="23">
        <f t="shared" si="70"/>
        <v>3</v>
      </c>
    </row>
    <row r="2210" spans="1:8" x14ac:dyDescent="0.25">
      <c r="A2210" s="22">
        <v>41900.163194444445</v>
      </c>
      <c r="B2210">
        <v>410.4</v>
      </c>
      <c r="C2210">
        <v>94.1</v>
      </c>
      <c r="D2210">
        <v>9.5</v>
      </c>
      <c r="E2210">
        <v>5.8</v>
      </c>
      <c r="G2210">
        <v>18</v>
      </c>
      <c r="H2210" s="23">
        <f t="shared" si="70"/>
        <v>3</v>
      </c>
    </row>
    <row r="2211" spans="1:8" x14ac:dyDescent="0.25">
      <c r="A2211" s="22">
        <v>41900.166666666664</v>
      </c>
      <c r="B2211">
        <v>412.6</v>
      </c>
      <c r="C2211">
        <v>94</v>
      </c>
      <c r="D2211">
        <v>9.6</v>
      </c>
      <c r="E2211">
        <v>5.8</v>
      </c>
      <c r="G2211">
        <v>18</v>
      </c>
      <c r="H2211" s="23">
        <f t="shared" si="70"/>
        <v>4</v>
      </c>
    </row>
    <row r="2212" spans="1:8" x14ac:dyDescent="0.25">
      <c r="A2212" s="22">
        <v>41900.170138888891</v>
      </c>
      <c r="B2212">
        <v>410.5</v>
      </c>
      <c r="C2212">
        <v>94</v>
      </c>
      <c r="D2212">
        <v>9.5</v>
      </c>
      <c r="E2212">
        <v>5.8</v>
      </c>
      <c r="G2212">
        <v>18</v>
      </c>
      <c r="H2212" s="23">
        <f t="shared" si="70"/>
        <v>4</v>
      </c>
    </row>
    <row r="2213" spans="1:8" x14ac:dyDescent="0.25">
      <c r="A2213" s="22">
        <v>41900.173611111109</v>
      </c>
      <c r="B2213">
        <v>408</v>
      </c>
      <c r="C2213">
        <v>93.9</v>
      </c>
      <c r="D2213">
        <v>9.5</v>
      </c>
      <c r="E2213">
        <v>5.8</v>
      </c>
      <c r="G2213">
        <v>18</v>
      </c>
      <c r="H2213" s="23">
        <f t="shared" si="70"/>
        <v>4</v>
      </c>
    </row>
    <row r="2214" spans="1:8" x14ac:dyDescent="0.25">
      <c r="A2214" s="22">
        <v>41900.177083333336</v>
      </c>
      <c r="B2214">
        <v>408.8</v>
      </c>
      <c r="C2214">
        <v>93.9</v>
      </c>
      <c r="D2214">
        <v>9.5</v>
      </c>
      <c r="E2214">
        <v>5.8</v>
      </c>
      <c r="G2214">
        <v>18</v>
      </c>
      <c r="H2214" s="23">
        <f t="shared" si="70"/>
        <v>4</v>
      </c>
    </row>
    <row r="2215" spans="1:8" x14ac:dyDescent="0.25">
      <c r="A2215" s="22">
        <v>41900.180555555555</v>
      </c>
      <c r="B2215">
        <v>408.2</v>
      </c>
      <c r="C2215">
        <v>93.9</v>
      </c>
      <c r="D2215">
        <v>9.5</v>
      </c>
      <c r="E2215">
        <v>5.8</v>
      </c>
      <c r="G2215">
        <v>18</v>
      </c>
      <c r="H2215" s="23">
        <f t="shared" si="70"/>
        <v>4</v>
      </c>
    </row>
    <row r="2216" spans="1:8" x14ac:dyDescent="0.25">
      <c r="A2216" s="22">
        <v>41900.184027777781</v>
      </c>
      <c r="B2216">
        <v>408.6</v>
      </c>
      <c r="C2216">
        <v>93.9</v>
      </c>
      <c r="D2216">
        <v>9.5</v>
      </c>
      <c r="E2216">
        <v>5.8</v>
      </c>
      <c r="G2216">
        <v>18</v>
      </c>
      <c r="H2216" s="23">
        <f t="shared" si="70"/>
        <v>4</v>
      </c>
    </row>
    <row r="2217" spans="1:8" x14ac:dyDescent="0.25">
      <c r="A2217" s="22">
        <v>41900.1875</v>
      </c>
      <c r="B2217">
        <v>405.5</v>
      </c>
      <c r="C2217">
        <v>93.9</v>
      </c>
      <c r="D2217">
        <v>9.5</v>
      </c>
      <c r="E2217">
        <v>5.8</v>
      </c>
      <c r="G2217">
        <v>18</v>
      </c>
      <c r="H2217" s="23">
        <f t="shared" si="70"/>
        <v>4</v>
      </c>
    </row>
    <row r="2218" spans="1:8" x14ac:dyDescent="0.25">
      <c r="A2218" s="22">
        <v>41900.190972222219</v>
      </c>
      <c r="B2218">
        <v>403.4</v>
      </c>
      <c r="C2218">
        <v>93.9</v>
      </c>
      <c r="D2218">
        <v>9.5</v>
      </c>
      <c r="E2218">
        <v>5.8</v>
      </c>
      <c r="G2218">
        <v>18</v>
      </c>
      <c r="H2218" s="23">
        <f t="shared" si="70"/>
        <v>4</v>
      </c>
    </row>
    <row r="2219" spans="1:8" x14ac:dyDescent="0.25">
      <c r="A2219" s="22">
        <v>41900.194444444445</v>
      </c>
      <c r="B2219">
        <v>404.9</v>
      </c>
      <c r="C2219">
        <v>94</v>
      </c>
      <c r="D2219">
        <v>9.5</v>
      </c>
      <c r="E2219">
        <v>5.8</v>
      </c>
      <c r="G2219">
        <v>18</v>
      </c>
      <c r="H2219" s="23">
        <f t="shared" si="70"/>
        <v>4</v>
      </c>
    </row>
    <row r="2220" spans="1:8" x14ac:dyDescent="0.25">
      <c r="A2220" s="22">
        <v>41900.197916666664</v>
      </c>
      <c r="B2220">
        <v>402.6</v>
      </c>
      <c r="C2220">
        <v>94</v>
      </c>
      <c r="D2220">
        <v>9.5</v>
      </c>
      <c r="E2220">
        <v>5.8</v>
      </c>
      <c r="G2220">
        <v>18</v>
      </c>
      <c r="H2220" s="23">
        <f t="shared" si="70"/>
        <v>4</v>
      </c>
    </row>
    <row r="2221" spans="1:8" x14ac:dyDescent="0.25">
      <c r="A2221" s="22">
        <v>41900.201388888891</v>
      </c>
      <c r="B2221">
        <v>400.1</v>
      </c>
      <c r="C2221">
        <v>93.9</v>
      </c>
      <c r="D2221">
        <v>9.5</v>
      </c>
      <c r="E2221">
        <v>5.8</v>
      </c>
      <c r="G2221">
        <v>18</v>
      </c>
      <c r="H2221" s="23">
        <f t="shared" si="70"/>
        <v>4</v>
      </c>
    </row>
    <row r="2222" spans="1:8" x14ac:dyDescent="0.25">
      <c r="A2222" s="22">
        <v>41900.204861111109</v>
      </c>
      <c r="B2222">
        <v>399</v>
      </c>
      <c r="C2222">
        <v>93.9</v>
      </c>
      <c r="D2222">
        <v>9.4</v>
      </c>
      <c r="E2222">
        <v>5.8</v>
      </c>
      <c r="G2222">
        <v>18</v>
      </c>
      <c r="H2222" s="23">
        <f t="shared" si="70"/>
        <v>4</v>
      </c>
    </row>
    <row r="2223" spans="1:8" x14ac:dyDescent="0.25">
      <c r="A2223" s="22">
        <v>41900.208333333336</v>
      </c>
      <c r="B2223">
        <v>396.6</v>
      </c>
      <c r="C2223">
        <v>94</v>
      </c>
      <c r="D2223">
        <v>9.4</v>
      </c>
      <c r="E2223">
        <v>5.8</v>
      </c>
      <c r="G2223">
        <v>18</v>
      </c>
      <c r="H2223" s="23">
        <f t="shared" si="70"/>
        <v>5</v>
      </c>
    </row>
    <row r="2224" spans="1:8" x14ac:dyDescent="0.25">
      <c r="A2224" s="22">
        <v>41900.211805555555</v>
      </c>
      <c r="B2224">
        <v>393.9</v>
      </c>
      <c r="C2224">
        <v>94</v>
      </c>
      <c r="D2224">
        <v>9.4</v>
      </c>
      <c r="E2224">
        <v>5.8</v>
      </c>
      <c r="G2224">
        <v>18</v>
      </c>
      <c r="H2224" s="23">
        <f t="shared" si="70"/>
        <v>5</v>
      </c>
    </row>
    <row r="2225" spans="1:8" x14ac:dyDescent="0.25">
      <c r="A2225" s="22">
        <v>41900.215277777781</v>
      </c>
      <c r="B2225">
        <v>394.4</v>
      </c>
      <c r="C2225">
        <v>93.9</v>
      </c>
      <c r="D2225">
        <v>9.4</v>
      </c>
      <c r="E2225">
        <v>5.8</v>
      </c>
      <c r="G2225">
        <v>18</v>
      </c>
      <c r="H2225" s="23">
        <f t="shared" si="70"/>
        <v>5</v>
      </c>
    </row>
    <row r="2226" spans="1:8" x14ac:dyDescent="0.25">
      <c r="A2226" s="22">
        <v>41900.21875</v>
      </c>
      <c r="B2226">
        <v>392.9</v>
      </c>
      <c r="C2226">
        <v>93.9</v>
      </c>
      <c r="D2226">
        <v>9.4</v>
      </c>
      <c r="E2226">
        <v>5.8</v>
      </c>
      <c r="G2226">
        <v>18</v>
      </c>
      <c r="H2226" s="23">
        <f t="shared" si="70"/>
        <v>5</v>
      </c>
    </row>
    <row r="2227" spans="1:8" x14ac:dyDescent="0.25">
      <c r="A2227" s="22">
        <v>41900.222222222219</v>
      </c>
      <c r="B2227">
        <v>393</v>
      </c>
      <c r="C2227">
        <v>94</v>
      </c>
      <c r="D2227">
        <v>9.4</v>
      </c>
      <c r="E2227">
        <v>5.8</v>
      </c>
      <c r="G2227">
        <v>18</v>
      </c>
      <c r="H2227" s="23">
        <f t="shared" si="70"/>
        <v>5</v>
      </c>
    </row>
    <row r="2228" spans="1:8" x14ac:dyDescent="0.25">
      <c r="A2228" s="22">
        <v>41900.225694444445</v>
      </c>
      <c r="B2228">
        <v>394</v>
      </c>
      <c r="C2228">
        <v>93.9</v>
      </c>
      <c r="D2228">
        <v>9.4</v>
      </c>
      <c r="E2228">
        <v>5.8</v>
      </c>
      <c r="G2228">
        <v>18</v>
      </c>
      <c r="H2228" s="23">
        <f t="shared" si="70"/>
        <v>5</v>
      </c>
    </row>
    <row r="2229" spans="1:8" x14ac:dyDescent="0.25">
      <c r="A2229" s="22">
        <v>41900.229166666664</v>
      </c>
      <c r="B2229">
        <v>396</v>
      </c>
      <c r="C2229">
        <v>93.9</v>
      </c>
      <c r="D2229">
        <v>9.4</v>
      </c>
      <c r="E2229">
        <v>5.8</v>
      </c>
      <c r="G2229">
        <v>18</v>
      </c>
      <c r="H2229" s="23">
        <f t="shared" si="70"/>
        <v>5</v>
      </c>
    </row>
    <row r="2230" spans="1:8" x14ac:dyDescent="0.25">
      <c r="A2230" s="22">
        <v>41900.232638888891</v>
      </c>
      <c r="B2230">
        <v>394.7</v>
      </c>
      <c r="C2230">
        <v>93.9</v>
      </c>
      <c r="D2230">
        <v>9.4</v>
      </c>
      <c r="E2230">
        <v>5.8</v>
      </c>
      <c r="G2230">
        <v>18</v>
      </c>
      <c r="H2230" s="23">
        <f t="shared" si="70"/>
        <v>5</v>
      </c>
    </row>
    <row r="2231" spans="1:8" x14ac:dyDescent="0.25">
      <c r="A2231" s="22">
        <v>41900.236111111109</v>
      </c>
      <c r="B2231">
        <v>395.1</v>
      </c>
      <c r="C2231">
        <v>93.9</v>
      </c>
      <c r="D2231">
        <v>9.4</v>
      </c>
      <c r="E2231">
        <v>5.8</v>
      </c>
      <c r="G2231">
        <v>18</v>
      </c>
      <c r="H2231" s="23">
        <f t="shared" si="70"/>
        <v>5</v>
      </c>
    </row>
    <row r="2232" spans="1:8" x14ac:dyDescent="0.25">
      <c r="A2232" s="22">
        <v>41900.239583333336</v>
      </c>
      <c r="B2232">
        <v>392.5</v>
      </c>
      <c r="C2232">
        <v>93.9</v>
      </c>
      <c r="D2232">
        <v>9.4</v>
      </c>
      <c r="E2232">
        <v>5.8</v>
      </c>
      <c r="G2232">
        <v>18</v>
      </c>
      <c r="H2232" s="23">
        <f t="shared" si="70"/>
        <v>5</v>
      </c>
    </row>
    <row r="2233" spans="1:8" x14ac:dyDescent="0.25">
      <c r="A2233" s="22">
        <v>41900.243055555555</v>
      </c>
      <c r="B2233">
        <v>394.3</v>
      </c>
      <c r="C2233">
        <v>94</v>
      </c>
      <c r="D2233">
        <v>9.4</v>
      </c>
      <c r="E2233">
        <v>5.8</v>
      </c>
      <c r="G2233">
        <v>18</v>
      </c>
      <c r="H2233" s="23">
        <f t="shared" si="70"/>
        <v>5</v>
      </c>
    </row>
    <row r="2234" spans="1:8" x14ac:dyDescent="0.25">
      <c r="A2234" s="22">
        <v>41900.246527777781</v>
      </c>
      <c r="B2234">
        <v>391.5</v>
      </c>
      <c r="C2234">
        <v>93.8</v>
      </c>
      <c r="D2234">
        <v>9.4</v>
      </c>
      <c r="E2234">
        <v>5.8</v>
      </c>
      <c r="G2234">
        <v>18</v>
      </c>
      <c r="H2234" s="23">
        <f t="shared" si="70"/>
        <v>5</v>
      </c>
    </row>
    <row r="2235" spans="1:8" x14ac:dyDescent="0.25">
      <c r="A2235" s="22">
        <v>41900.25</v>
      </c>
      <c r="B2235">
        <v>391</v>
      </c>
      <c r="C2235">
        <v>93.9</v>
      </c>
      <c r="D2235">
        <v>9.4</v>
      </c>
      <c r="E2235">
        <v>5.8</v>
      </c>
      <c r="G2235">
        <v>18</v>
      </c>
      <c r="H2235" s="23">
        <f t="shared" si="70"/>
        <v>6</v>
      </c>
    </row>
    <row r="2236" spans="1:8" x14ac:dyDescent="0.25">
      <c r="A2236" s="22">
        <v>41900.253472222219</v>
      </c>
      <c r="B2236">
        <v>187.5</v>
      </c>
      <c r="C2236">
        <v>94.3</v>
      </c>
      <c r="D2236">
        <v>9.3000000000000007</v>
      </c>
      <c r="E2236">
        <v>7.7</v>
      </c>
      <c r="G2236">
        <v>18</v>
      </c>
      <c r="H2236" s="23">
        <f t="shared" si="70"/>
        <v>6</v>
      </c>
    </row>
    <row r="2237" spans="1:8" x14ac:dyDescent="0.25">
      <c r="A2237" s="22">
        <v>41900.256944444445</v>
      </c>
      <c r="B2237">
        <v>146.4</v>
      </c>
      <c r="C2237">
        <v>94.3</v>
      </c>
      <c r="D2237">
        <v>9.3000000000000007</v>
      </c>
      <c r="E2237">
        <v>8</v>
      </c>
      <c r="G2237">
        <v>18</v>
      </c>
      <c r="H2237" s="23">
        <f t="shared" si="70"/>
        <v>6</v>
      </c>
    </row>
    <row r="2238" spans="1:8" x14ac:dyDescent="0.25">
      <c r="A2238" s="22">
        <v>41900.260416666664</v>
      </c>
      <c r="B2238">
        <v>266</v>
      </c>
      <c r="C2238">
        <v>94.1</v>
      </c>
      <c r="D2238">
        <v>9.3000000000000007</v>
      </c>
      <c r="E2238">
        <v>6.9</v>
      </c>
      <c r="G2238">
        <v>18</v>
      </c>
      <c r="H2238" s="23">
        <f t="shared" si="70"/>
        <v>6</v>
      </c>
    </row>
    <row r="2239" spans="1:8" x14ac:dyDescent="0.25">
      <c r="A2239" s="22">
        <v>41900.263888888891</v>
      </c>
      <c r="B2239">
        <v>347.8</v>
      </c>
      <c r="C2239">
        <v>93.9</v>
      </c>
      <c r="D2239">
        <v>9.5</v>
      </c>
      <c r="E2239">
        <v>6.3</v>
      </c>
      <c r="G2239">
        <v>18</v>
      </c>
      <c r="H2239" s="23">
        <f t="shared" si="70"/>
        <v>6</v>
      </c>
    </row>
    <row r="2240" spans="1:8" x14ac:dyDescent="0.25">
      <c r="A2240" s="22">
        <v>41900.267361111109</v>
      </c>
      <c r="B2240">
        <v>408.8</v>
      </c>
      <c r="C2240">
        <v>93.9</v>
      </c>
      <c r="D2240">
        <v>9.6</v>
      </c>
      <c r="E2240">
        <v>5.9</v>
      </c>
      <c r="G2240">
        <v>18</v>
      </c>
      <c r="H2240" s="23">
        <f t="shared" si="70"/>
        <v>6</v>
      </c>
    </row>
    <row r="2241" spans="1:8" x14ac:dyDescent="0.25">
      <c r="A2241" s="22">
        <v>41900.270833333336</v>
      </c>
      <c r="B2241">
        <v>421.8</v>
      </c>
      <c r="C2241">
        <v>93.9</v>
      </c>
      <c r="D2241">
        <v>9.6999999999999993</v>
      </c>
      <c r="E2241">
        <v>5.8</v>
      </c>
      <c r="G2241">
        <v>18</v>
      </c>
      <c r="H2241" s="23">
        <f t="shared" si="70"/>
        <v>6</v>
      </c>
    </row>
    <row r="2242" spans="1:8" x14ac:dyDescent="0.25">
      <c r="A2242" s="22">
        <v>41900.274305555555</v>
      </c>
      <c r="B2242">
        <v>428.8</v>
      </c>
      <c r="C2242">
        <v>93.9</v>
      </c>
      <c r="D2242">
        <v>9.6999999999999993</v>
      </c>
      <c r="E2242">
        <v>5.8</v>
      </c>
      <c r="G2242">
        <v>18</v>
      </c>
      <c r="H2242" s="23">
        <f t="shared" si="70"/>
        <v>6</v>
      </c>
    </row>
    <row r="2243" spans="1:8" x14ac:dyDescent="0.25">
      <c r="A2243" s="22">
        <v>41900.277777777781</v>
      </c>
      <c r="B2243">
        <v>422</v>
      </c>
      <c r="C2243">
        <v>93.9</v>
      </c>
      <c r="D2243">
        <v>9.6</v>
      </c>
      <c r="E2243">
        <v>5.8</v>
      </c>
      <c r="G2243">
        <v>18</v>
      </c>
      <c r="H2243" s="23">
        <f t="shared" si="70"/>
        <v>6</v>
      </c>
    </row>
    <row r="2244" spans="1:8" x14ac:dyDescent="0.25">
      <c r="A2244" s="22">
        <v>41900.28125</v>
      </c>
      <c r="B2244">
        <v>412.9</v>
      </c>
      <c r="C2244">
        <v>94</v>
      </c>
      <c r="D2244">
        <v>9.6</v>
      </c>
      <c r="E2244">
        <v>5.8</v>
      </c>
      <c r="G2244">
        <v>18</v>
      </c>
      <c r="H2244" s="23">
        <f t="shared" si="70"/>
        <v>6</v>
      </c>
    </row>
    <row r="2245" spans="1:8" x14ac:dyDescent="0.25">
      <c r="A2245" s="22">
        <v>41900.284722222219</v>
      </c>
      <c r="B2245">
        <v>405.4</v>
      </c>
      <c r="C2245">
        <v>94</v>
      </c>
      <c r="D2245">
        <v>9.5</v>
      </c>
      <c r="E2245">
        <v>5.8</v>
      </c>
      <c r="G2245">
        <v>18</v>
      </c>
      <c r="H2245" s="23">
        <f t="shared" si="70"/>
        <v>6</v>
      </c>
    </row>
    <row r="2246" spans="1:8" x14ac:dyDescent="0.25">
      <c r="A2246" s="22">
        <v>41900.288194444445</v>
      </c>
      <c r="B2246">
        <v>400.5</v>
      </c>
      <c r="C2246">
        <v>94</v>
      </c>
      <c r="D2246">
        <v>9.4</v>
      </c>
      <c r="E2246">
        <v>5.8</v>
      </c>
      <c r="G2246">
        <v>18</v>
      </c>
      <c r="H2246" s="23">
        <f t="shared" ref="H2246:H2267" si="71">+HOUR(A2246)</f>
        <v>6</v>
      </c>
    </row>
    <row r="2247" spans="1:8" x14ac:dyDescent="0.25">
      <c r="A2247" s="22">
        <v>41900.291666666664</v>
      </c>
      <c r="B2247">
        <v>390.5</v>
      </c>
      <c r="C2247">
        <v>93.9</v>
      </c>
      <c r="D2247">
        <v>9.3000000000000007</v>
      </c>
      <c r="E2247">
        <v>5.8</v>
      </c>
      <c r="G2247">
        <v>18</v>
      </c>
      <c r="H2247" s="23">
        <f t="shared" si="71"/>
        <v>7</v>
      </c>
    </row>
    <row r="2248" spans="1:8" x14ac:dyDescent="0.25">
      <c r="A2248" s="22">
        <v>41900.295138888891</v>
      </c>
      <c r="B2248">
        <v>386.3</v>
      </c>
      <c r="C2248">
        <v>93.9</v>
      </c>
      <c r="D2248">
        <v>9.3000000000000007</v>
      </c>
      <c r="E2248">
        <v>5.8</v>
      </c>
      <c r="G2248">
        <v>18</v>
      </c>
      <c r="H2248" s="23">
        <f t="shared" si="71"/>
        <v>7</v>
      </c>
    </row>
    <row r="2249" spans="1:8" x14ac:dyDescent="0.25">
      <c r="A2249" s="22">
        <v>41900.298611111109</v>
      </c>
      <c r="B2249">
        <v>384.2</v>
      </c>
      <c r="C2249">
        <v>94</v>
      </c>
      <c r="D2249">
        <v>9.3000000000000007</v>
      </c>
      <c r="E2249">
        <v>5.8</v>
      </c>
      <c r="G2249">
        <v>18</v>
      </c>
      <c r="H2249" s="23">
        <f t="shared" si="71"/>
        <v>7</v>
      </c>
    </row>
    <row r="2250" spans="1:8" x14ac:dyDescent="0.25">
      <c r="A2250" s="22">
        <v>41900.302083333336</v>
      </c>
      <c r="B2250">
        <v>394.2</v>
      </c>
      <c r="C2250">
        <v>94</v>
      </c>
      <c r="D2250">
        <v>9.4</v>
      </c>
      <c r="E2250">
        <v>5.8</v>
      </c>
      <c r="G2250">
        <v>18</v>
      </c>
      <c r="H2250" s="23">
        <f t="shared" si="71"/>
        <v>7</v>
      </c>
    </row>
    <row r="2251" spans="1:8" x14ac:dyDescent="0.25">
      <c r="A2251" s="22">
        <v>41900.305555555555</v>
      </c>
      <c r="B2251">
        <v>471.8</v>
      </c>
      <c r="C2251">
        <v>94</v>
      </c>
      <c r="D2251">
        <v>10.6</v>
      </c>
      <c r="E2251">
        <v>6.3</v>
      </c>
      <c r="G2251">
        <v>18</v>
      </c>
      <c r="H2251" s="23">
        <f t="shared" si="71"/>
        <v>7</v>
      </c>
    </row>
    <row r="2252" spans="1:8" x14ac:dyDescent="0.25">
      <c r="A2252" s="22">
        <v>41900.309027777781</v>
      </c>
      <c r="B2252">
        <v>415.1</v>
      </c>
      <c r="C2252">
        <v>93.9</v>
      </c>
      <c r="D2252">
        <v>9.6</v>
      </c>
      <c r="E2252">
        <v>5.8</v>
      </c>
      <c r="G2252">
        <v>18</v>
      </c>
      <c r="H2252" s="23">
        <f t="shared" si="71"/>
        <v>7</v>
      </c>
    </row>
    <row r="2253" spans="1:8" x14ac:dyDescent="0.25">
      <c r="A2253" s="22">
        <v>41900.3125</v>
      </c>
      <c r="B2253">
        <v>414.1</v>
      </c>
      <c r="C2253">
        <v>94</v>
      </c>
      <c r="D2253">
        <v>9.6</v>
      </c>
      <c r="E2253">
        <v>5.8</v>
      </c>
      <c r="G2253">
        <v>18</v>
      </c>
      <c r="H2253" s="23">
        <f t="shared" si="71"/>
        <v>7</v>
      </c>
    </row>
    <row r="2254" spans="1:8" x14ac:dyDescent="0.25">
      <c r="A2254" s="22">
        <v>41900.315972222219</v>
      </c>
      <c r="B2254">
        <v>427.8</v>
      </c>
      <c r="C2254">
        <v>94</v>
      </c>
      <c r="D2254">
        <v>9.6999999999999993</v>
      </c>
      <c r="E2254">
        <v>5.8</v>
      </c>
      <c r="G2254">
        <v>18</v>
      </c>
      <c r="H2254" s="23">
        <f t="shared" si="71"/>
        <v>7</v>
      </c>
    </row>
    <row r="2255" spans="1:8" x14ac:dyDescent="0.25">
      <c r="A2255" s="22">
        <v>41900.319444444445</v>
      </c>
      <c r="B2255">
        <v>428.9</v>
      </c>
      <c r="C2255">
        <v>94</v>
      </c>
      <c r="D2255">
        <v>9.6999999999999993</v>
      </c>
      <c r="E2255">
        <v>5.8</v>
      </c>
      <c r="G2255">
        <v>18</v>
      </c>
      <c r="H2255" s="23">
        <f t="shared" si="71"/>
        <v>7</v>
      </c>
    </row>
    <row r="2256" spans="1:8" x14ac:dyDescent="0.25">
      <c r="A2256" s="22">
        <v>41900.322916666664</v>
      </c>
      <c r="B2256">
        <v>441.1</v>
      </c>
      <c r="C2256">
        <v>94</v>
      </c>
      <c r="D2256">
        <v>9.9</v>
      </c>
      <c r="E2256">
        <v>5.8</v>
      </c>
      <c r="G2256">
        <v>18</v>
      </c>
      <c r="H2256" s="23">
        <f t="shared" si="71"/>
        <v>7</v>
      </c>
    </row>
    <row r="2257" spans="1:8" x14ac:dyDescent="0.25">
      <c r="A2257" s="22">
        <v>41900.326388888891</v>
      </c>
      <c r="B2257">
        <v>439.1</v>
      </c>
      <c r="C2257">
        <v>93.8</v>
      </c>
      <c r="D2257">
        <v>9.8000000000000007</v>
      </c>
      <c r="E2257">
        <v>5.8</v>
      </c>
      <c r="G2257">
        <v>18</v>
      </c>
      <c r="H2257" s="23">
        <f t="shared" si="71"/>
        <v>7</v>
      </c>
    </row>
    <row r="2258" spans="1:8" x14ac:dyDescent="0.25">
      <c r="A2258" s="22">
        <v>41900.329861111109</v>
      </c>
      <c r="B2258">
        <v>429.9</v>
      </c>
      <c r="C2258">
        <v>94</v>
      </c>
      <c r="D2258">
        <v>9.6999999999999993</v>
      </c>
      <c r="E2258">
        <v>5.8</v>
      </c>
      <c r="G2258">
        <v>18</v>
      </c>
      <c r="H2258" s="23">
        <f t="shared" si="71"/>
        <v>7</v>
      </c>
    </row>
    <row r="2259" spans="1:8" x14ac:dyDescent="0.25">
      <c r="A2259" s="22">
        <v>41900.333333333336</v>
      </c>
      <c r="B2259">
        <v>428.3</v>
      </c>
      <c r="C2259">
        <v>93.9</v>
      </c>
      <c r="D2259">
        <v>9.6999999999999993</v>
      </c>
      <c r="E2259">
        <v>5.8</v>
      </c>
      <c r="G2259">
        <v>18</v>
      </c>
      <c r="H2259" s="23">
        <f t="shared" si="71"/>
        <v>8</v>
      </c>
    </row>
    <row r="2260" spans="1:8" x14ac:dyDescent="0.25">
      <c r="A2260" s="22">
        <v>41900.336805555555</v>
      </c>
      <c r="B2260">
        <v>438.5</v>
      </c>
      <c r="C2260">
        <v>94</v>
      </c>
      <c r="D2260">
        <v>9.8000000000000007</v>
      </c>
      <c r="E2260">
        <v>5.8</v>
      </c>
      <c r="G2260">
        <v>18</v>
      </c>
      <c r="H2260" s="23">
        <f t="shared" si="71"/>
        <v>8</v>
      </c>
    </row>
    <row r="2261" spans="1:8" x14ac:dyDescent="0.25">
      <c r="A2261" s="22">
        <v>41900.340277777781</v>
      </c>
      <c r="B2261">
        <v>440.1</v>
      </c>
      <c r="C2261">
        <v>93.9</v>
      </c>
      <c r="D2261">
        <v>9.8000000000000007</v>
      </c>
      <c r="E2261">
        <v>5.8</v>
      </c>
      <c r="G2261">
        <v>18</v>
      </c>
      <c r="H2261" s="23">
        <f t="shared" si="71"/>
        <v>8</v>
      </c>
    </row>
    <row r="2262" spans="1:8" x14ac:dyDescent="0.25">
      <c r="A2262" s="22">
        <v>41900.34375</v>
      </c>
      <c r="B2262">
        <v>443.3</v>
      </c>
      <c r="C2262">
        <v>93.9</v>
      </c>
      <c r="D2262">
        <v>9.9</v>
      </c>
      <c r="E2262">
        <v>5.8</v>
      </c>
      <c r="G2262">
        <v>18</v>
      </c>
      <c r="H2262" s="23">
        <f t="shared" si="71"/>
        <v>8</v>
      </c>
    </row>
    <row r="2263" spans="1:8" x14ac:dyDescent="0.25">
      <c r="A2263" s="22">
        <v>41900.347222222219</v>
      </c>
      <c r="B2263">
        <v>441.2</v>
      </c>
      <c r="C2263">
        <v>93.9</v>
      </c>
      <c r="D2263">
        <v>9.8000000000000007</v>
      </c>
      <c r="E2263">
        <v>5.8</v>
      </c>
      <c r="G2263">
        <v>18</v>
      </c>
      <c r="H2263" s="23">
        <f t="shared" si="71"/>
        <v>8</v>
      </c>
    </row>
    <row r="2264" spans="1:8" x14ac:dyDescent="0.25">
      <c r="A2264" s="22">
        <v>41900.350694444445</v>
      </c>
      <c r="B2264">
        <v>446.7</v>
      </c>
      <c r="C2264">
        <v>94</v>
      </c>
      <c r="D2264">
        <v>9.9</v>
      </c>
      <c r="E2264">
        <v>5.8</v>
      </c>
      <c r="G2264">
        <v>18</v>
      </c>
      <c r="H2264" s="23">
        <f t="shared" si="71"/>
        <v>8</v>
      </c>
    </row>
    <row r="2265" spans="1:8" x14ac:dyDescent="0.25">
      <c r="A2265" s="22">
        <v>41900.354166666664</v>
      </c>
      <c r="B2265">
        <v>447</v>
      </c>
      <c r="C2265">
        <v>93.9</v>
      </c>
      <c r="D2265">
        <v>9.9</v>
      </c>
      <c r="E2265">
        <v>5.9</v>
      </c>
      <c r="G2265">
        <v>18</v>
      </c>
      <c r="H2265" s="23">
        <f t="shared" si="71"/>
        <v>8</v>
      </c>
    </row>
    <row r="2266" spans="1:8" x14ac:dyDescent="0.25">
      <c r="A2266" s="22">
        <v>41900.357638888891</v>
      </c>
      <c r="B2266">
        <v>449.8</v>
      </c>
      <c r="C2266">
        <v>93.9</v>
      </c>
      <c r="D2266">
        <v>9.9</v>
      </c>
      <c r="E2266">
        <v>5.8</v>
      </c>
      <c r="G2266">
        <v>18</v>
      </c>
      <c r="H2266" s="23">
        <f t="shared" si="71"/>
        <v>8</v>
      </c>
    </row>
    <row r="2267" spans="1:8" x14ac:dyDescent="0.25">
      <c r="A2267" s="22">
        <v>41900.361111111109</v>
      </c>
      <c r="B2267">
        <v>451.1</v>
      </c>
      <c r="C2267">
        <v>93.8</v>
      </c>
      <c r="D2267">
        <v>10</v>
      </c>
      <c r="E2267">
        <v>5.8</v>
      </c>
      <c r="G2267">
        <v>18</v>
      </c>
      <c r="H2267" s="23">
        <f t="shared" si="71"/>
        <v>8</v>
      </c>
    </row>
    <row r="2268" spans="1:8" x14ac:dyDescent="0.25">
      <c r="H2268" s="23"/>
    </row>
    <row r="2269" spans="1:8" x14ac:dyDescent="0.25">
      <c r="H2269" s="23"/>
    </row>
    <row r="2270" spans="1:8" x14ac:dyDescent="0.25">
      <c r="H2270" s="23"/>
    </row>
    <row r="2271" spans="1:8" x14ac:dyDescent="0.25">
      <c r="H2271" s="23"/>
    </row>
    <row r="2272" spans="1:8" x14ac:dyDescent="0.25">
      <c r="H2272" s="23"/>
    </row>
    <row r="2273" spans="8:8" x14ac:dyDescent="0.25">
      <c r="H2273" s="23"/>
    </row>
    <row r="2274" spans="8:8" x14ac:dyDescent="0.25">
      <c r="H2274" s="23"/>
    </row>
    <row r="2275" spans="8:8" x14ac:dyDescent="0.25">
      <c r="H2275" s="23"/>
    </row>
    <row r="2276" spans="8:8" x14ac:dyDescent="0.25">
      <c r="H2276" s="23"/>
    </row>
    <row r="2277" spans="8:8" x14ac:dyDescent="0.25">
      <c r="H2277" s="23"/>
    </row>
    <row r="2278" spans="8:8" x14ac:dyDescent="0.25">
      <c r="H2278" s="23"/>
    </row>
    <row r="2279" spans="8:8" x14ac:dyDescent="0.25">
      <c r="H2279" s="23"/>
    </row>
    <row r="2280" spans="8:8" x14ac:dyDescent="0.25">
      <c r="H2280" s="23"/>
    </row>
    <row r="2281" spans="8:8" x14ac:dyDescent="0.25">
      <c r="H2281" s="23"/>
    </row>
    <row r="2282" spans="8:8" x14ac:dyDescent="0.25">
      <c r="H2282" s="23"/>
    </row>
    <row r="2283" spans="8:8" x14ac:dyDescent="0.25">
      <c r="H2283" s="23"/>
    </row>
    <row r="2284" spans="8:8" x14ac:dyDescent="0.25">
      <c r="H2284" s="23"/>
    </row>
    <row r="2285" spans="8:8" x14ac:dyDescent="0.25">
      <c r="H2285" s="23"/>
    </row>
    <row r="2286" spans="8:8" x14ac:dyDescent="0.25">
      <c r="H2286" s="23"/>
    </row>
    <row r="2287" spans="8:8" x14ac:dyDescent="0.25">
      <c r="H2287" s="23"/>
    </row>
    <row r="2288" spans="8:8" x14ac:dyDescent="0.25">
      <c r="H2288" s="23"/>
    </row>
    <row r="2289" spans="8:8" x14ac:dyDescent="0.25">
      <c r="H2289" s="23"/>
    </row>
    <row r="2290" spans="8:8" x14ac:dyDescent="0.25">
      <c r="H2290" s="23"/>
    </row>
    <row r="2291" spans="8:8" x14ac:dyDescent="0.25">
      <c r="H2291" s="23"/>
    </row>
    <row r="2292" spans="8:8" x14ac:dyDescent="0.25">
      <c r="H2292" s="23"/>
    </row>
    <row r="2293" spans="8:8" x14ac:dyDescent="0.25">
      <c r="H2293" s="23"/>
    </row>
    <row r="2294" spans="8:8" x14ac:dyDescent="0.25">
      <c r="H2294" s="23"/>
    </row>
    <row r="2295" spans="8:8" x14ac:dyDescent="0.25">
      <c r="H2295" s="23"/>
    </row>
    <row r="2296" spans="8:8" x14ac:dyDescent="0.25">
      <c r="H2296" s="23"/>
    </row>
    <row r="2297" spans="8:8" x14ac:dyDescent="0.25">
      <c r="H2297" s="23"/>
    </row>
    <row r="2298" spans="8:8" x14ac:dyDescent="0.25">
      <c r="H2298" s="23"/>
    </row>
    <row r="2299" spans="8:8" x14ac:dyDescent="0.25">
      <c r="H2299" s="23"/>
    </row>
    <row r="2300" spans="8:8" x14ac:dyDescent="0.25">
      <c r="H2300" s="23"/>
    </row>
    <row r="2301" spans="8:8" x14ac:dyDescent="0.25">
      <c r="H2301" s="23"/>
    </row>
    <row r="2302" spans="8:8" x14ac:dyDescent="0.25">
      <c r="H2302" s="23"/>
    </row>
    <row r="2303" spans="8:8" x14ac:dyDescent="0.25">
      <c r="H2303" s="23"/>
    </row>
    <row r="2304" spans="8:8" x14ac:dyDescent="0.25">
      <c r="H2304" s="23"/>
    </row>
    <row r="2305" spans="8:8" x14ac:dyDescent="0.25">
      <c r="H2305" s="23"/>
    </row>
    <row r="2306" spans="8:8" x14ac:dyDescent="0.25">
      <c r="H2306" s="23"/>
    </row>
    <row r="2307" spans="8:8" x14ac:dyDescent="0.25">
      <c r="H2307" s="23"/>
    </row>
    <row r="2308" spans="8:8" x14ac:dyDescent="0.25">
      <c r="H2308" s="23"/>
    </row>
    <row r="2309" spans="8:8" x14ac:dyDescent="0.25">
      <c r="H2309" s="23"/>
    </row>
    <row r="2310" spans="8:8" x14ac:dyDescent="0.25">
      <c r="H2310" s="23"/>
    </row>
    <row r="2311" spans="8:8" x14ac:dyDescent="0.25">
      <c r="H2311" s="23"/>
    </row>
    <row r="2312" spans="8:8" x14ac:dyDescent="0.25">
      <c r="H2312" s="23"/>
    </row>
    <row r="2313" spans="8:8" x14ac:dyDescent="0.25">
      <c r="H2313" s="23"/>
    </row>
    <row r="2314" spans="8:8" x14ac:dyDescent="0.25">
      <c r="H2314" s="23"/>
    </row>
    <row r="2315" spans="8:8" x14ac:dyDescent="0.25">
      <c r="H2315" s="23"/>
    </row>
    <row r="2316" spans="8:8" x14ac:dyDescent="0.25">
      <c r="H2316" s="23"/>
    </row>
    <row r="2317" spans="8:8" x14ac:dyDescent="0.25">
      <c r="H2317" s="23"/>
    </row>
    <row r="2318" spans="8:8" x14ac:dyDescent="0.25">
      <c r="H2318" s="23"/>
    </row>
    <row r="2319" spans="8:8" x14ac:dyDescent="0.25">
      <c r="H2319" s="23"/>
    </row>
    <row r="2320" spans="8:8" x14ac:dyDescent="0.25">
      <c r="H2320" s="23"/>
    </row>
    <row r="2321" spans="8:8" x14ac:dyDescent="0.25">
      <c r="H2321" s="23"/>
    </row>
    <row r="2322" spans="8:8" x14ac:dyDescent="0.25">
      <c r="H2322" s="23"/>
    </row>
    <row r="2323" spans="8:8" x14ac:dyDescent="0.25">
      <c r="H2323" s="23"/>
    </row>
    <row r="2324" spans="8:8" x14ac:dyDescent="0.25">
      <c r="H2324" s="23"/>
    </row>
    <row r="2325" spans="8:8" x14ac:dyDescent="0.25">
      <c r="H2325" s="23"/>
    </row>
    <row r="2326" spans="8:8" x14ac:dyDescent="0.25">
      <c r="H2326" s="23"/>
    </row>
    <row r="2327" spans="8:8" x14ac:dyDescent="0.25">
      <c r="H2327" s="23"/>
    </row>
    <row r="2328" spans="8:8" x14ac:dyDescent="0.25">
      <c r="H2328" s="23"/>
    </row>
    <row r="2329" spans="8:8" x14ac:dyDescent="0.25">
      <c r="H2329" s="23"/>
    </row>
    <row r="2330" spans="8:8" x14ac:dyDescent="0.25">
      <c r="H2330" s="23"/>
    </row>
    <row r="2331" spans="8:8" x14ac:dyDescent="0.25">
      <c r="H2331" s="23"/>
    </row>
    <row r="2332" spans="8:8" x14ac:dyDescent="0.25">
      <c r="H2332" s="23"/>
    </row>
    <row r="2333" spans="8:8" x14ac:dyDescent="0.25">
      <c r="H2333" s="23"/>
    </row>
    <row r="2334" spans="8:8" x14ac:dyDescent="0.25">
      <c r="H2334" s="23"/>
    </row>
    <row r="2335" spans="8:8" x14ac:dyDescent="0.25">
      <c r="H2335" s="23"/>
    </row>
    <row r="2336" spans="8:8" x14ac:dyDescent="0.25">
      <c r="H2336" s="23"/>
    </row>
    <row r="2337" spans="8:8" x14ac:dyDescent="0.25">
      <c r="H2337" s="23"/>
    </row>
    <row r="2338" spans="8:8" x14ac:dyDescent="0.25">
      <c r="H2338" s="23"/>
    </row>
    <row r="2339" spans="8:8" x14ac:dyDescent="0.25">
      <c r="H2339" s="23"/>
    </row>
    <row r="2340" spans="8:8" x14ac:dyDescent="0.25">
      <c r="H2340" s="23"/>
    </row>
    <row r="2341" spans="8:8" x14ac:dyDescent="0.25">
      <c r="H2341" s="23"/>
    </row>
    <row r="2342" spans="8:8" x14ac:dyDescent="0.25">
      <c r="H2342" s="23"/>
    </row>
    <row r="2343" spans="8:8" x14ac:dyDescent="0.25">
      <c r="H2343" s="23"/>
    </row>
    <row r="2344" spans="8:8" x14ac:dyDescent="0.25">
      <c r="H2344" s="23"/>
    </row>
    <row r="2345" spans="8:8" x14ac:dyDescent="0.25">
      <c r="H2345" s="23"/>
    </row>
    <row r="2346" spans="8:8" x14ac:dyDescent="0.25">
      <c r="H2346" s="23"/>
    </row>
    <row r="2347" spans="8:8" x14ac:dyDescent="0.25">
      <c r="H2347" s="23"/>
    </row>
    <row r="2348" spans="8:8" x14ac:dyDescent="0.25">
      <c r="H2348" s="23"/>
    </row>
    <row r="2349" spans="8:8" x14ac:dyDescent="0.25">
      <c r="H2349" s="23"/>
    </row>
    <row r="2350" spans="8:8" x14ac:dyDescent="0.25">
      <c r="H2350" s="23"/>
    </row>
    <row r="2351" spans="8:8" x14ac:dyDescent="0.25">
      <c r="H2351" s="23"/>
    </row>
    <row r="2352" spans="8:8" x14ac:dyDescent="0.25">
      <c r="H2352" s="23"/>
    </row>
    <row r="2353" spans="8:8" x14ac:dyDescent="0.25">
      <c r="H2353" s="23"/>
    </row>
    <row r="2354" spans="8:8" x14ac:dyDescent="0.25">
      <c r="H2354" s="23"/>
    </row>
    <row r="2355" spans="8:8" x14ac:dyDescent="0.25">
      <c r="H2355" s="23"/>
    </row>
    <row r="2356" spans="8:8" x14ac:dyDescent="0.25">
      <c r="H2356" s="23"/>
    </row>
    <row r="2357" spans="8:8" x14ac:dyDescent="0.25">
      <c r="H2357" s="23"/>
    </row>
    <row r="2358" spans="8:8" x14ac:dyDescent="0.25">
      <c r="H2358" s="23"/>
    </row>
    <row r="2359" spans="8:8" x14ac:dyDescent="0.25">
      <c r="H2359" s="23"/>
    </row>
    <row r="2360" spans="8:8" x14ac:dyDescent="0.25">
      <c r="H2360" s="23"/>
    </row>
    <row r="2361" spans="8:8" x14ac:dyDescent="0.25">
      <c r="H2361" s="23"/>
    </row>
    <row r="2362" spans="8:8" x14ac:dyDescent="0.25">
      <c r="H2362" s="23"/>
    </row>
    <row r="2363" spans="8:8" x14ac:dyDescent="0.25">
      <c r="H2363" s="23"/>
    </row>
    <row r="2364" spans="8:8" x14ac:dyDescent="0.25">
      <c r="H2364" s="23"/>
    </row>
    <row r="2365" spans="8:8" x14ac:dyDescent="0.25">
      <c r="H2365" s="23"/>
    </row>
    <row r="2366" spans="8:8" x14ac:dyDescent="0.25">
      <c r="H2366" s="23"/>
    </row>
    <row r="2367" spans="8:8" x14ac:dyDescent="0.25">
      <c r="H2367" s="23"/>
    </row>
    <row r="2368" spans="8:8" x14ac:dyDescent="0.25">
      <c r="H2368" s="23"/>
    </row>
    <row r="2369" spans="8:8" x14ac:dyDescent="0.25">
      <c r="H2369" s="23"/>
    </row>
    <row r="2370" spans="8:8" x14ac:dyDescent="0.25">
      <c r="H2370" s="23"/>
    </row>
    <row r="2371" spans="8:8" x14ac:dyDescent="0.25">
      <c r="H2371" s="23"/>
    </row>
    <row r="2372" spans="8:8" x14ac:dyDescent="0.25">
      <c r="H2372" s="23"/>
    </row>
    <row r="2373" spans="8:8" x14ac:dyDescent="0.25">
      <c r="H2373" s="23"/>
    </row>
    <row r="2374" spans="8:8" x14ac:dyDescent="0.25">
      <c r="H2374" s="23"/>
    </row>
    <row r="2375" spans="8:8" x14ac:dyDescent="0.25">
      <c r="H2375" s="23"/>
    </row>
    <row r="2376" spans="8:8" x14ac:dyDescent="0.25">
      <c r="H2376" s="23"/>
    </row>
    <row r="2377" spans="8:8" x14ac:dyDescent="0.25">
      <c r="H2377" s="23"/>
    </row>
    <row r="2378" spans="8:8" x14ac:dyDescent="0.25">
      <c r="H2378" s="23"/>
    </row>
    <row r="2379" spans="8:8" x14ac:dyDescent="0.25">
      <c r="H2379" s="23"/>
    </row>
    <row r="2380" spans="8:8" x14ac:dyDescent="0.25">
      <c r="H2380" s="23"/>
    </row>
    <row r="2381" spans="8:8" x14ac:dyDescent="0.25">
      <c r="H2381" s="23"/>
    </row>
    <row r="2382" spans="8:8" x14ac:dyDescent="0.25">
      <c r="H2382" s="23"/>
    </row>
    <row r="2383" spans="8:8" x14ac:dyDescent="0.25">
      <c r="H2383" s="23"/>
    </row>
    <row r="2384" spans="8:8" x14ac:dyDescent="0.25">
      <c r="H2384" s="23"/>
    </row>
    <row r="2385" spans="8:8" x14ac:dyDescent="0.25">
      <c r="H2385" s="23"/>
    </row>
    <row r="2386" spans="8:8" x14ac:dyDescent="0.25">
      <c r="H2386" s="23"/>
    </row>
    <row r="2387" spans="8:8" x14ac:dyDescent="0.25">
      <c r="H2387" s="23"/>
    </row>
    <row r="2388" spans="8:8" x14ac:dyDescent="0.25">
      <c r="H2388" s="23"/>
    </row>
    <row r="2389" spans="8:8" x14ac:dyDescent="0.25">
      <c r="H2389" s="23"/>
    </row>
    <row r="2390" spans="8:8" x14ac:dyDescent="0.25">
      <c r="H2390" s="23"/>
    </row>
    <row r="2391" spans="8:8" x14ac:dyDescent="0.25">
      <c r="H2391" s="23"/>
    </row>
    <row r="2392" spans="8:8" x14ac:dyDescent="0.25">
      <c r="H2392" s="23"/>
    </row>
    <row r="2393" spans="8:8" x14ac:dyDescent="0.25">
      <c r="H2393" s="23"/>
    </row>
    <row r="2394" spans="8:8" x14ac:dyDescent="0.25">
      <c r="H2394" s="23"/>
    </row>
    <row r="2395" spans="8:8" x14ac:dyDescent="0.25">
      <c r="H2395" s="23"/>
    </row>
    <row r="2396" spans="8:8" x14ac:dyDescent="0.25">
      <c r="H2396" s="23"/>
    </row>
    <row r="2397" spans="8:8" x14ac:dyDescent="0.25">
      <c r="H2397" s="23"/>
    </row>
    <row r="2398" spans="8:8" x14ac:dyDescent="0.25">
      <c r="H2398" s="23"/>
    </row>
    <row r="2399" spans="8:8" x14ac:dyDescent="0.25">
      <c r="H2399" s="23"/>
    </row>
    <row r="2400" spans="8:8" x14ac:dyDescent="0.25">
      <c r="H2400" s="23"/>
    </row>
    <row r="2401" spans="8:8" x14ac:dyDescent="0.25">
      <c r="H2401" s="23"/>
    </row>
    <row r="2402" spans="8:8" x14ac:dyDescent="0.25">
      <c r="H2402" s="23"/>
    </row>
    <row r="2403" spans="8:8" x14ac:dyDescent="0.25">
      <c r="H2403" s="23"/>
    </row>
    <row r="2404" spans="8:8" x14ac:dyDescent="0.25">
      <c r="H2404" s="23"/>
    </row>
    <row r="2405" spans="8:8" x14ac:dyDescent="0.25">
      <c r="H2405" s="23"/>
    </row>
    <row r="2406" spans="8:8" x14ac:dyDescent="0.25">
      <c r="H2406" s="23"/>
    </row>
    <row r="2407" spans="8:8" x14ac:dyDescent="0.25">
      <c r="H2407" s="23"/>
    </row>
    <row r="2408" spans="8:8" x14ac:dyDescent="0.25">
      <c r="H2408" s="23"/>
    </row>
    <row r="2409" spans="8:8" x14ac:dyDescent="0.25">
      <c r="H2409" s="23"/>
    </row>
    <row r="2410" spans="8:8" x14ac:dyDescent="0.25">
      <c r="H2410" s="23"/>
    </row>
    <row r="2411" spans="8:8" x14ac:dyDescent="0.25">
      <c r="H2411" s="23"/>
    </row>
    <row r="2412" spans="8:8" x14ac:dyDescent="0.25">
      <c r="H2412" s="23"/>
    </row>
    <row r="2413" spans="8:8" x14ac:dyDescent="0.25">
      <c r="H2413" s="23"/>
    </row>
    <row r="2414" spans="8:8" x14ac:dyDescent="0.25">
      <c r="H2414" s="23"/>
    </row>
    <row r="2415" spans="8:8" x14ac:dyDescent="0.25">
      <c r="H2415" s="23"/>
    </row>
    <row r="2416" spans="8:8" x14ac:dyDescent="0.25">
      <c r="H2416" s="23"/>
    </row>
    <row r="2417" spans="8:8" x14ac:dyDescent="0.25">
      <c r="H2417" s="23"/>
    </row>
    <row r="2418" spans="8:8" x14ac:dyDescent="0.25">
      <c r="H2418" s="23"/>
    </row>
    <row r="2419" spans="8:8" x14ac:dyDescent="0.25">
      <c r="H2419" s="23"/>
    </row>
    <row r="2420" spans="8:8" x14ac:dyDescent="0.25">
      <c r="H2420" s="23"/>
    </row>
    <row r="2421" spans="8:8" x14ac:dyDescent="0.25">
      <c r="H2421" s="23"/>
    </row>
    <row r="2422" spans="8:8" x14ac:dyDescent="0.25">
      <c r="H2422" s="23"/>
    </row>
    <row r="2423" spans="8:8" x14ac:dyDescent="0.25">
      <c r="H2423" s="23"/>
    </row>
    <row r="2424" spans="8:8" x14ac:dyDescent="0.25">
      <c r="H2424" s="23"/>
    </row>
    <row r="2425" spans="8:8" x14ac:dyDescent="0.25">
      <c r="H2425" s="23"/>
    </row>
    <row r="2426" spans="8:8" x14ac:dyDescent="0.25">
      <c r="H2426" s="23"/>
    </row>
    <row r="2427" spans="8:8" x14ac:dyDescent="0.25">
      <c r="H2427" s="23"/>
    </row>
    <row r="2428" spans="8:8" x14ac:dyDescent="0.25">
      <c r="H2428" s="23"/>
    </row>
    <row r="2429" spans="8:8" x14ac:dyDescent="0.25">
      <c r="H2429" s="23"/>
    </row>
    <row r="2430" spans="8:8" x14ac:dyDescent="0.25">
      <c r="H2430" s="23"/>
    </row>
    <row r="2431" spans="8:8" x14ac:dyDescent="0.25">
      <c r="H2431" s="23"/>
    </row>
    <row r="2432" spans="8:8" x14ac:dyDescent="0.25">
      <c r="H2432" s="23"/>
    </row>
    <row r="2433" spans="8:8" x14ac:dyDescent="0.25">
      <c r="H2433" s="23"/>
    </row>
    <row r="2434" spans="8:8" x14ac:dyDescent="0.25">
      <c r="H2434" s="23"/>
    </row>
    <row r="2435" spans="8:8" x14ac:dyDescent="0.25">
      <c r="H2435" s="23"/>
    </row>
    <row r="2436" spans="8:8" x14ac:dyDescent="0.25">
      <c r="H2436" s="23"/>
    </row>
    <row r="2437" spans="8:8" x14ac:dyDescent="0.25">
      <c r="H2437" s="23"/>
    </row>
    <row r="2438" spans="8:8" x14ac:dyDescent="0.25">
      <c r="H2438" s="23"/>
    </row>
    <row r="2439" spans="8:8" x14ac:dyDescent="0.25">
      <c r="H2439" s="23"/>
    </row>
    <row r="2440" spans="8:8" x14ac:dyDescent="0.25">
      <c r="H2440" s="23"/>
    </row>
    <row r="2441" spans="8:8" x14ac:dyDescent="0.25">
      <c r="H2441" s="23"/>
    </row>
    <row r="2442" spans="8:8" x14ac:dyDescent="0.25">
      <c r="H2442" s="23"/>
    </row>
    <row r="2443" spans="8:8" x14ac:dyDescent="0.25">
      <c r="H2443" s="23"/>
    </row>
    <row r="2444" spans="8:8" x14ac:dyDescent="0.25">
      <c r="H2444" s="23"/>
    </row>
    <row r="2445" spans="8:8" x14ac:dyDescent="0.25">
      <c r="H2445" s="23"/>
    </row>
    <row r="2446" spans="8:8" x14ac:dyDescent="0.25">
      <c r="H2446" s="23"/>
    </row>
    <row r="2447" spans="8:8" x14ac:dyDescent="0.25">
      <c r="H2447" s="23"/>
    </row>
    <row r="2448" spans="8:8" x14ac:dyDescent="0.25">
      <c r="H2448" s="23"/>
    </row>
    <row r="2449" spans="8:8" x14ac:dyDescent="0.25">
      <c r="H2449" s="23"/>
    </row>
    <row r="2450" spans="8:8" x14ac:dyDescent="0.25">
      <c r="H2450" s="23"/>
    </row>
    <row r="2451" spans="8:8" x14ac:dyDescent="0.25">
      <c r="H2451" s="23"/>
    </row>
    <row r="2452" spans="8:8" x14ac:dyDescent="0.25">
      <c r="H2452" s="23"/>
    </row>
    <row r="2453" spans="8:8" x14ac:dyDescent="0.25">
      <c r="H2453" s="23"/>
    </row>
    <row r="2454" spans="8:8" x14ac:dyDescent="0.25">
      <c r="H2454" s="23"/>
    </row>
    <row r="2455" spans="8:8" x14ac:dyDescent="0.25">
      <c r="H2455" s="23"/>
    </row>
    <row r="2456" spans="8:8" x14ac:dyDescent="0.25">
      <c r="H2456" s="23"/>
    </row>
    <row r="2457" spans="8:8" x14ac:dyDescent="0.25">
      <c r="H2457" s="23"/>
    </row>
    <row r="2458" spans="8:8" x14ac:dyDescent="0.25">
      <c r="H2458" s="23"/>
    </row>
    <row r="2459" spans="8:8" x14ac:dyDescent="0.25">
      <c r="H2459" s="23"/>
    </row>
    <row r="2460" spans="8:8" x14ac:dyDescent="0.25">
      <c r="H2460" s="23"/>
    </row>
    <row r="2461" spans="8:8" x14ac:dyDescent="0.25">
      <c r="H2461" s="23"/>
    </row>
    <row r="2462" spans="8:8" x14ac:dyDescent="0.25">
      <c r="H2462" s="23"/>
    </row>
    <row r="2463" spans="8:8" x14ac:dyDescent="0.25">
      <c r="H2463" s="23"/>
    </row>
    <row r="2464" spans="8:8" x14ac:dyDescent="0.25">
      <c r="H2464" s="23"/>
    </row>
    <row r="2465" spans="8:8" x14ac:dyDescent="0.25">
      <c r="H2465" s="23"/>
    </row>
    <row r="2466" spans="8:8" x14ac:dyDescent="0.25">
      <c r="H2466" s="23"/>
    </row>
    <row r="2467" spans="8:8" x14ac:dyDescent="0.25">
      <c r="H2467" s="23"/>
    </row>
    <row r="2468" spans="8:8" x14ac:dyDescent="0.25">
      <c r="H2468" s="23"/>
    </row>
    <row r="2469" spans="8:8" x14ac:dyDescent="0.25">
      <c r="H2469" s="23"/>
    </row>
    <row r="2470" spans="8:8" x14ac:dyDescent="0.25">
      <c r="H2470" s="23"/>
    </row>
    <row r="2471" spans="8:8" x14ac:dyDescent="0.25">
      <c r="H2471" s="23"/>
    </row>
    <row r="2472" spans="8:8" x14ac:dyDescent="0.25">
      <c r="H2472" s="23"/>
    </row>
    <row r="2473" spans="8:8" x14ac:dyDescent="0.25">
      <c r="H2473" s="23"/>
    </row>
    <row r="2474" spans="8:8" x14ac:dyDescent="0.25">
      <c r="H2474" s="23"/>
    </row>
    <row r="2475" spans="8:8" x14ac:dyDescent="0.25">
      <c r="H2475" s="23"/>
    </row>
    <row r="2476" spans="8:8" x14ac:dyDescent="0.25">
      <c r="H2476" s="23"/>
    </row>
    <row r="2477" spans="8:8" x14ac:dyDescent="0.25">
      <c r="H2477" s="23"/>
    </row>
    <row r="2478" spans="8:8" x14ac:dyDescent="0.25">
      <c r="H2478" s="23"/>
    </row>
    <row r="2479" spans="8:8" x14ac:dyDescent="0.25">
      <c r="H2479" s="23"/>
    </row>
    <row r="2480" spans="8:8" x14ac:dyDescent="0.25">
      <c r="H2480" s="23"/>
    </row>
    <row r="2481" spans="8:8" x14ac:dyDescent="0.25">
      <c r="H2481" s="23"/>
    </row>
    <row r="2482" spans="8:8" x14ac:dyDescent="0.25">
      <c r="H2482" s="23"/>
    </row>
    <row r="2483" spans="8:8" x14ac:dyDescent="0.25">
      <c r="H2483" s="23"/>
    </row>
    <row r="2484" spans="8:8" x14ac:dyDescent="0.25">
      <c r="H2484" s="23"/>
    </row>
    <row r="2485" spans="8:8" x14ac:dyDescent="0.25">
      <c r="H2485" s="23"/>
    </row>
    <row r="2486" spans="8:8" x14ac:dyDescent="0.25">
      <c r="H2486" s="23"/>
    </row>
    <row r="2487" spans="8:8" x14ac:dyDescent="0.25">
      <c r="H2487" s="23"/>
    </row>
    <row r="2488" spans="8:8" x14ac:dyDescent="0.25">
      <c r="H2488" s="23"/>
    </row>
    <row r="2489" spans="8:8" x14ac:dyDescent="0.25">
      <c r="H2489" s="23"/>
    </row>
    <row r="2490" spans="8:8" x14ac:dyDescent="0.25">
      <c r="H2490" s="23"/>
    </row>
    <row r="2491" spans="8:8" x14ac:dyDescent="0.25">
      <c r="H2491" s="23"/>
    </row>
    <row r="2492" spans="8:8" x14ac:dyDescent="0.25">
      <c r="H2492" s="23"/>
    </row>
    <row r="2493" spans="8:8" x14ac:dyDescent="0.25">
      <c r="H2493" s="23"/>
    </row>
    <row r="2494" spans="8:8" x14ac:dyDescent="0.25">
      <c r="H2494" s="23"/>
    </row>
    <row r="2495" spans="8:8" x14ac:dyDescent="0.25">
      <c r="H2495" s="23"/>
    </row>
    <row r="2496" spans="8:8" x14ac:dyDescent="0.25">
      <c r="H2496" s="23"/>
    </row>
    <row r="2497" spans="8:8" x14ac:dyDescent="0.25">
      <c r="H2497" s="23"/>
    </row>
    <row r="2498" spans="8:8" x14ac:dyDescent="0.25">
      <c r="H2498" s="23"/>
    </row>
    <row r="2499" spans="8:8" x14ac:dyDescent="0.25">
      <c r="H2499" s="23"/>
    </row>
    <row r="2500" spans="8:8" x14ac:dyDescent="0.25">
      <c r="H2500" s="23"/>
    </row>
    <row r="2501" spans="8:8" x14ac:dyDescent="0.25">
      <c r="H2501" s="23"/>
    </row>
    <row r="2502" spans="8:8" x14ac:dyDescent="0.25">
      <c r="H2502" s="23"/>
    </row>
    <row r="2503" spans="8:8" x14ac:dyDescent="0.25">
      <c r="H2503" s="23"/>
    </row>
    <row r="2504" spans="8:8" x14ac:dyDescent="0.25">
      <c r="H2504" s="23"/>
    </row>
    <row r="2505" spans="8:8" x14ac:dyDescent="0.25">
      <c r="H2505" s="23"/>
    </row>
    <row r="2506" spans="8:8" x14ac:dyDescent="0.25">
      <c r="H2506" s="23"/>
    </row>
    <row r="2507" spans="8:8" x14ac:dyDescent="0.25">
      <c r="H2507" s="23"/>
    </row>
    <row r="2508" spans="8:8" x14ac:dyDescent="0.25">
      <c r="H2508" s="23"/>
    </row>
    <row r="2509" spans="8:8" x14ac:dyDescent="0.25">
      <c r="H2509" s="23"/>
    </row>
    <row r="2510" spans="8:8" x14ac:dyDescent="0.25">
      <c r="H2510" s="23"/>
    </row>
    <row r="2511" spans="8:8" x14ac:dyDescent="0.25">
      <c r="H2511" s="23"/>
    </row>
    <row r="2512" spans="8:8" x14ac:dyDescent="0.25">
      <c r="H2512" s="23"/>
    </row>
    <row r="2513" spans="8:8" x14ac:dyDescent="0.25">
      <c r="H2513" s="23"/>
    </row>
    <row r="2514" spans="8:8" x14ac:dyDescent="0.25">
      <c r="H2514" s="23"/>
    </row>
    <row r="2515" spans="8:8" x14ac:dyDescent="0.25">
      <c r="H2515" s="23"/>
    </row>
    <row r="2516" spans="8:8" x14ac:dyDescent="0.25">
      <c r="H2516" s="23"/>
    </row>
    <row r="2517" spans="8:8" x14ac:dyDescent="0.25">
      <c r="H2517" s="23"/>
    </row>
    <row r="2518" spans="8:8" x14ac:dyDescent="0.25">
      <c r="H2518" s="23"/>
    </row>
    <row r="2519" spans="8:8" x14ac:dyDescent="0.25">
      <c r="H2519" s="23"/>
    </row>
    <row r="2520" spans="8:8" x14ac:dyDescent="0.25">
      <c r="H2520" s="23"/>
    </row>
    <row r="2521" spans="8:8" x14ac:dyDescent="0.25">
      <c r="H2521" s="23"/>
    </row>
    <row r="2522" spans="8:8" x14ac:dyDescent="0.25">
      <c r="H2522" s="23"/>
    </row>
    <row r="2523" spans="8:8" x14ac:dyDescent="0.25">
      <c r="H2523" s="23"/>
    </row>
    <row r="2524" spans="8:8" x14ac:dyDescent="0.25">
      <c r="H2524" s="23"/>
    </row>
    <row r="2525" spans="8:8" x14ac:dyDescent="0.25">
      <c r="H2525" s="23"/>
    </row>
    <row r="2526" spans="8:8" x14ac:dyDescent="0.25">
      <c r="H2526" s="23"/>
    </row>
    <row r="2527" spans="8:8" x14ac:dyDescent="0.25">
      <c r="H2527" s="23"/>
    </row>
    <row r="2528" spans="8:8" x14ac:dyDescent="0.25">
      <c r="H2528" s="23"/>
    </row>
    <row r="2529" spans="8:8" x14ac:dyDescent="0.25">
      <c r="H2529" s="23"/>
    </row>
    <row r="2530" spans="8:8" x14ac:dyDescent="0.25">
      <c r="H2530" s="23"/>
    </row>
    <row r="2531" spans="8:8" x14ac:dyDescent="0.25">
      <c r="H2531" s="23"/>
    </row>
    <row r="2532" spans="8:8" x14ac:dyDescent="0.25">
      <c r="H2532" s="23"/>
    </row>
    <row r="2533" spans="8:8" x14ac:dyDescent="0.25">
      <c r="H2533" s="23"/>
    </row>
    <row r="2534" spans="8:8" x14ac:dyDescent="0.25">
      <c r="H2534" s="23"/>
    </row>
    <row r="2535" spans="8:8" x14ac:dyDescent="0.25">
      <c r="H2535" s="23"/>
    </row>
    <row r="2536" spans="8:8" x14ac:dyDescent="0.25">
      <c r="H2536" s="23"/>
    </row>
    <row r="2537" spans="8:8" x14ac:dyDescent="0.25">
      <c r="H2537" s="23"/>
    </row>
    <row r="2538" spans="8:8" x14ac:dyDescent="0.25">
      <c r="H2538" s="23"/>
    </row>
    <row r="2539" spans="8:8" x14ac:dyDescent="0.25">
      <c r="H2539" s="23"/>
    </row>
    <row r="2540" spans="8:8" x14ac:dyDescent="0.25">
      <c r="H2540" s="23"/>
    </row>
    <row r="2541" spans="8:8" x14ac:dyDescent="0.25">
      <c r="H2541" s="23"/>
    </row>
    <row r="2542" spans="8:8" x14ac:dyDescent="0.25">
      <c r="H2542" s="23"/>
    </row>
    <row r="2543" spans="8:8" x14ac:dyDescent="0.25">
      <c r="H2543" s="23"/>
    </row>
    <row r="2544" spans="8:8" x14ac:dyDescent="0.25">
      <c r="H2544" s="23"/>
    </row>
    <row r="2545" spans="8:8" x14ac:dyDescent="0.25">
      <c r="H2545" s="23"/>
    </row>
    <row r="2546" spans="8:8" x14ac:dyDescent="0.25">
      <c r="H2546" s="23"/>
    </row>
    <row r="2547" spans="8:8" x14ac:dyDescent="0.25">
      <c r="H2547" s="23"/>
    </row>
    <row r="2548" spans="8:8" x14ac:dyDescent="0.25">
      <c r="H2548" s="23"/>
    </row>
    <row r="2549" spans="8:8" x14ac:dyDescent="0.25">
      <c r="H2549" s="23"/>
    </row>
    <row r="2550" spans="8:8" x14ac:dyDescent="0.25">
      <c r="H2550" s="23"/>
    </row>
    <row r="2551" spans="8:8" x14ac:dyDescent="0.25">
      <c r="H2551" s="23"/>
    </row>
    <row r="2552" spans="8:8" x14ac:dyDescent="0.25">
      <c r="H2552" s="23"/>
    </row>
    <row r="2553" spans="8:8" x14ac:dyDescent="0.25">
      <c r="H2553" s="23"/>
    </row>
    <row r="2554" spans="8:8" x14ac:dyDescent="0.25">
      <c r="H2554" s="23"/>
    </row>
    <row r="2555" spans="8:8" x14ac:dyDescent="0.25">
      <c r="H2555" s="23"/>
    </row>
    <row r="2556" spans="8:8" x14ac:dyDescent="0.25">
      <c r="H2556" s="23"/>
    </row>
    <row r="2557" spans="8:8" x14ac:dyDescent="0.25">
      <c r="H2557" s="23"/>
    </row>
    <row r="2558" spans="8:8" x14ac:dyDescent="0.25">
      <c r="H2558" s="23"/>
    </row>
    <row r="2559" spans="8:8" x14ac:dyDescent="0.25">
      <c r="H2559" s="23"/>
    </row>
    <row r="2560" spans="8:8" x14ac:dyDescent="0.25">
      <c r="H2560" s="23"/>
    </row>
    <row r="2561" spans="8:8" x14ac:dyDescent="0.25">
      <c r="H2561" s="23"/>
    </row>
    <row r="2562" spans="8:8" x14ac:dyDescent="0.25">
      <c r="H2562" s="23"/>
    </row>
    <row r="2563" spans="8:8" x14ac:dyDescent="0.25">
      <c r="H2563" s="23"/>
    </row>
    <row r="2564" spans="8:8" x14ac:dyDescent="0.25">
      <c r="H2564" s="23"/>
    </row>
    <row r="2565" spans="8:8" x14ac:dyDescent="0.25">
      <c r="H2565" s="23"/>
    </row>
    <row r="2566" spans="8:8" x14ac:dyDescent="0.25">
      <c r="H2566" s="23"/>
    </row>
    <row r="2567" spans="8:8" x14ac:dyDescent="0.25">
      <c r="H2567" s="23"/>
    </row>
    <row r="2568" spans="8:8" x14ac:dyDescent="0.25">
      <c r="H2568" s="23"/>
    </row>
    <row r="2569" spans="8:8" x14ac:dyDescent="0.25">
      <c r="H2569" s="23"/>
    </row>
    <row r="2570" spans="8:8" x14ac:dyDescent="0.25">
      <c r="H2570" s="23"/>
    </row>
    <row r="2571" spans="8:8" x14ac:dyDescent="0.25">
      <c r="H2571" s="23"/>
    </row>
    <row r="2572" spans="8:8" x14ac:dyDescent="0.25">
      <c r="H2572" s="23"/>
    </row>
    <row r="2573" spans="8:8" x14ac:dyDescent="0.25">
      <c r="H2573" s="23"/>
    </row>
    <row r="2574" spans="8:8" x14ac:dyDescent="0.25">
      <c r="H2574" s="23"/>
    </row>
    <row r="2575" spans="8:8" x14ac:dyDescent="0.25">
      <c r="H2575" s="23"/>
    </row>
    <row r="2576" spans="8:8" x14ac:dyDescent="0.25">
      <c r="H2576" s="23"/>
    </row>
    <row r="2577" spans="8:8" x14ac:dyDescent="0.25">
      <c r="H2577" s="23"/>
    </row>
    <row r="2578" spans="8:8" x14ac:dyDescent="0.25">
      <c r="H2578" s="23"/>
    </row>
    <row r="2579" spans="8:8" x14ac:dyDescent="0.25">
      <c r="H2579" s="23"/>
    </row>
    <row r="2580" spans="8:8" x14ac:dyDescent="0.25">
      <c r="H2580" s="23"/>
    </row>
    <row r="2581" spans="8:8" x14ac:dyDescent="0.25">
      <c r="H2581" s="23"/>
    </row>
    <row r="2582" spans="8:8" x14ac:dyDescent="0.25">
      <c r="H2582" s="23"/>
    </row>
    <row r="2583" spans="8:8" x14ac:dyDescent="0.25">
      <c r="H2583" s="23"/>
    </row>
    <row r="2584" spans="8:8" x14ac:dyDescent="0.25">
      <c r="H2584" s="23"/>
    </row>
    <row r="2585" spans="8:8" x14ac:dyDescent="0.25">
      <c r="H2585" s="23"/>
    </row>
    <row r="2586" spans="8:8" x14ac:dyDescent="0.25">
      <c r="H2586" s="23"/>
    </row>
    <row r="2587" spans="8:8" x14ac:dyDescent="0.25">
      <c r="H2587" s="23"/>
    </row>
    <row r="2588" spans="8:8" x14ac:dyDescent="0.25">
      <c r="H2588" s="23"/>
    </row>
    <row r="2589" spans="8:8" x14ac:dyDescent="0.25">
      <c r="H2589" s="23"/>
    </row>
    <row r="2590" spans="8:8" x14ac:dyDescent="0.25">
      <c r="H2590" s="23"/>
    </row>
    <row r="2591" spans="8:8" x14ac:dyDescent="0.25">
      <c r="H2591" s="23"/>
    </row>
    <row r="2592" spans="8:8" x14ac:dyDescent="0.25">
      <c r="H2592" s="23"/>
    </row>
    <row r="2593" spans="8:8" x14ac:dyDescent="0.25">
      <c r="H2593" s="23"/>
    </row>
    <row r="2594" spans="8:8" x14ac:dyDescent="0.25">
      <c r="H2594" s="23"/>
    </row>
    <row r="2595" spans="8:8" x14ac:dyDescent="0.25">
      <c r="H2595" s="23"/>
    </row>
    <row r="2596" spans="8:8" x14ac:dyDescent="0.25">
      <c r="H2596" s="23"/>
    </row>
    <row r="2597" spans="8:8" x14ac:dyDescent="0.25">
      <c r="H2597" s="23"/>
    </row>
    <row r="2598" spans="8:8" x14ac:dyDescent="0.25">
      <c r="H2598" s="23"/>
    </row>
    <row r="2599" spans="8:8" x14ac:dyDescent="0.25">
      <c r="H2599" s="23"/>
    </row>
    <row r="2600" spans="8:8" x14ac:dyDescent="0.25">
      <c r="H2600" s="23"/>
    </row>
    <row r="2601" spans="8:8" x14ac:dyDescent="0.25">
      <c r="H2601" s="23"/>
    </row>
    <row r="2602" spans="8:8" x14ac:dyDescent="0.25">
      <c r="H2602" s="23"/>
    </row>
    <row r="2603" spans="8:8" x14ac:dyDescent="0.25">
      <c r="H2603" s="23"/>
    </row>
    <row r="2604" spans="8:8" x14ac:dyDescent="0.25">
      <c r="H2604" s="23"/>
    </row>
    <row r="2605" spans="8:8" x14ac:dyDescent="0.25">
      <c r="H2605" s="23"/>
    </row>
    <row r="2606" spans="8:8" x14ac:dyDescent="0.25">
      <c r="H2606" s="23"/>
    </row>
    <row r="2607" spans="8:8" x14ac:dyDescent="0.25">
      <c r="H2607" s="23"/>
    </row>
    <row r="2608" spans="8:8" x14ac:dyDescent="0.25">
      <c r="H2608" s="23"/>
    </row>
    <row r="2609" spans="8:8" x14ac:dyDescent="0.25">
      <c r="H2609" s="23"/>
    </row>
    <row r="2610" spans="8:8" x14ac:dyDescent="0.25">
      <c r="H2610" s="23"/>
    </row>
    <row r="2611" spans="8:8" x14ac:dyDescent="0.25">
      <c r="H2611" s="23"/>
    </row>
    <row r="2612" spans="8:8" x14ac:dyDescent="0.25">
      <c r="H2612" s="23"/>
    </row>
    <row r="2613" spans="8:8" x14ac:dyDescent="0.25">
      <c r="H2613" s="23"/>
    </row>
    <row r="2614" spans="8:8" x14ac:dyDescent="0.25">
      <c r="H2614" s="23"/>
    </row>
    <row r="2615" spans="8:8" x14ac:dyDescent="0.25">
      <c r="H2615" s="23"/>
    </row>
    <row r="2616" spans="8:8" x14ac:dyDescent="0.25">
      <c r="H2616" s="23"/>
    </row>
    <row r="2617" spans="8:8" x14ac:dyDescent="0.25">
      <c r="H2617" s="23"/>
    </row>
    <row r="2618" spans="8:8" x14ac:dyDescent="0.25">
      <c r="H2618" s="23"/>
    </row>
    <row r="2619" spans="8:8" x14ac:dyDescent="0.25">
      <c r="H2619" s="23"/>
    </row>
    <row r="2620" spans="8:8" x14ac:dyDescent="0.25">
      <c r="H2620" s="23"/>
    </row>
    <row r="2621" spans="8:8" x14ac:dyDescent="0.25">
      <c r="H2621" s="23"/>
    </row>
    <row r="2622" spans="8:8" x14ac:dyDescent="0.25">
      <c r="H2622" s="23"/>
    </row>
    <row r="2623" spans="8:8" x14ac:dyDescent="0.25">
      <c r="H2623" s="23"/>
    </row>
    <row r="2624" spans="8:8" x14ac:dyDescent="0.25">
      <c r="H2624" s="23"/>
    </row>
    <row r="2625" spans="8:8" x14ac:dyDescent="0.25">
      <c r="H2625" s="23"/>
    </row>
    <row r="2626" spans="8:8" x14ac:dyDescent="0.25">
      <c r="H2626" s="23"/>
    </row>
    <row r="2627" spans="8:8" x14ac:dyDescent="0.25">
      <c r="H2627" s="23"/>
    </row>
    <row r="2628" spans="8:8" x14ac:dyDescent="0.25">
      <c r="H2628" s="23"/>
    </row>
    <row r="2629" spans="8:8" x14ac:dyDescent="0.25">
      <c r="H2629" s="23"/>
    </row>
    <row r="2630" spans="8:8" x14ac:dyDescent="0.25">
      <c r="H2630" s="23"/>
    </row>
    <row r="2631" spans="8:8" x14ac:dyDescent="0.25">
      <c r="H2631" s="23"/>
    </row>
    <row r="2632" spans="8:8" x14ac:dyDescent="0.25">
      <c r="H2632" s="23"/>
    </row>
    <row r="2633" spans="8:8" x14ac:dyDescent="0.25">
      <c r="H2633" s="23"/>
    </row>
    <row r="2634" spans="8:8" x14ac:dyDescent="0.25">
      <c r="H2634" s="23"/>
    </row>
    <row r="2635" spans="8:8" x14ac:dyDescent="0.25">
      <c r="H2635" s="23"/>
    </row>
    <row r="2636" spans="8:8" x14ac:dyDescent="0.25">
      <c r="H2636" s="23"/>
    </row>
    <row r="2637" spans="8:8" x14ac:dyDescent="0.25">
      <c r="H2637" s="23"/>
    </row>
    <row r="2638" spans="8:8" x14ac:dyDescent="0.25">
      <c r="H2638" s="23"/>
    </row>
    <row r="2639" spans="8:8" x14ac:dyDescent="0.25">
      <c r="H2639" s="23"/>
    </row>
    <row r="2640" spans="8:8" x14ac:dyDescent="0.25">
      <c r="H2640" s="23"/>
    </row>
    <row r="2641" spans="8:8" x14ac:dyDescent="0.25">
      <c r="H2641" s="23"/>
    </row>
    <row r="2642" spans="8:8" x14ac:dyDescent="0.25">
      <c r="H2642" s="23"/>
    </row>
    <row r="2643" spans="8:8" x14ac:dyDescent="0.25">
      <c r="H2643" s="23"/>
    </row>
    <row r="2644" spans="8:8" x14ac:dyDescent="0.25">
      <c r="H2644" s="23"/>
    </row>
    <row r="2645" spans="8:8" x14ac:dyDescent="0.25">
      <c r="H2645" s="23"/>
    </row>
    <row r="2646" spans="8:8" x14ac:dyDescent="0.25">
      <c r="H2646" s="23"/>
    </row>
    <row r="2647" spans="8:8" x14ac:dyDescent="0.25">
      <c r="H2647" s="23"/>
    </row>
    <row r="2648" spans="8:8" x14ac:dyDescent="0.25">
      <c r="H2648" s="23"/>
    </row>
    <row r="2649" spans="8:8" x14ac:dyDescent="0.25">
      <c r="H2649" s="23"/>
    </row>
    <row r="2650" spans="8:8" x14ac:dyDescent="0.25">
      <c r="H2650" s="23"/>
    </row>
    <row r="2651" spans="8:8" x14ac:dyDescent="0.25">
      <c r="H2651" s="23"/>
    </row>
    <row r="2652" spans="8:8" x14ac:dyDescent="0.25">
      <c r="H2652" s="23"/>
    </row>
    <row r="2653" spans="8:8" x14ac:dyDescent="0.25">
      <c r="H2653" s="23"/>
    </row>
    <row r="2654" spans="8:8" x14ac:dyDescent="0.25">
      <c r="H2654" s="23"/>
    </row>
    <row r="2655" spans="8:8" x14ac:dyDescent="0.25">
      <c r="H2655" s="23"/>
    </row>
    <row r="2656" spans="8:8" x14ac:dyDescent="0.25">
      <c r="H2656" s="23"/>
    </row>
    <row r="2657" spans="8:8" x14ac:dyDescent="0.25">
      <c r="H2657" s="23"/>
    </row>
    <row r="2658" spans="8:8" x14ac:dyDescent="0.25">
      <c r="H2658" s="23"/>
    </row>
    <row r="2659" spans="8:8" x14ac:dyDescent="0.25">
      <c r="H2659" s="23"/>
    </row>
    <row r="2660" spans="8:8" x14ac:dyDescent="0.25">
      <c r="H2660" s="23"/>
    </row>
    <row r="2661" spans="8:8" x14ac:dyDescent="0.25">
      <c r="H2661" s="23"/>
    </row>
    <row r="2662" spans="8:8" x14ac:dyDescent="0.25">
      <c r="H2662" s="23"/>
    </row>
    <row r="2663" spans="8:8" x14ac:dyDescent="0.25">
      <c r="H2663" s="23"/>
    </row>
    <row r="2664" spans="8:8" x14ac:dyDescent="0.25">
      <c r="H2664" s="23"/>
    </row>
    <row r="2665" spans="8:8" x14ac:dyDescent="0.25">
      <c r="H2665" s="23"/>
    </row>
    <row r="2666" spans="8:8" x14ac:dyDescent="0.25">
      <c r="H2666" s="23"/>
    </row>
    <row r="2667" spans="8:8" x14ac:dyDescent="0.25">
      <c r="H2667" s="23"/>
    </row>
    <row r="2668" spans="8:8" x14ac:dyDescent="0.25">
      <c r="H2668" s="23"/>
    </row>
    <row r="2669" spans="8:8" x14ac:dyDescent="0.25">
      <c r="H2669" s="23"/>
    </row>
    <row r="2670" spans="8:8" x14ac:dyDescent="0.25">
      <c r="H2670" s="23"/>
    </row>
    <row r="2671" spans="8:8" x14ac:dyDescent="0.25">
      <c r="H2671" s="23"/>
    </row>
    <row r="2672" spans="8:8" x14ac:dyDescent="0.25">
      <c r="H2672" s="23"/>
    </row>
    <row r="2673" spans="8:8" x14ac:dyDescent="0.25">
      <c r="H2673" s="23"/>
    </row>
    <row r="2674" spans="8:8" x14ac:dyDescent="0.25">
      <c r="H2674" s="23"/>
    </row>
    <row r="2675" spans="8:8" x14ac:dyDescent="0.25">
      <c r="H2675" s="23"/>
    </row>
    <row r="2676" spans="8:8" x14ac:dyDescent="0.25">
      <c r="H2676" s="23"/>
    </row>
    <row r="2677" spans="8:8" x14ac:dyDescent="0.25">
      <c r="H2677" s="23"/>
    </row>
    <row r="2678" spans="8:8" x14ac:dyDescent="0.25">
      <c r="H2678" s="23"/>
    </row>
    <row r="2679" spans="8:8" x14ac:dyDescent="0.25">
      <c r="H2679" s="23"/>
    </row>
    <row r="2680" spans="8:8" x14ac:dyDescent="0.25">
      <c r="H2680" s="23"/>
    </row>
    <row r="2681" spans="8:8" x14ac:dyDescent="0.25">
      <c r="H2681" s="23"/>
    </row>
    <row r="2682" spans="8:8" x14ac:dyDescent="0.25">
      <c r="H2682" s="23"/>
    </row>
    <row r="2683" spans="8:8" x14ac:dyDescent="0.25">
      <c r="H2683" s="23"/>
    </row>
    <row r="2684" spans="8:8" x14ac:dyDescent="0.25">
      <c r="H2684" s="23"/>
    </row>
    <row r="2685" spans="8:8" x14ac:dyDescent="0.25">
      <c r="H2685" s="23"/>
    </row>
    <row r="2686" spans="8:8" x14ac:dyDescent="0.25">
      <c r="H2686" s="23"/>
    </row>
    <row r="2687" spans="8:8" x14ac:dyDescent="0.25">
      <c r="H2687" s="23"/>
    </row>
    <row r="2688" spans="8:8" x14ac:dyDescent="0.25">
      <c r="H2688" s="23"/>
    </row>
    <row r="2689" spans="8:8" x14ac:dyDescent="0.25">
      <c r="H2689" s="23"/>
    </row>
    <row r="2690" spans="8:8" x14ac:dyDescent="0.25">
      <c r="H2690" s="23"/>
    </row>
    <row r="2691" spans="8:8" x14ac:dyDescent="0.25">
      <c r="H2691" s="23"/>
    </row>
    <row r="2692" spans="8:8" x14ac:dyDescent="0.25">
      <c r="H2692" s="23"/>
    </row>
    <row r="2693" spans="8:8" x14ac:dyDescent="0.25">
      <c r="H2693" s="23"/>
    </row>
    <row r="2694" spans="8:8" x14ac:dyDescent="0.25">
      <c r="H2694" s="23"/>
    </row>
    <row r="2695" spans="8:8" x14ac:dyDescent="0.25">
      <c r="H2695" s="23"/>
    </row>
    <row r="2696" spans="8:8" x14ac:dyDescent="0.25">
      <c r="H2696" s="23"/>
    </row>
    <row r="2697" spans="8:8" x14ac:dyDescent="0.25">
      <c r="H2697" s="23"/>
    </row>
    <row r="2698" spans="8:8" x14ac:dyDescent="0.25">
      <c r="H2698" s="23"/>
    </row>
    <row r="2699" spans="8:8" x14ac:dyDescent="0.25">
      <c r="H2699" s="23"/>
    </row>
    <row r="2700" spans="8:8" x14ac:dyDescent="0.25">
      <c r="H2700" s="23"/>
    </row>
    <row r="2701" spans="8:8" x14ac:dyDescent="0.25">
      <c r="H2701" s="23"/>
    </row>
    <row r="2702" spans="8:8" x14ac:dyDescent="0.25">
      <c r="H2702" s="23"/>
    </row>
    <row r="2703" spans="8:8" x14ac:dyDescent="0.25">
      <c r="H2703" s="23"/>
    </row>
    <row r="2704" spans="8:8" x14ac:dyDescent="0.25">
      <c r="H2704" s="23"/>
    </row>
    <row r="2705" spans="8:8" x14ac:dyDescent="0.25">
      <c r="H2705" s="23"/>
    </row>
    <row r="2706" spans="8:8" x14ac:dyDescent="0.25">
      <c r="H2706" s="23"/>
    </row>
    <row r="2707" spans="8:8" x14ac:dyDescent="0.25">
      <c r="H2707" s="23"/>
    </row>
    <row r="2708" spans="8:8" x14ac:dyDescent="0.25">
      <c r="H2708" s="23"/>
    </row>
    <row r="2709" spans="8:8" x14ac:dyDescent="0.25">
      <c r="H2709" s="23"/>
    </row>
    <row r="2710" spans="8:8" x14ac:dyDescent="0.25">
      <c r="H2710" s="23"/>
    </row>
  </sheetData>
  <mergeCells count="5">
    <mergeCell ref="AS18:AV18"/>
    <mergeCell ref="AA19:AD19"/>
    <mergeCell ref="AS19:AV19"/>
    <mergeCell ref="AA20:AD20"/>
    <mergeCell ref="AG20:AG21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915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16" sqref="G16"/>
    </sheetView>
  </sheetViews>
  <sheetFormatPr baseColWidth="10" defaultColWidth="9.140625" defaultRowHeight="15" x14ac:dyDescent="0.25"/>
  <cols>
    <col min="1" max="1" width="12.42578125" style="8" bestFit="1" customWidth="1"/>
    <col min="2" max="2" width="5.5703125" style="8" bestFit="1" customWidth="1"/>
    <col min="3" max="3" width="43" customWidth="1"/>
    <col min="4" max="4" width="9.42578125" style="83" bestFit="1" customWidth="1"/>
    <col min="5" max="5" width="43" bestFit="1" customWidth="1"/>
    <col min="6" max="6" width="9.42578125" style="83" bestFit="1" customWidth="1"/>
    <col min="7" max="7" width="36.85546875" bestFit="1" customWidth="1"/>
    <col min="8" max="8" width="9.42578125" style="84" bestFit="1" customWidth="1"/>
    <col min="9" max="9" width="36.85546875" bestFit="1" customWidth="1"/>
    <col min="10" max="10" width="9.42578125" style="84" bestFit="1" customWidth="1"/>
    <col min="11" max="11" width="37.7109375" bestFit="1" customWidth="1"/>
    <col min="12" max="12" width="9.42578125" style="84" bestFit="1" customWidth="1"/>
    <col min="13" max="13" width="37.7109375" bestFit="1" customWidth="1"/>
    <col min="14" max="14" width="9.42578125" style="84" bestFit="1" customWidth="1"/>
    <col min="15" max="15" width="30.28515625" bestFit="1" customWidth="1"/>
    <col min="16" max="16" width="9.42578125" bestFit="1" customWidth="1"/>
    <col min="17" max="17" width="31.28515625" bestFit="1" customWidth="1"/>
    <col min="18" max="18" width="9.42578125" bestFit="1" customWidth="1"/>
    <col min="19" max="19" width="31.28515625" bestFit="1" customWidth="1"/>
    <col min="20" max="20" width="9.42578125" bestFit="1" customWidth="1"/>
    <col min="21" max="21" width="29.42578125" bestFit="1" customWidth="1"/>
    <col min="22" max="22" width="9.42578125" bestFit="1" customWidth="1"/>
    <col min="23" max="23" width="28.28515625" bestFit="1" customWidth="1"/>
    <col min="24" max="24" width="9.140625" style="89"/>
    <col min="29" max="29" width="20" customWidth="1"/>
    <col min="30" max="30" width="9.85546875" customWidth="1"/>
    <col min="31" max="31" width="15.85546875" customWidth="1"/>
  </cols>
  <sheetData>
    <row r="1" spans="1:32" x14ac:dyDescent="0.25">
      <c r="C1" t="s">
        <v>82</v>
      </c>
      <c r="D1" s="83" t="s">
        <v>83</v>
      </c>
      <c r="E1" t="s">
        <v>84</v>
      </c>
      <c r="F1" s="83" t="s">
        <v>85</v>
      </c>
      <c r="G1" t="s">
        <v>86</v>
      </c>
      <c r="H1" s="84" t="s">
        <v>87</v>
      </c>
      <c r="I1" t="s">
        <v>88</v>
      </c>
      <c r="J1" s="84" t="s">
        <v>87</v>
      </c>
      <c r="K1" t="s">
        <v>89</v>
      </c>
      <c r="L1" s="84" t="s">
        <v>87</v>
      </c>
      <c r="M1" t="s">
        <v>90</v>
      </c>
      <c r="N1" s="84" t="s">
        <v>87</v>
      </c>
      <c r="O1" t="s">
        <v>91</v>
      </c>
      <c r="Q1" t="s">
        <v>92</v>
      </c>
      <c r="S1" t="s">
        <v>93</v>
      </c>
      <c r="U1" t="s">
        <v>94</v>
      </c>
      <c r="W1" t="s">
        <v>95</v>
      </c>
      <c r="X1" s="89" t="s">
        <v>96</v>
      </c>
    </row>
    <row r="2" spans="1:32" x14ac:dyDescent="0.25">
      <c r="A2" s="8" t="s">
        <v>47</v>
      </c>
      <c r="B2" s="8" t="s">
        <v>52</v>
      </c>
      <c r="C2" t="s">
        <v>97</v>
      </c>
      <c r="E2" t="s">
        <v>98</v>
      </c>
      <c r="G2" t="s">
        <v>99</v>
      </c>
      <c r="I2" t="s">
        <v>100</v>
      </c>
      <c r="K2" t="s">
        <v>101</v>
      </c>
      <c r="M2" t="s">
        <v>102</v>
      </c>
      <c r="O2" t="s">
        <v>103</v>
      </c>
      <c r="Q2" t="s">
        <v>104</v>
      </c>
      <c r="S2" t="s">
        <v>105</v>
      </c>
      <c r="U2" t="s">
        <v>106</v>
      </c>
      <c r="W2" t="s">
        <v>107</v>
      </c>
      <c r="Z2" t="s">
        <v>108</v>
      </c>
    </row>
    <row r="3" spans="1:32" x14ac:dyDescent="0.25">
      <c r="A3" s="8">
        <v>42430</v>
      </c>
      <c r="B3" s="40">
        <f>+HOUR(A3)</f>
        <v>0</v>
      </c>
      <c r="C3">
        <v>55.365989685058601</v>
      </c>
      <c r="D3" s="85">
        <f>+(C4-C3)*1000</f>
        <v>0</v>
      </c>
      <c r="E3">
        <v>81.249671936035199</v>
      </c>
      <c r="F3" s="85">
        <f>+(E4-E3)*1000</f>
        <v>5.5389404296022349</v>
      </c>
      <c r="G3">
        <v>165.28712463378901</v>
      </c>
      <c r="H3" s="86">
        <f>+(G4-G3)*1000</f>
        <v>13.595581055000139</v>
      </c>
      <c r="I3">
        <v>125.32110595703099</v>
      </c>
      <c r="J3" s="86">
        <f>+(I4-I3)*1000</f>
        <v>11.955261231008762</v>
      </c>
      <c r="K3">
        <v>189.27259826660199</v>
      </c>
      <c r="L3" s="86">
        <f>+(K4-K3)*1000</f>
        <v>15.594482421022349</v>
      </c>
      <c r="M3">
        <v>216.15843200683599</v>
      </c>
      <c r="N3" s="86">
        <f>+(M4-M3)*1000</f>
        <v>15.731811523011174</v>
      </c>
      <c r="O3">
        <v>1472.77722167969</v>
      </c>
      <c r="P3" s="40">
        <f t="shared" ref="P3:P66" si="0">+(O4-O3)*1000</f>
        <v>108.64257811999778</v>
      </c>
      <c r="Q3">
        <v>1124.92407226563</v>
      </c>
      <c r="R3" s="40">
        <f t="shared" ref="R3:R66" si="1">+(Q4-Q3)*1000</f>
        <v>0.85449217999666871</v>
      </c>
      <c r="S3">
        <v>2751.57104492188</v>
      </c>
      <c r="T3" s="40">
        <f t="shared" ref="T3:T66" si="2">+(S4-S3)*1000</f>
        <v>104.00390625</v>
      </c>
      <c r="U3">
        <v>33.549488067627003</v>
      </c>
      <c r="V3" s="33">
        <f>+(U4-U3)*1000</f>
        <v>3.112792968700262</v>
      </c>
      <c r="W3">
        <v>225.08555603027301</v>
      </c>
      <c r="X3" s="90">
        <f>+(W4-W3)*1000</f>
        <v>14.221191406988964</v>
      </c>
      <c r="Z3" s="33">
        <f>+D3+F3</f>
        <v>5.5389404296022349</v>
      </c>
    </row>
    <row r="4" spans="1:32" x14ac:dyDescent="0.25">
      <c r="A4" s="8">
        <v>42430.041666666664</v>
      </c>
      <c r="B4" s="40">
        <f t="shared" ref="B4:B67" si="3">+HOUR(A4)</f>
        <v>1</v>
      </c>
      <c r="C4" s="87">
        <v>55.365989685058601</v>
      </c>
      <c r="D4" s="85">
        <f t="shared" ref="D4:D67" si="4">+(C5-C4)*1000</f>
        <v>0</v>
      </c>
      <c r="E4">
        <v>81.255210876464801</v>
      </c>
      <c r="F4" s="85">
        <f t="shared" ref="F4:F67" si="5">+(E5-E4)*1000</f>
        <v>5.5313110351988826</v>
      </c>
      <c r="G4">
        <v>165.30072021484401</v>
      </c>
      <c r="H4" s="86">
        <f t="shared" ref="H4:H67" si="6">+(G5-G4)*1000</f>
        <v>13.916015625</v>
      </c>
      <c r="I4">
        <v>125.333061218262</v>
      </c>
      <c r="J4" s="86">
        <f t="shared" ref="J4:J67" si="7">+(I5-I4)*1000</f>
        <v>12.054443358991307</v>
      </c>
      <c r="K4">
        <v>189.28819274902301</v>
      </c>
      <c r="L4" s="86">
        <f t="shared" ref="L4:L67" si="8">+(K5-K4)*1000</f>
        <v>15.396118165000416</v>
      </c>
      <c r="M4">
        <v>216.17416381835901</v>
      </c>
      <c r="N4" s="86">
        <f t="shared" ref="N4:N67" si="9">+(M5-M4)*1000</f>
        <v>15.533447265994482</v>
      </c>
      <c r="O4">
        <v>1472.88586425781</v>
      </c>
      <c r="P4" s="40">
        <f t="shared" si="0"/>
        <v>109.61914063000222</v>
      </c>
      <c r="Q4">
        <v>1124.92492675781</v>
      </c>
      <c r="R4" s="40">
        <f t="shared" si="1"/>
        <v>0.73242188000222086</v>
      </c>
      <c r="S4">
        <v>2751.67504882813</v>
      </c>
      <c r="T4" s="40">
        <f t="shared" si="2"/>
        <v>102.05078125</v>
      </c>
      <c r="U4">
        <v>33.552600860595703</v>
      </c>
      <c r="V4" s="33">
        <f t="shared" ref="V4:V67" si="10">+(U5-U4)*1000</f>
        <v>3.1700134276988479</v>
      </c>
      <c r="W4">
        <v>225.09977722168</v>
      </c>
      <c r="X4" s="90">
        <f t="shared" ref="X4:X67" si="11">+(W5-W4)*1000</f>
        <v>14.221191405994205</v>
      </c>
    </row>
    <row r="5" spans="1:32" x14ac:dyDescent="0.25">
      <c r="A5" s="8">
        <v>42430.083333333336</v>
      </c>
      <c r="B5" s="40">
        <f t="shared" si="3"/>
        <v>2</v>
      </c>
      <c r="C5" s="87">
        <v>55.365989685058601</v>
      </c>
      <c r="D5" s="85">
        <f t="shared" si="4"/>
        <v>0</v>
      </c>
      <c r="E5">
        <v>81.2607421875</v>
      </c>
      <c r="F5" s="85">
        <f t="shared" si="5"/>
        <v>3.5018920898011174</v>
      </c>
      <c r="G5">
        <v>165.31463623046901</v>
      </c>
      <c r="H5" s="86">
        <f t="shared" si="6"/>
        <v>13.610839844005795</v>
      </c>
      <c r="I5">
        <v>125.34511566162099</v>
      </c>
      <c r="J5" s="86">
        <f t="shared" si="7"/>
        <v>12.229919434005865</v>
      </c>
      <c r="K5">
        <v>189.30358886718801</v>
      </c>
      <c r="L5" s="86">
        <f t="shared" si="8"/>
        <v>15.686035155994205</v>
      </c>
      <c r="M5">
        <v>216.189697265625</v>
      </c>
      <c r="N5" s="86">
        <f t="shared" si="9"/>
        <v>15.640258789005657</v>
      </c>
      <c r="O5">
        <v>1472.99548339844</v>
      </c>
      <c r="P5" s="40">
        <f t="shared" si="0"/>
        <v>110.22949219000111</v>
      </c>
      <c r="Q5">
        <v>1124.92565917969</v>
      </c>
      <c r="R5" s="40">
        <f t="shared" si="1"/>
        <v>0.85449219000111043</v>
      </c>
      <c r="S5">
        <v>2751.77709960938</v>
      </c>
      <c r="T5" s="40">
        <f t="shared" si="2"/>
        <v>63.232421869997779</v>
      </c>
      <c r="U5">
        <v>33.555770874023402</v>
      </c>
      <c r="V5" s="33">
        <f t="shared" si="10"/>
        <v>3.1890869140980271</v>
      </c>
      <c r="W5">
        <v>225.11399841308599</v>
      </c>
      <c r="X5" s="90">
        <f t="shared" si="11"/>
        <v>14.022827148011174</v>
      </c>
    </row>
    <row r="6" spans="1:32" x14ac:dyDescent="0.25">
      <c r="A6" s="8">
        <v>42430.125</v>
      </c>
      <c r="B6" s="40">
        <f t="shared" si="3"/>
        <v>3</v>
      </c>
      <c r="C6" s="87">
        <v>55.365989685058601</v>
      </c>
      <c r="D6" s="85">
        <f t="shared" si="4"/>
        <v>0</v>
      </c>
      <c r="E6">
        <v>81.264244079589801</v>
      </c>
      <c r="F6" s="85">
        <f t="shared" si="5"/>
        <v>0</v>
      </c>
      <c r="G6">
        <v>165.32824707031301</v>
      </c>
      <c r="H6" s="86">
        <f t="shared" si="6"/>
        <v>13.839721678976957</v>
      </c>
      <c r="I6">
        <v>125.357345581055</v>
      </c>
      <c r="J6" s="86">
        <f t="shared" si="7"/>
        <v>12.245178222002551</v>
      </c>
      <c r="K6">
        <v>189.31927490234401</v>
      </c>
      <c r="L6" s="86">
        <f t="shared" si="8"/>
        <v>15.594482421988687</v>
      </c>
      <c r="M6">
        <v>216.20533752441401</v>
      </c>
      <c r="N6" s="86">
        <f t="shared" si="9"/>
        <v>15.640258789005657</v>
      </c>
      <c r="O6">
        <v>1473.10571289063</v>
      </c>
      <c r="P6" s="40">
        <f t="shared" si="0"/>
        <v>108.64257811999778</v>
      </c>
      <c r="Q6">
        <v>1124.92651367188</v>
      </c>
      <c r="R6" s="40">
        <f t="shared" si="1"/>
        <v>0.73242186999777914</v>
      </c>
      <c r="S6">
        <v>2751.84033203125</v>
      </c>
      <c r="T6" s="40">
        <f t="shared" si="2"/>
        <v>0.73242188000222086</v>
      </c>
      <c r="U6">
        <v>33.5589599609375</v>
      </c>
      <c r="V6" s="33">
        <f t="shared" si="10"/>
        <v>3.0975341797017109</v>
      </c>
      <c r="W6">
        <v>225.12802124023401</v>
      </c>
      <c r="X6" s="90">
        <f t="shared" si="11"/>
        <v>14.266967774005934</v>
      </c>
    </row>
    <row r="7" spans="1:32" x14ac:dyDescent="0.25">
      <c r="A7" s="8">
        <v>42430.166666666664</v>
      </c>
      <c r="B7" s="40">
        <f t="shared" si="3"/>
        <v>4</v>
      </c>
      <c r="C7" s="87">
        <v>55.365989685058601</v>
      </c>
      <c r="D7" s="85">
        <f t="shared" si="4"/>
        <v>0</v>
      </c>
      <c r="E7">
        <v>81.264244079589801</v>
      </c>
      <c r="F7" s="85">
        <f t="shared" si="5"/>
        <v>0</v>
      </c>
      <c r="G7">
        <v>165.34208679199199</v>
      </c>
      <c r="H7" s="86">
        <f t="shared" si="6"/>
        <v>14.022827149005934</v>
      </c>
      <c r="I7">
        <v>125.369590759277</v>
      </c>
      <c r="J7" s="86">
        <f t="shared" si="7"/>
        <v>12.260437012002967</v>
      </c>
      <c r="K7">
        <v>189.33486938476599</v>
      </c>
      <c r="L7" s="86">
        <f t="shared" si="8"/>
        <v>15.609741210994343</v>
      </c>
      <c r="M7">
        <v>216.22097778320301</v>
      </c>
      <c r="N7" s="86">
        <f t="shared" si="9"/>
        <v>15.609741210994343</v>
      </c>
      <c r="O7">
        <v>1473.21435546875</v>
      </c>
      <c r="P7" s="40">
        <f t="shared" si="0"/>
        <v>108.88671875</v>
      </c>
      <c r="Q7">
        <v>1124.92724609375</v>
      </c>
      <c r="R7" s="40">
        <f t="shared" si="1"/>
        <v>0.73242188000222086</v>
      </c>
      <c r="S7">
        <v>2751.84106445313</v>
      </c>
      <c r="T7" s="40">
        <f t="shared" si="2"/>
        <v>0.9765625</v>
      </c>
      <c r="U7">
        <v>33.562057495117202</v>
      </c>
      <c r="V7" s="33">
        <f t="shared" si="10"/>
        <v>2.9296875</v>
      </c>
      <c r="W7">
        <v>225.14228820800801</v>
      </c>
      <c r="X7" s="90">
        <f t="shared" si="11"/>
        <v>14.190673827982891</v>
      </c>
    </row>
    <row r="8" spans="1:32" x14ac:dyDescent="0.25">
      <c r="A8" s="8">
        <v>42430.208333333336</v>
      </c>
      <c r="B8" s="40">
        <f t="shared" si="3"/>
        <v>5</v>
      </c>
      <c r="C8" s="87">
        <v>55.365989685058601</v>
      </c>
      <c r="D8" s="85">
        <f t="shared" si="4"/>
        <v>0</v>
      </c>
      <c r="E8">
        <v>81.264244079589801</v>
      </c>
      <c r="F8" s="85">
        <f t="shared" si="5"/>
        <v>4.5471191406960543</v>
      </c>
      <c r="G8">
        <v>165.35610961914099</v>
      </c>
      <c r="H8" s="86">
        <f t="shared" si="6"/>
        <v>13.702392578011313</v>
      </c>
      <c r="I8">
        <v>125.38185119628901</v>
      </c>
      <c r="J8" s="86">
        <f t="shared" si="7"/>
        <v>12.138366698991376</v>
      </c>
      <c r="K8">
        <v>189.35047912597699</v>
      </c>
      <c r="L8" s="86">
        <f t="shared" si="8"/>
        <v>15.579223632016692</v>
      </c>
      <c r="M8">
        <v>216.23658752441401</v>
      </c>
      <c r="N8" s="86">
        <f t="shared" si="9"/>
        <v>15.365600585994343</v>
      </c>
      <c r="O8">
        <v>1473.3232421875</v>
      </c>
      <c r="P8" s="40">
        <f t="shared" si="0"/>
        <v>106.32324219000111</v>
      </c>
      <c r="Q8">
        <v>1124.92797851563</v>
      </c>
      <c r="R8" s="40">
        <f t="shared" si="1"/>
        <v>0.73242186999777914</v>
      </c>
      <c r="S8">
        <v>2751.84204101563</v>
      </c>
      <c r="T8" s="40">
        <f t="shared" si="2"/>
        <v>85.9375</v>
      </c>
      <c r="U8">
        <v>33.564987182617202</v>
      </c>
      <c r="V8" s="33">
        <f t="shared" si="10"/>
        <v>2.9754638672017109</v>
      </c>
      <c r="W8">
        <v>225.15647888183599</v>
      </c>
      <c r="X8" s="90">
        <f t="shared" si="11"/>
        <v>14.236450194999861</v>
      </c>
    </row>
    <row r="9" spans="1:32" x14ac:dyDescent="0.25">
      <c r="A9" s="8">
        <v>42430.25</v>
      </c>
      <c r="B9" s="40">
        <f t="shared" si="3"/>
        <v>6</v>
      </c>
      <c r="C9" s="87">
        <v>55.365989685058601</v>
      </c>
      <c r="D9" s="85">
        <f t="shared" si="4"/>
        <v>0</v>
      </c>
      <c r="E9">
        <v>81.268791198730497</v>
      </c>
      <c r="F9" s="85">
        <f t="shared" si="5"/>
        <v>4.8980712890056566</v>
      </c>
      <c r="G9">
        <v>165.36981201171901</v>
      </c>
      <c r="H9" s="86">
        <f t="shared" si="6"/>
        <v>13.778686522982753</v>
      </c>
      <c r="I9">
        <v>125.393989562988</v>
      </c>
      <c r="J9" s="86">
        <f t="shared" si="7"/>
        <v>12.161254882997241</v>
      </c>
      <c r="K9">
        <v>189.36605834960901</v>
      </c>
      <c r="L9" s="86">
        <f t="shared" si="8"/>
        <v>15.350341796988687</v>
      </c>
      <c r="M9">
        <v>216.251953125</v>
      </c>
      <c r="N9" s="86">
        <f t="shared" si="9"/>
        <v>15.625</v>
      </c>
      <c r="O9">
        <v>1473.42956542969</v>
      </c>
      <c r="P9" s="40">
        <f t="shared" si="0"/>
        <v>109.25292969000111</v>
      </c>
      <c r="Q9">
        <v>1124.9287109375</v>
      </c>
      <c r="R9" s="40">
        <f t="shared" si="1"/>
        <v>0.85449219000111043</v>
      </c>
      <c r="S9">
        <v>2751.92797851563</v>
      </c>
      <c r="T9" s="40">
        <f t="shared" si="2"/>
        <v>92.7734375</v>
      </c>
      <c r="U9">
        <v>33.567962646484403</v>
      </c>
      <c r="V9" s="33">
        <f t="shared" si="10"/>
        <v>3.1089782714985859</v>
      </c>
      <c r="W9">
        <v>225.17071533203099</v>
      </c>
      <c r="X9" s="90">
        <f t="shared" si="11"/>
        <v>14.20593261701697</v>
      </c>
    </row>
    <row r="10" spans="1:32" x14ac:dyDescent="0.25">
      <c r="A10" s="8">
        <v>42430.291666666664</v>
      </c>
      <c r="B10" s="40">
        <f t="shared" si="3"/>
        <v>7</v>
      </c>
      <c r="C10" s="87">
        <v>55.365989685058601</v>
      </c>
      <c r="D10" s="85">
        <f t="shared" si="4"/>
        <v>0</v>
      </c>
      <c r="E10">
        <v>81.273689270019503</v>
      </c>
      <c r="F10" s="85">
        <f t="shared" si="5"/>
        <v>4.0588378906960543</v>
      </c>
      <c r="G10">
        <v>165.38359069824199</v>
      </c>
      <c r="H10" s="86">
        <f t="shared" si="6"/>
        <v>13.610839844005795</v>
      </c>
      <c r="I10">
        <v>125.40615081787099</v>
      </c>
      <c r="J10" s="86">
        <f t="shared" si="7"/>
        <v>12.123107909999931</v>
      </c>
      <c r="K10">
        <v>189.38140869140599</v>
      </c>
      <c r="L10" s="86">
        <f t="shared" si="8"/>
        <v>15.609741210994343</v>
      </c>
      <c r="M10">
        <v>216.267578125</v>
      </c>
      <c r="N10" s="86">
        <f t="shared" si="9"/>
        <v>15.502929688011591</v>
      </c>
      <c r="O10">
        <v>1473.53881835938</v>
      </c>
      <c r="P10" s="40">
        <f t="shared" si="0"/>
        <v>109.98535155999889</v>
      </c>
      <c r="Q10">
        <v>1124.92956542969</v>
      </c>
      <c r="R10" s="40">
        <f t="shared" si="1"/>
        <v>0.85449219000111043</v>
      </c>
      <c r="S10">
        <v>2752.02075195313</v>
      </c>
      <c r="T10" s="40">
        <f t="shared" si="2"/>
        <v>75.1953125</v>
      </c>
      <c r="U10">
        <v>33.571071624755902</v>
      </c>
      <c r="V10" s="33">
        <f t="shared" si="10"/>
        <v>3.2501220702982891</v>
      </c>
      <c r="W10">
        <v>225.18492126464801</v>
      </c>
      <c r="X10" s="90">
        <f t="shared" si="11"/>
        <v>14.007568360000278</v>
      </c>
    </row>
    <row r="11" spans="1:32" x14ac:dyDescent="0.25">
      <c r="A11" s="8">
        <v>42430.333333333336</v>
      </c>
      <c r="B11" s="40">
        <f t="shared" si="3"/>
        <v>8</v>
      </c>
      <c r="C11" s="87">
        <v>55.365989685058601</v>
      </c>
      <c r="D11" s="85">
        <f t="shared" si="4"/>
        <v>0</v>
      </c>
      <c r="E11">
        <v>81.277748107910199</v>
      </c>
      <c r="F11" s="85">
        <f t="shared" si="5"/>
        <v>5.5236816405965783</v>
      </c>
      <c r="G11">
        <v>165.39720153808599</v>
      </c>
      <c r="H11" s="86">
        <f t="shared" si="6"/>
        <v>13.732910155994205</v>
      </c>
      <c r="I11">
        <v>125.41827392578099</v>
      </c>
      <c r="J11" s="86">
        <f t="shared" si="7"/>
        <v>12.145996094005795</v>
      </c>
      <c r="K11">
        <v>189.39701843261699</v>
      </c>
      <c r="L11" s="86">
        <f t="shared" si="8"/>
        <v>15.579223633011452</v>
      </c>
      <c r="M11">
        <v>216.28308105468801</v>
      </c>
      <c r="N11" s="86">
        <f t="shared" si="9"/>
        <v>15.609741209999584</v>
      </c>
      <c r="O11">
        <v>1473.64880371094</v>
      </c>
      <c r="P11" s="40">
        <f t="shared" si="0"/>
        <v>110.71777344000111</v>
      </c>
      <c r="Q11">
        <v>1124.93041992188</v>
      </c>
      <c r="R11" s="40">
        <f t="shared" si="1"/>
        <v>0.85449217999666871</v>
      </c>
      <c r="S11">
        <v>2752.09594726563</v>
      </c>
      <c r="T11" s="40">
        <f t="shared" si="2"/>
        <v>111.81640625</v>
      </c>
      <c r="U11">
        <v>33.5743217468262</v>
      </c>
      <c r="V11" s="33">
        <f t="shared" si="10"/>
        <v>3.2997131347016762</v>
      </c>
      <c r="W11">
        <v>225.19892883300801</v>
      </c>
      <c r="X11" s="90">
        <f t="shared" si="11"/>
        <v>14.221191405994205</v>
      </c>
    </row>
    <row r="12" spans="1:32" x14ac:dyDescent="0.25">
      <c r="A12" s="8">
        <v>42430.375</v>
      </c>
      <c r="B12" s="40">
        <f t="shared" si="3"/>
        <v>9</v>
      </c>
      <c r="C12" s="87">
        <v>55.365989685058601</v>
      </c>
      <c r="D12" s="85">
        <f t="shared" si="4"/>
        <v>1.7471313476988826</v>
      </c>
      <c r="E12">
        <v>81.283271789550795</v>
      </c>
      <c r="F12" s="85">
        <f t="shared" si="5"/>
        <v>4.37164306640625</v>
      </c>
      <c r="G12">
        <v>165.41093444824199</v>
      </c>
      <c r="H12" s="86">
        <f t="shared" si="6"/>
        <v>13.977050781022626</v>
      </c>
      <c r="I12">
        <v>125.430419921875</v>
      </c>
      <c r="J12" s="86">
        <f t="shared" si="7"/>
        <v>11.940002440994135</v>
      </c>
      <c r="K12">
        <v>189.41259765625</v>
      </c>
      <c r="L12" s="86">
        <f t="shared" si="8"/>
        <v>15.625</v>
      </c>
      <c r="M12">
        <v>216.29869079589801</v>
      </c>
      <c r="N12" s="86">
        <f t="shared" si="9"/>
        <v>15.594482421988687</v>
      </c>
      <c r="O12">
        <v>1473.75952148438</v>
      </c>
      <c r="P12" s="40">
        <f t="shared" si="0"/>
        <v>109.74121092999667</v>
      </c>
      <c r="Q12">
        <v>1124.93127441406</v>
      </c>
      <c r="R12" s="40">
        <f t="shared" si="1"/>
        <v>0.36621094000111043</v>
      </c>
      <c r="S12">
        <v>2752.20776367188</v>
      </c>
      <c r="T12" s="40">
        <f t="shared" si="2"/>
        <v>44.677734369997779</v>
      </c>
      <c r="U12">
        <v>33.577621459960902</v>
      </c>
      <c r="V12" s="33">
        <f t="shared" si="10"/>
        <v>3.3607482911008901</v>
      </c>
      <c r="W12">
        <v>225.21315002441401</v>
      </c>
      <c r="X12" s="90">
        <f t="shared" si="11"/>
        <v>14.251708984005518</v>
      </c>
    </row>
    <row r="13" spans="1:32" x14ac:dyDescent="0.25">
      <c r="A13" s="8">
        <v>42430.416666666664</v>
      </c>
      <c r="B13" s="40">
        <f t="shared" si="3"/>
        <v>10</v>
      </c>
      <c r="C13" s="87">
        <v>55.3677368164063</v>
      </c>
      <c r="D13" s="85">
        <f t="shared" si="4"/>
        <v>0</v>
      </c>
      <c r="E13">
        <v>81.287643432617202</v>
      </c>
      <c r="F13" s="85">
        <f t="shared" si="5"/>
        <v>0</v>
      </c>
      <c r="G13">
        <v>165.42491149902301</v>
      </c>
      <c r="H13" s="86">
        <f t="shared" si="6"/>
        <v>13.641357421988687</v>
      </c>
      <c r="I13">
        <v>125.44235992431599</v>
      </c>
      <c r="J13" s="86">
        <f t="shared" si="7"/>
        <v>12.237548829006073</v>
      </c>
      <c r="K13">
        <v>189.42822265625</v>
      </c>
      <c r="L13" s="86">
        <f t="shared" si="8"/>
        <v>15.579223633011452</v>
      </c>
      <c r="M13">
        <v>216.31428527832</v>
      </c>
      <c r="N13" s="86">
        <f t="shared" si="9"/>
        <v>15.563964844005795</v>
      </c>
      <c r="O13">
        <v>1473.86926269531</v>
      </c>
      <c r="P13" s="40">
        <f t="shared" si="0"/>
        <v>109.49707032000333</v>
      </c>
      <c r="Q13">
        <v>1124.931640625</v>
      </c>
      <c r="R13" s="40">
        <f t="shared" si="1"/>
        <v>0</v>
      </c>
      <c r="S13">
        <v>2752.25244140625</v>
      </c>
      <c r="T13" s="40">
        <f t="shared" si="2"/>
        <v>0.9765625</v>
      </c>
      <c r="U13">
        <v>33.580982208252003</v>
      </c>
      <c r="V13" s="33">
        <f t="shared" si="10"/>
        <v>3.196716308494274</v>
      </c>
      <c r="W13">
        <v>225.22740173339801</v>
      </c>
      <c r="X13" s="90">
        <f t="shared" si="11"/>
        <v>14.312744140994482</v>
      </c>
      <c r="AB13" s="50" t="s">
        <v>109</v>
      </c>
      <c r="AD13" t="s">
        <v>117</v>
      </c>
      <c r="AF13" s="50" t="s">
        <v>110</v>
      </c>
    </row>
    <row r="14" spans="1:32" x14ac:dyDescent="0.25">
      <c r="A14" s="8">
        <v>42430.458333333336</v>
      </c>
      <c r="B14" s="40">
        <f t="shared" si="3"/>
        <v>11</v>
      </c>
      <c r="C14" s="87">
        <v>55.3677368164063</v>
      </c>
      <c r="D14" s="85">
        <f t="shared" si="4"/>
        <v>4.5318603514985512</v>
      </c>
      <c r="E14">
        <v>81.287643432617202</v>
      </c>
      <c r="F14" s="85">
        <f t="shared" si="5"/>
        <v>0</v>
      </c>
      <c r="G14">
        <v>165.438552856445</v>
      </c>
      <c r="H14" s="86">
        <f t="shared" si="6"/>
        <v>13.793945313011591</v>
      </c>
      <c r="I14">
        <v>125.454597473145</v>
      </c>
      <c r="J14" s="86">
        <f t="shared" si="7"/>
        <v>12.184143065994135</v>
      </c>
      <c r="K14">
        <v>189.44380187988301</v>
      </c>
      <c r="L14" s="86">
        <f t="shared" si="8"/>
        <v>15.625</v>
      </c>
      <c r="M14">
        <v>216.32984924316401</v>
      </c>
      <c r="N14" s="86">
        <f t="shared" si="9"/>
        <v>15.640258789005657</v>
      </c>
      <c r="O14">
        <v>1473.97875976563</v>
      </c>
      <c r="P14" s="40">
        <f t="shared" si="0"/>
        <v>109.25292967999667</v>
      </c>
      <c r="Q14">
        <v>1124.931640625</v>
      </c>
      <c r="R14" s="40">
        <f t="shared" si="1"/>
        <v>90.20996094000111</v>
      </c>
      <c r="S14">
        <v>2752.25341796875</v>
      </c>
      <c r="T14" s="40">
        <f t="shared" si="2"/>
        <v>0.48828125</v>
      </c>
      <c r="U14">
        <v>33.584178924560497</v>
      </c>
      <c r="V14" s="33">
        <f t="shared" si="10"/>
        <v>3.1929016114062847</v>
      </c>
      <c r="W14">
        <v>225.24171447753901</v>
      </c>
      <c r="X14" s="90">
        <f t="shared" si="11"/>
        <v>14.328002930000139</v>
      </c>
      <c r="AA14">
        <v>0</v>
      </c>
      <c r="AB14" s="33">
        <f>+AVERAGEIF($B$3:$B$506,AA14,$L$3:$L$506)+AVERAGEIF($B$3:$B$506,AA14,$N$3:$N$506)+AVERAGEIF($B$3:$B$506,AA14,$H$3:$H$506)+AVERAGEIF($B$3:$B$506,AA14,$J$3:$J$506)+AVERAGEIF($B$3:$B$506,AA14,$X$3:$X$506)</f>
        <v>67.629132952337812</v>
      </c>
      <c r="AD14" s="33">
        <f>+AB14+AVERAGEIF($B$3:$B$506,AA14,$J$3:$J$506)+AVERAGEIF($B$3:$B$506,AA14,$L$3:$L$506)</f>
        <v>93.0437360494834</v>
      </c>
      <c r="AF14" s="33">
        <f ca="1">+AVERAGEIF($B$3:$B$507,AA14,$D$3:$D$506)+AVERAGEIF($B$3:$B$507,AA14,$F$3:$F$506)</f>
        <v>3.5714649018780436</v>
      </c>
    </row>
    <row r="15" spans="1:32" x14ac:dyDescent="0.25">
      <c r="A15" s="8">
        <v>42430.5</v>
      </c>
      <c r="B15" s="40">
        <f t="shared" si="3"/>
        <v>12</v>
      </c>
      <c r="C15" s="87">
        <v>55.372268676757798</v>
      </c>
      <c r="D15" s="85">
        <f t="shared" si="4"/>
        <v>5.3215026856037184</v>
      </c>
      <c r="E15">
        <v>81.287643432617202</v>
      </c>
      <c r="F15" s="85">
        <f t="shared" si="5"/>
        <v>0</v>
      </c>
      <c r="G15">
        <v>165.45234680175801</v>
      </c>
      <c r="H15" s="86">
        <f t="shared" si="6"/>
        <v>13.961791991988548</v>
      </c>
      <c r="I15">
        <v>125.46678161621099</v>
      </c>
      <c r="J15" s="86">
        <f t="shared" si="7"/>
        <v>12.153625488011244</v>
      </c>
      <c r="K15">
        <v>189.45942687988301</v>
      </c>
      <c r="L15" s="86">
        <f t="shared" si="8"/>
        <v>15.640258788977235</v>
      </c>
      <c r="M15">
        <v>216.34548950195301</v>
      </c>
      <c r="N15" s="86">
        <f t="shared" si="9"/>
        <v>15.57922363298303</v>
      </c>
      <c r="O15">
        <v>1474.08801269531</v>
      </c>
      <c r="P15" s="40">
        <f t="shared" si="0"/>
        <v>110.71777344000111</v>
      </c>
      <c r="Q15">
        <v>1125.02185058594</v>
      </c>
      <c r="R15" s="40">
        <f t="shared" si="1"/>
        <v>123.77929686999778</v>
      </c>
      <c r="S15">
        <v>2752.25390625</v>
      </c>
      <c r="T15" s="40">
        <f t="shared" si="2"/>
        <v>0.73242188000222086</v>
      </c>
      <c r="U15">
        <v>33.587371826171903</v>
      </c>
      <c r="V15" s="33">
        <f t="shared" si="10"/>
        <v>3.3264160155965783</v>
      </c>
      <c r="W15">
        <v>225.25604248046901</v>
      </c>
      <c r="X15" s="90">
        <f t="shared" si="11"/>
        <v>14.221191405994205</v>
      </c>
      <c r="AA15">
        <v>1</v>
      </c>
      <c r="AB15" s="33">
        <f t="shared" ref="AB15:AB37" si="12">+AVERAGEIF($B$3:$B$506,AA15,$L$3:$L$506)+AVERAGEIF($B$3:$B$506,AA15,$N$3:$N$506)+AVERAGEIF($B$3:$B$506,AA15,$H$3:$H$506)+AVERAGEIF($B$3:$B$506,AA15,$J$3:$J$506)+AVERAGEIF($B$3:$B$506,AA15,$X$3:$X$506)</f>
        <v>66.837129138521277</v>
      </c>
      <c r="AD15" s="33">
        <f t="shared" ref="AD15:AD37" si="13">+AB15+AVERAGEIF($B$3:$B$506,AA15,$J$3:$J$506)+AVERAGEIF($B$3:$B$506,AA15,$L$3:$L$506)</f>
        <v>92.268444242614862</v>
      </c>
      <c r="AF15" s="33">
        <f t="shared" ref="AF15:AF37" ca="1" si="14">+AVERAGEIF($B$3:$B$507,AA15,$D$3:$D$506)+AVERAGEIF($B$3:$B$507,AA15,$F$3:$F$506)</f>
        <v>3.220331101191491</v>
      </c>
    </row>
    <row r="16" spans="1:32" x14ac:dyDescent="0.25">
      <c r="A16" s="8">
        <v>42430.541666666664</v>
      </c>
      <c r="B16" s="40">
        <f t="shared" si="3"/>
        <v>13</v>
      </c>
      <c r="C16" s="87">
        <v>55.377590179443402</v>
      </c>
      <c r="D16" s="85">
        <f t="shared" si="4"/>
        <v>5.321502685497137</v>
      </c>
      <c r="E16">
        <v>81.287643432617202</v>
      </c>
      <c r="F16" s="85">
        <f t="shared" si="5"/>
        <v>0</v>
      </c>
      <c r="G16">
        <v>165.46630859375</v>
      </c>
      <c r="H16" s="86">
        <f t="shared" si="6"/>
        <v>13.793945313011591</v>
      </c>
      <c r="I16">
        <v>125.47893524169901</v>
      </c>
      <c r="J16" s="86">
        <f t="shared" si="7"/>
        <v>12.138366698991376</v>
      </c>
      <c r="K16">
        <v>189.47506713867199</v>
      </c>
      <c r="L16" s="86">
        <f t="shared" si="8"/>
        <v>15.380859375</v>
      </c>
      <c r="M16">
        <v>216.36106872558599</v>
      </c>
      <c r="N16" s="86">
        <f t="shared" si="9"/>
        <v>15.472412109005518</v>
      </c>
      <c r="O16">
        <v>1474.19873046875</v>
      </c>
      <c r="P16" s="40">
        <f t="shared" si="0"/>
        <v>110.83984375</v>
      </c>
      <c r="Q16">
        <v>1125.14562988281</v>
      </c>
      <c r="R16" s="40">
        <f t="shared" si="1"/>
        <v>119.99511719000111</v>
      </c>
      <c r="S16">
        <v>2752.25463867188</v>
      </c>
      <c r="T16" s="40">
        <f t="shared" si="2"/>
        <v>0.73242186999777914</v>
      </c>
      <c r="U16">
        <v>33.5906982421875</v>
      </c>
      <c r="V16" s="33">
        <f t="shared" si="10"/>
        <v>3.3721923827982891</v>
      </c>
      <c r="W16">
        <v>225.270263671875</v>
      </c>
      <c r="X16" s="90">
        <f t="shared" si="11"/>
        <v>14.221191405994205</v>
      </c>
      <c r="AA16">
        <v>2</v>
      </c>
      <c r="AB16" s="33">
        <f t="shared" si="12"/>
        <v>64.779372442669242</v>
      </c>
      <c r="AD16" s="33">
        <f t="shared" si="13"/>
        <v>90.082804362481284</v>
      </c>
      <c r="AF16" s="33">
        <f t="shared" ca="1" si="14"/>
        <v>2.5236947195941593</v>
      </c>
    </row>
    <row r="17" spans="1:32" x14ac:dyDescent="0.25">
      <c r="A17" s="8">
        <v>42430.583333333336</v>
      </c>
      <c r="B17" s="40">
        <f t="shared" si="3"/>
        <v>14</v>
      </c>
      <c r="C17" s="87">
        <v>55.382911682128899</v>
      </c>
      <c r="D17" s="85">
        <f t="shared" si="4"/>
        <v>5.3253173827982891</v>
      </c>
      <c r="E17">
        <v>81.287643432617202</v>
      </c>
      <c r="F17" s="85">
        <f t="shared" si="5"/>
        <v>0</v>
      </c>
      <c r="G17">
        <v>165.48010253906301</v>
      </c>
      <c r="H17" s="86">
        <f t="shared" si="6"/>
        <v>13.854980467982614</v>
      </c>
      <c r="I17">
        <v>125.491073608398</v>
      </c>
      <c r="J17" s="86">
        <f t="shared" si="7"/>
        <v>12.115478516008693</v>
      </c>
      <c r="K17">
        <v>189.49044799804699</v>
      </c>
      <c r="L17" s="86">
        <f t="shared" si="8"/>
        <v>15.594482422017109</v>
      </c>
      <c r="M17">
        <v>216.376541137695</v>
      </c>
      <c r="N17" s="86">
        <f t="shared" si="9"/>
        <v>15.609741210994343</v>
      </c>
      <c r="O17">
        <v>1474.3095703125</v>
      </c>
      <c r="P17" s="40">
        <f t="shared" si="0"/>
        <v>110.83984375</v>
      </c>
      <c r="Q17">
        <v>1125.265625</v>
      </c>
      <c r="R17" s="40">
        <f t="shared" si="1"/>
        <v>115.234375</v>
      </c>
      <c r="S17">
        <v>2752.25537109375</v>
      </c>
      <c r="T17" s="40">
        <f t="shared" si="2"/>
        <v>0.9765625</v>
      </c>
      <c r="U17">
        <v>33.594070434570298</v>
      </c>
      <c r="V17" s="33">
        <f t="shared" si="10"/>
        <v>3.3912658692045738</v>
      </c>
      <c r="W17">
        <v>225.28448486328099</v>
      </c>
      <c r="X17" s="90">
        <f t="shared" si="11"/>
        <v>14.083862305000139</v>
      </c>
      <c r="AA17">
        <v>3</v>
      </c>
      <c r="AB17" s="33">
        <f t="shared" si="12"/>
        <v>63.790820893337198</v>
      </c>
      <c r="AD17" s="33">
        <f t="shared" si="13"/>
        <v>89.16146414552594</v>
      </c>
      <c r="AF17" s="33">
        <f t="shared" ca="1" si="14"/>
        <v>1.8920898437435711</v>
      </c>
    </row>
    <row r="18" spans="1:32" x14ac:dyDescent="0.25">
      <c r="A18" s="8">
        <v>42430.625</v>
      </c>
      <c r="B18" s="40">
        <f t="shared" si="3"/>
        <v>15</v>
      </c>
      <c r="C18" s="87">
        <v>55.388236999511697</v>
      </c>
      <c r="D18" s="85">
        <f t="shared" si="4"/>
        <v>5.2528381348011521</v>
      </c>
      <c r="E18">
        <v>81.287643432617202</v>
      </c>
      <c r="F18" s="85">
        <f t="shared" si="5"/>
        <v>0</v>
      </c>
      <c r="G18">
        <v>165.49395751953099</v>
      </c>
      <c r="H18" s="86">
        <f t="shared" si="6"/>
        <v>13.595581055000139</v>
      </c>
      <c r="I18">
        <v>125.50318908691401</v>
      </c>
      <c r="J18" s="86">
        <f t="shared" si="7"/>
        <v>12.123107909999931</v>
      </c>
      <c r="K18">
        <v>189.50604248046901</v>
      </c>
      <c r="L18" s="86">
        <f t="shared" si="8"/>
        <v>15.609741210994343</v>
      </c>
      <c r="M18">
        <v>216.39215087890599</v>
      </c>
      <c r="N18" s="86">
        <f t="shared" si="9"/>
        <v>15.502929688011591</v>
      </c>
      <c r="O18">
        <v>1474.42041015625</v>
      </c>
      <c r="P18" s="40">
        <f t="shared" si="0"/>
        <v>110.3515625</v>
      </c>
      <c r="Q18">
        <v>1125.380859375</v>
      </c>
      <c r="R18" s="40">
        <f t="shared" si="1"/>
        <v>116.45507813000222</v>
      </c>
      <c r="S18">
        <v>2752.25634765625</v>
      </c>
      <c r="T18" s="40">
        <f t="shared" si="2"/>
        <v>0.73242188000222086</v>
      </c>
      <c r="U18">
        <v>33.597461700439503</v>
      </c>
      <c r="V18" s="33">
        <f t="shared" si="10"/>
        <v>3.3378601074005587</v>
      </c>
      <c r="W18">
        <v>225.29856872558599</v>
      </c>
      <c r="X18" s="90">
        <f t="shared" si="11"/>
        <v>14.144897460994343</v>
      </c>
      <c r="AA18">
        <v>4</v>
      </c>
      <c r="AB18" s="33">
        <f t="shared" si="12"/>
        <v>63.000270298895579</v>
      </c>
      <c r="AD18" s="33">
        <f t="shared" si="13"/>
        <v>88.157290504606564</v>
      </c>
      <c r="AF18" s="33">
        <f t="shared" ca="1" si="14"/>
        <v>2.1131606329099046</v>
      </c>
    </row>
    <row r="19" spans="1:32" x14ac:dyDescent="0.25">
      <c r="A19" s="8">
        <v>42430.666666666664</v>
      </c>
      <c r="B19" s="40">
        <f t="shared" si="3"/>
        <v>16</v>
      </c>
      <c r="C19" s="87">
        <v>55.393489837646499</v>
      </c>
      <c r="D19" s="85">
        <f t="shared" si="4"/>
        <v>0</v>
      </c>
      <c r="E19">
        <v>81.287643432617202</v>
      </c>
      <c r="F19" s="85">
        <f t="shared" si="5"/>
        <v>0</v>
      </c>
      <c r="G19">
        <v>165.50755310058599</v>
      </c>
      <c r="H19" s="86">
        <f t="shared" si="6"/>
        <v>14.038085937016831</v>
      </c>
      <c r="I19">
        <v>125.51531219482401</v>
      </c>
      <c r="J19" s="86">
        <f t="shared" si="7"/>
        <v>12.359619140994482</v>
      </c>
      <c r="K19">
        <v>189.52165222168</v>
      </c>
      <c r="L19" s="86">
        <f t="shared" si="8"/>
        <v>15.609741210994343</v>
      </c>
      <c r="M19">
        <v>216.40765380859401</v>
      </c>
      <c r="N19" s="86">
        <f t="shared" si="9"/>
        <v>15.502929686988409</v>
      </c>
      <c r="O19">
        <v>1474.53076171875</v>
      </c>
      <c r="P19" s="40">
        <f t="shared" si="0"/>
        <v>109.86328125</v>
      </c>
      <c r="Q19">
        <v>1125.49731445313</v>
      </c>
      <c r="R19" s="40">
        <f t="shared" si="1"/>
        <v>0.85449217999666871</v>
      </c>
      <c r="S19">
        <v>2752.25708007813</v>
      </c>
      <c r="T19" s="40">
        <f t="shared" si="2"/>
        <v>0.48828125</v>
      </c>
      <c r="U19">
        <v>33.600799560546903</v>
      </c>
      <c r="V19" s="33">
        <f t="shared" si="10"/>
        <v>3.2691955565979924</v>
      </c>
      <c r="W19">
        <v>225.31271362304699</v>
      </c>
      <c r="X19" s="90">
        <f t="shared" si="11"/>
        <v>14.221191406022626</v>
      </c>
      <c r="AA19">
        <v>5</v>
      </c>
      <c r="AB19" s="33">
        <f t="shared" si="12"/>
        <v>61.574300129961337</v>
      </c>
      <c r="AD19" s="33">
        <f t="shared" si="13"/>
        <v>86.351667131299877</v>
      </c>
      <c r="AF19" s="33">
        <f t="shared" ca="1" si="14"/>
        <v>2.6192438034659036</v>
      </c>
    </row>
    <row r="20" spans="1:32" x14ac:dyDescent="0.25">
      <c r="A20" s="8">
        <v>42430.708333333336</v>
      </c>
      <c r="B20" s="40">
        <f t="shared" si="3"/>
        <v>17</v>
      </c>
      <c r="C20" s="87">
        <v>55.393489837646499</v>
      </c>
      <c r="D20" s="85">
        <f t="shared" si="4"/>
        <v>0</v>
      </c>
      <c r="E20">
        <v>81.287643432617202</v>
      </c>
      <c r="F20" s="85">
        <f t="shared" si="5"/>
        <v>0</v>
      </c>
      <c r="G20">
        <v>165.52159118652301</v>
      </c>
      <c r="H20" s="86">
        <f t="shared" si="6"/>
        <v>13.778686523977512</v>
      </c>
      <c r="I20">
        <v>125.527671813965</v>
      </c>
      <c r="J20" s="86">
        <f t="shared" si="7"/>
        <v>12.039184569999861</v>
      </c>
      <c r="K20">
        <v>189.53726196289099</v>
      </c>
      <c r="L20" s="86">
        <f t="shared" si="8"/>
        <v>15.609741210994343</v>
      </c>
      <c r="M20">
        <v>216.42315673828099</v>
      </c>
      <c r="N20" s="86">
        <f t="shared" si="9"/>
        <v>15.762329102017247</v>
      </c>
      <c r="O20">
        <v>1474.640625</v>
      </c>
      <c r="P20" s="40">
        <f t="shared" si="0"/>
        <v>110.10742188000222</v>
      </c>
      <c r="Q20">
        <v>1125.49816894531</v>
      </c>
      <c r="R20" s="40">
        <f t="shared" si="1"/>
        <v>0.73242188000222086</v>
      </c>
      <c r="S20">
        <v>2752.25756835938</v>
      </c>
      <c r="T20" s="40">
        <f t="shared" si="2"/>
        <v>0.9765625</v>
      </c>
      <c r="U20">
        <v>33.604068756103501</v>
      </c>
      <c r="V20" s="33">
        <f t="shared" si="10"/>
        <v>3.3416748047017109</v>
      </c>
      <c r="W20">
        <v>225.32693481445301</v>
      </c>
      <c r="X20" s="90">
        <f t="shared" si="11"/>
        <v>14.266967773977512</v>
      </c>
      <c r="AA20">
        <v>6</v>
      </c>
      <c r="AB20" s="33">
        <f t="shared" si="12"/>
        <v>62.589958263661423</v>
      </c>
      <c r="AD20" s="33">
        <f t="shared" si="13"/>
        <v>88.108829752801768</v>
      </c>
      <c r="AF20" s="33">
        <f t="shared" ca="1" si="14"/>
        <v>3.7881760370238129</v>
      </c>
    </row>
    <row r="21" spans="1:32" x14ac:dyDescent="0.25">
      <c r="A21" s="8">
        <v>42430.75</v>
      </c>
      <c r="B21" s="40">
        <f t="shared" si="3"/>
        <v>18</v>
      </c>
      <c r="C21" s="87">
        <v>55.393489837646499</v>
      </c>
      <c r="D21" s="85">
        <f t="shared" si="4"/>
        <v>3.6125183105042424</v>
      </c>
      <c r="E21">
        <v>81.287643432617202</v>
      </c>
      <c r="F21" s="85">
        <f t="shared" si="5"/>
        <v>0.91552734369315658</v>
      </c>
      <c r="G21">
        <v>165.53536987304699</v>
      </c>
      <c r="H21" s="86">
        <f t="shared" si="6"/>
        <v>13.839721680000139</v>
      </c>
      <c r="I21">
        <v>125.539710998535</v>
      </c>
      <c r="J21" s="86">
        <f t="shared" si="7"/>
        <v>12.290954590000069</v>
      </c>
      <c r="K21">
        <v>189.55287170410199</v>
      </c>
      <c r="L21" s="86">
        <f t="shared" si="8"/>
        <v>15.579223632016692</v>
      </c>
      <c r="M21">
        <v>216.43891906738301</v>
      </c>
      <c r="N21" s="86">
        <f t="shared" si="9"/>
        <v>15.487670897982753</v>
      </c>
      <c r="O21">
        <v>1474.75073242188</v>
      </c>
      <c r="P21" s="40">
        <f t="shared" si="0"/>
        <v>109.74121092999667</v>
      </c>
      <c r="Q21">
        <v>1125.49890136719</v>
      </c>
      <c r="R21" s="40">
        <f t="shared" si="1"/>
        <v>29.66308594000111</v>
      </c>
      <c r="S21">
        <v>2752.25854492188</v>
      </c>
      <c r="T21" s="40">
        <f t="shared" si="2"/>
        <v>0.73242186999777914</v>
      </c>
      <c r="U21">
        <v>33.607410430908203</v>
      </c>
      <c r="V21" s="33">
        <f t="shared" si="10"/>
        <v>3.1471252440979924</v>
      </c>
      <c r="W21">
        <v>225.34120178222699</v>
      </c>
      <c r="X21" s="90">
        <f t="shared" si="11"/>
        <v>14.312744139999722</v>
      </c>
      <c r="AA21">
        <v>7</v>
      </c>
      <c r="AB21" s="33">
        <f t="shared" si="12"/>
        <v>63.236198497819203</v>
      </c>
      <c r="AD21" s="33">
        <f t="shared" si="13"/>
        <v>88.833543759109759</v>
      </c>
      <c r="AF21" s="33">
        <f t="shared" ca="1" si="14"/>
        <v>3.1384059361086325</v>
      </c>
    </row>
    <row r="22" spans="1:32" x14ac:dyDescent="0.25">
      <c r="A22" s="8">
        <v>42430.791666666664</v>
      </c>
      <c r="B22" s="40">
        <f t="shared" si="3"/>
        <v>19</v>
      </c>
      <c r="C22" s="87">
        <v>55.397102355957003</v>
      </c>
      <c r="D22" s="85">
        <f t="shared" si="4"/>
        <v>5.2871704101988826</v>
      </c>
      <c r="E22">
        <v>81.288558959960895</v>
      </c>
      <c r="F22" s="85">
        <f t="shared" si="5"/>
        <v>5.0582885743040151</v>
      </c>
      <c r="G22">
        <v>165.54920959472699</v>
      </c>
      <c r="H22" s="86">
        <f t="shared" si="6"/>
        <v>13.656616211022765</v>
      </c>
      <c r="I22">
        <v>125.552001953125</v>
      </c>
      <c r="J22" s="86">
        <f t="shared" si="7"/>
        <v>12.031555175994413</v>
      </c>
      <c r="K22">
        <v>189.56845092773401</v>
      </c>
      <c r="L22" s="86">
        <f t="shared" si="8"/>
        <v>15.625</v>
      </c>
      <c r="M22">
        <v>216.45440673828099</v>
      </c>
      <c r="N22" s="86">
        <f t="shared" si="9"/>
        <v>15.548706055000139</v>
      </c>
      <c r="O22">
        <v>1474.86047363281</v>
      </c>
      <c r="P22" s="40">
        <f t="shared" si="0"/>
        <v>109.00878907000333</v>
      </c>
      <c r="Q22">
        <v>1125.52856445313</v>
      </c>
      <c r="R22" s="40">
        <f t="shared" si="1"/>
        <v>125.9765625</v>
      </c>
      <c r="S22">
        <v>2752.25927734375</v>
      </c>
      <c r="T22" s="40">
        <f t="shared" si="2"/>
        <v>82.51953125</v>
      </c>
      <c r="U22">
        <v>33.610557556152301</v>
      </c>
      <c r="V22" s="33">
        <f t="shared" si="10"/>
        <v>3.1814575196023043</v>
      </c>
      <c r="W22">
        <v>225.35551452636699</v>
      </c>
      <c r="X22" s="90">
        <f t="shared" si="11"/>
        <v>14.251708985000278</v>
      </c>
      <c r="AA22">
        <v>8</v>
      </c>
      <c r="AB22" s="33">
        <f t="shared" si="12"/>
        <v>64.310100446519257</v>
      </c>
      <c r="AD22" s="33">
        <f t="shared" si="13"/>
        <v>89.843140811185151</v>
      </c>
      <c r="AF22" s="33">
        <f t="shared" ca="1" si="14"/>
        <v>1.8375941685234021</v>
      </c>
    </row>
    <row r="23" spans="1:32" x14ac:dyDescent="0.25">
      <c r="A23" s="8">
        <v>42430.833333333336</v>
      </c>
      <c r="B23" s="40">
        <f t="shared" si="3"/>
        <v>20</v>
      </c>
      <c r="C23" s="87">
        <v>55.402389526367202</v>
      </c>
      <c r="D23" s="85">
        <f t="shared" si="4"/>
        <v>5.2375793456960196</v>
      </c>
      <c r="E23">
        <v>81.293617248535199</v>
      </c>
      <c r="F23" s="85">
        <f t="shared" si="5"/>
        <v>4.85992431640625</v>
      </c>
      <c r="G23">
        <v>165.56286621093801</v>
      </c>
      <c r="H23" s="86">
        <f t="shared" si="6"/>
        <v>13.702392577982891</v>
      </c>
      <c r="I23">
        <v>125.56403350830099</v>
      </c>
      <c r="J23" s="86">
        <f t="shared" si="7"/>
        <v>11.856079101008277</v>
      </c>
      <c r="K23">
        <v>189.58407592773401</v>
      </c>
      <c r="L23" s="86">
        <f t="shared" si="8"/>
        <v>15.518188476988826</v>
      </c>
      <c r="M23">
        <v>216.46995544433599</v>
      </c>
      <c r="N23" s="86">
        <f t="shared" si="9"/>
        <v>15.625</v>
      </c>
      <c r="O23">
        <v>1474.96948242188</v>
      </c>
      <c r="P23" s="40">
        <f t="shared" si="0"/>
        <v>107.78808592999667</v>
      </c>
      <c r="Q23">
        <v>1125.65454101563</v>
      </c>
      <c r="R23" s="40">
        <f t="shared" si="1"/>
        <v>121.45996092999667</v>
      </c>
      <c r="S23">
        <v>2752.341796875</v>
      </c>
      <c r="T23" s="40">
        <f t="shared" si="2"/>
        <v>99.12109375</v>
      </c>
      <c r="U23">
        <v>33.613739013671903</v>
      </c>
      <c r="V23" s="33">
        <f t="shared" si="10"/>
        <v>3.1890869139985512</v>
      </c>
      <c r="W23">
        <v>225.36976623535199</v>
      </c>
      <c r="X23" s="90">
        <f t="shared" si="11"/>
        <v>14.16015625</v>
      </c>
      <c r="AA23">
        <v>9</v>
      </c>
      <c r="AB23" s="33">
        <f t="shared" si="12"/>
        <v>64.309983026520598</v>
      </c>
      <c r="AD23" s="33">
        <f t="shared" si="13"/>
        <v>89.628310430805669</v>
      </c>
      <c r="AF23" s="33">
        <f t="shared" ca="1" si="14"/>
        <v>1.4730181012861889</v>
      </c>
    </row>
    <row r="24" spans="1:32" x14ac:dyDescent="0.25">
      <c r="A24" s="8">
        <v>42430.875</v>
      </c>
      <c r="B24" s="40">
        <f t="shared" si="3"/>
        <v>21</v>
      </c>
      <c r="C24" s="87">
        <v>55.407627105712898</v>
      </c>
      <c r="D24" s="85">
        <f t="shared" si="4"/>
        <v>5.359649658203125</v>
      </c>
      <c r="E24">
        <v>81.298477172851605</v>
      </c>
      <c r="F24" s="85">
        <f t="shared" si="5"/>
        <v>0</v>
      </c>
      <c r="G24">
        <v>165.57656860351599</v>
      </c>
      <c r="H24" s="86">
        <f t="shared" si="6"/>
        <v>13.580322264999722</v>
      </c>
      <c r="I24">
        <v>125.575889587402</v>
      </c>
      <c r="J24" s="86">
        <f t="shared" si="7"/>
        <v>12.184143067003106</v>
      </c>
      <c r="K24">
        <v>189.59959411621099</v>
      </c>
      <c r="L24" s="86">
        <f t="shared" si="8"/>
        <v>15.716552734005518</v>
      </c>
      <c r="M24">
        <v>216.48558044433599</v>
      </c>
      <c r="N24" s="86">
        <f t="shared" si="9"/>
        <v>15.350341797017109</v>
      </c>
      <c r="O24">
        <v>1475.07727050781</v>
      </c>
      <c r="P24" s="40">
        <f t="shared" si="0"/>
        <v>109.25292969000111</v>
      </c>
      <c r="Q24">
        <v>1125.77600097656</v>
      </c>
      <c r="R24" s="40">
        <f t="shared" si="1"/>
        <v>117.91992188000222</v>
      </c>
      <c r="S24">
        <v>2752.44091796875</v>
      </c>
      <c r="T24" s="40">
        <f t="shared" si="2"/>
        <v>0.48828125</v>
      </c>
      <c r="U24">
        <v>33.616928100585902</v>
      </c>
      <c r="V24" s="33">
        <f t="shared" si="10"/>
        <v>3.2730102538991446</v>
      </c>
      <c r="W24">
        <v>225.38392639160199</v>
      </c>
      <c r="X24" s="90">
        <f t="shared" si="11"/>
        <v>14.312744139999722</v>
      </c>
      <c r="AA24">
        <v>10</v>
      </c>
      <c r="AB24" s="33">
        <f t="shared" si="12"/>
        <v>63.102358863528835</v>
      </c>
      <c r="AD24" s="33">
        <f t="shared" si="13"/>
        <v>87.427411760575595</v>
      </c>
      <c r="AF24" s="33">
        <f t="shared" ca="1" si="14"/>
        <v>1.4997209821475941</v>
      </c>
    </row>
    <row r="25" spans="1:32" x14ac:dyDescent="0.25">
      <c r="A25" s="8">
        <v>42430.916666666664</v>
      </c>
      <c r="B25" s="40">
        <f t="shared" si="3"/>
        <v>22</v>
      </c>
      <c r="C25" s="87">
        <v>55.412986755371101</v>
      </c>
      <c r="D25" s="85">
        <f t="shared" si="4"/>
        <v>5.321502685497137</v>
      </c>
      <c r="E25">
        <v>81.298477172851605</v>
      </c>
      <c r="F25" s="85">
        <f t="shared" si="5"/>
        <v>0</v>
      </c>
      <c r="G25">
        <v>165.59014892578099</v>
      </c>
      <c r="H25" s="86">
        <f t="shared" si="6"/>
        <v>13.778686524005934</v>
      </c>
      <c r="I25">
        <v>125.58807373046901</v>
      </c>
      <c r="J25" s="86">
        <f t="shared" si="7"/>
        <v>12.084960936988409</v>
      </c>
      <c r="K25">
        <v>189.615310668945</v>
      </c>
      <c r="L25" s="86">
        <f t="shared" si="8"/>
        <v>15.640258789005657</v>
      </c>
      <c r="M25">
        <v>216.50093078613301</v>
      </c>
      <c r="N25" s="86">
        <f t="shared" si="9"/>
        <v>15.625</v>
      </c>
      <c r="O25">
        <v>1475.1865234375</v>
      </c>
      <c r="P25" s="40">
        <f t="shared" si="0"/>
        <v>109.13085938000222</v>
      </c>
      <c r="Q25">
        <v>1125.89392089844</v>
      </c>
      <c r="R25" s="40">
        <f t="shared" si="1"/>
        <v>117.91992186999778</v>
      </c>
      <c r="S25">
        <v>2752.44140625</v>
      </c>
      <c r="T25" s="40">
        <f t="shared" si="2"/>
        <v>0.73242188000222086</v>
      </c>
      <c r="U25">
        <v>33.620201110839801</v>
      </c>
      <c r="V25" s="33">
        <f t="shared" si="10"/>
        <v>3.2081604003977304</v>
      </c>
      <c r="W25">
        <v>225.39823913574199</v>
      </c>
      <c r="X25" s="90">
        <f t="shared" si="11"/>
        <v>14.266967774005934</v>
      </c>
      <c r="AA25">
        <v>11</v>
      </c>
      <c r="AB25" s="33">
        <f t="shared" si="12"/>
        <v>63.132513137042729</v>
      </c>
      <c r="AD25" s="33">
        <f t="shared" si="13"/>
        <v>87.10225423175595</v>
      </c>
      <c r="AF25" s="33">
        <f t="shared" ca="1" si="14"/>
        <v>2.5244213285910448</v>
      </c>
    </row>
    <row r="26" spans="1:32" x14ac:dyDescent="0.25">
      <c r="A26" s="8">
        <v>42430.958333333336</v>
      </c>
      <c r="B26" s="40">
        <f t="shared" si="3"/>
        <v>23</v>
      </c>
      <c r="C26" s="87">
        <v>55.418308258056598</v>
      </c>
      <c r="D26" s="85">
        <f t="shared" si="4"/>
        <v>5.2680969238991793</v>
      </c>
      <c r="E26">
        <v>81.298477172851605</v>
      </c>
      <c r="F26" s="85">
        <f t="shared" si="5"/>
        <v>0</v>
      </c>
      <c r="G26">
        <v>165.603927612305</v>
      </c>
      <c r="H26" s="86">
        <f t="shared" si="6"/>
        <v>13.778686523011174</v>
      </c>
      <c r="I26">
        <v>125.60015869140599</v>
      </c>
      <c r="J26" s="86">
        <f t="shared" si="7"/>
        <v>12.138366699005587</v>
      </c>
      <c r="K26">
        <v>189.63095092773401</v>
      </c>
      <c r="L26" s="86">
        <f t="shared" si="8"/>
        <v>15.350341796988687</v>
      </c>
      <c r="M26">
        <v>216.51655578613301</v>
      </c>
      <c r="N26" s="86">
        <f t="shared" si="9"/>
        <v>15.563964843977374</v>
      </c>
      <c r="O26">
        <v>1475.29565429688</v>
      </c>
      <c r="P26" s="40">
        <f t="shared" si="0"/>
        <v>109.13085936999778</v>
      </c>
      <c r="Q26">
        <v>1126.01184082031</v>
      </c>
      <c r="R26" s="40">
        <f t="shared" si="1"/>
        <v>115.60058594000111</v>
      </c>
      <c r="S26">
        <v>2752.44213867188</v>
      </c>
      <c r="T26" s="40">
        <f t="shared" si="2"/>
        <v>0.9765625</v>
      </c>
      <c r="U26">
        <v>33.623409271240199</v>
      </c>
      <c r="V26" s="33">
        <f t="shared" si="10"/>
        <v>3.2882690430042771</v>
      </c>
      <c r="W26">
        <v>225.41250610351599</v>
      </c>
      <c r="X26" s="90">
        <f t="shared" si="11"/>
        <v>14.053344725994066</v>
      </c>
      <c r="AA26">
        <v>12</v>
      </c>
      <c r="AB26" s="33">
        <f t="shared" si="12"/>
        <v>63.717796688999599</v>
      </c>
      <c r="AD26" s="33">
        <f t="shared" si="13"/>
        <v>87.377639043855496</v>
      </c>
      <c r="AF26" s="33">
        <f t="shared" ca="1" si="14"/>
        <v>3.1538463774042822</v>
      </c>
    </row>
    <row r="27" spans="1:32" x14ac:dyDescent="0.25">
      <c r="A27" s="8">
        <v>42431</v>
      </c>
      <c r="B27" s="40">
        <f t="shared" si="3"/>
        <v>0</v>
      </c>
      <c r="C27" s="87">
        <v>55.423576354980497</v>
      </c>
      <c r="D27" s="85">
        <f t="shared" si="4"/>
        <v>5.3215026855042424</v>
      </c>
      <c r="E27">
        <v>81.298477172851605</v>
      </c>
      <c r="F27" s="85">
        <f t="shared" si="5"/>
        <v>0</v>
      </c>
      <c r="G27">
        <v>165.61770629882801</v>
      </c>
      <c r="H27" s="86">
        <f t="shared" si="6"/>
        <v>13.824462890994482</v>
      </c>
      <c r="I27">
        <v>125.612297058105</v>
      </c>
      <c r="J27" s="86">
        <f t="shared" si="7"/>
        <v>12.100219727003036</v>
      </c>
      <c r="K27">
        <v>189.64630126953099</v>
      </c>
      <c r="L27" s="86">
        <f t="shared" si="8"/>
        <v>15.640258789005657</v>
      </c>
      <c r="M27">
        <v>216.53211975097699</v>
      </c>
      <c r="N27" s="86">
        <f t="shared" si="9"/>
        <v>15.594482421022349</v>
      </c>
      <c r="O27">
        <v>1475.40478515625</v>
      </c>
      <c r="P27" s="40">
        <f t="shared" si="0"/>
        <v>109.98535155999889</v>
      </c>
      <c r="Q27">
        <v>1126.12744140625</v>
      </c>
      <c r="R27" s="40">
        <f t="shared" si="1"/>
        <v>117.55371094000111</v>
      </c>
      <c r="S27">
        <v>2752.44311523438</v>
      </c>
      <c r="T27" s="40">
        <f t="shared" si="2"/>
        <v>0.73242186999777914</v>
      </c>
      <c r="U27">
        <v>33.626697540283203</v>
      </c>
      <c r="V27" s="33">
        <f t="shared" si="10"/>
        <v>3.2844543456960196</v>
      </c>
      <c r="W27">
        <v>225.42655944824199</v>
      </c>
      <c r="X27" s="90">
        <f t="shared" si="11"/>
        <v>14.236450196023043</v>
      </c>
      <c r="AA27">
        <v>13</v>
      </c>
      <c r="AB27" s="33">
        <f t="shared" si="12"/>
        <v>66.626049223403001</v>
      </c>
      <c r="AD27" s="33">
        <f t="shared" si="13"/>
        <v>90.886797223738483</v>
      </c>
      <c r="AF27" s="33">
        <f t="shared" ca="1" si="14"/>
        <v>3.1196957542819956</v>
      </c>
    </row>
    <row r="28" spans="1:32" x14ac:dyDescent="0.25">
      <c r="A28" s="8">
        <v>42431.041666666664</v>
      </c>
      <c r="B28" s="40">
        <f t="shared" si="3"/>
        <v>1</v>
      </c>
      <c r="C28" s="87">
        <v>55.428897857666001</v>
      </c>
      <c r="D28" s="85">
        <f t="shared" si="4"/>
        <v>3.7422180175994413</v>
      </c>
      <c r="E28">
        <v>81.298477172851605</v>
      </c>
      <c r="F28" s="85">
        <f t="shared" si="5"/>
        <v>0</v>
      </c>
      <c r="G28">
        <v>165.63153076171901</v>
      </c>
      <c r="H28" s="86">
        <f t="shared" si="6"/>
        <v>13.793945311988409</v>
      </c>
      <c r="I28">
        <v>125.624397277832</v>
      </c>
      <c r="J28" s="86">
        <f t="shared" si="7"/>
        <v>12.199401855994552</v>
      </c>
      <c r="K28">
        <v>189.66194152832</v>
      </c>
      <c r="L28" s="86">
        <f t="shared" si="8"/>
        <v>15.609741210994343</v>
      </c>
      <c r="M28">
        <v>216.54771423339801</v>
      </c>
      <c r="N28" s="86">
        <f t="shared" si="9"/>
        <v>15.563964843977374</v>
      </c>
      <c r="O28">
        <v>1475.51477050781</v>
      </c>
      <c r="P28" s="40">
        <f t="shared" si="0"/>
        <v>109.98535157000333</v>
      </c>
      <c r="Q28">
        <v>1126.24499511719</v>
      </c>
      <c r="R28" s="40">
        <f t="shared" si="1"/>
        <v>83.12988280999889</v>
      </c>
      <c r="S28">
        <v>2752.44384765625</v>
      </c>
      <c r="T28" s="40">
        <f t="shared" si="2"/>
        <v>0.73242188000222086</v>
      </c>
      <c r="U28">
        <v>33.629981994628899</v>
      </c>
      <c r="V28" s="33">
        <f t="shared" si="10"/>
        <v>3.2691955565979924</v>
      </c>
      <c r="W28">
        <v>225.44079589843801</v>
      </c>
      <c r="X28" s="90">
        <f t="shared" si="11"/>
        <v>14.251708983977096</v>
      </c>
      <c r="AA28">
        <v>14</v>
      </c>
      <c r="AB28" s="33">
        <f t="shared" si="12"/>
        <v>68.777901785265627</v>
      </c>
      <c r="AD28" s="33">
        <f t="shared" si="13"/>
        <v>93.213399250737709</v>
      </c>
      <c r="AF28" s="33">
        <f t="shared" ca="1" si="14"/>
        <v>3.5616556803371884</v>
      </c>
    </row>
    <row r="29" spans="1:32" x14ac:dyDescent="0.25">
      <c r="A29" s="8">
        <v>42431.083333333336</v>
      </c>
      <c r="B29" s="40">
        <f t="shared" si="3"/>
        <v>2</v>
      </c>
      <c r="C29" s="87">
        <v>55.432640075683601</v>
      </c>
      <c r="D29" s="85">
        <f t="shared" si="4"/>
        <v>0</v>
      </c>
      <c r="E29">
        <v>81.298477172851605</v>
      </c>
      <c r="F29" s="85">
        <f t="shared" si="5"/>
        <v>0</v>
      </c>
      <c r="G29">
        <v>165.64532470703099</v>
      </c>
      <c r="H29" s="86">
        <f t="shared" si="6"/>
        <v>13.900756835994343</v>
      </c>
      <c r="I29">
        <v>125.636596679688</v>
      </c>
      <c r="J29" s="86">
        <f t="shared" si="7"/>
        <v>12.214660644005448</v>
      </c>
      <c r="K29">
        <v>189.67755126953099</v>
      </c>
      <c r="L29" s="86">
        <f t="shared" si="8"/>
        <v>15.609741210994343</v>
      </c>
      <c r="M29">
        <v>216.56327819824199</v>
      </c>
      <c r="N29" s="86">
        <f t="shared" si="9"/>
        <v>15.563964844005795</v>
      </c>
      <c r="O29">
        <v>1475.62475585938</v>
      </c>
      <c r="P29" s="40">
        <f t="shared" si="0"/>
        <v>108.03222655999889</v>
      </c>
      <c r="Q29">
        <v>1126.328125</v>
      </c>
      <c r="R29" s="40">
        <f t="shared" si="1"/>
        <v>0.61035155999888957</v>
      </c>
      <c r="S29">
        <v>2752.44458007813</v>
      </c>
      <c r="T29" s="40">
        <f t="shared" si="2"/>
        <v>0.48828125</v>
      </c>
      <c r="U29">
        <v>33.633251190185497</v>
      </c>
      <c r="V29" s="33">
        <f t="shared" si="10"/>
        <v>3.2081604004048359</v>
      </c>
      <c r="W29">
        <v>225.45504760742199</v>
      </c>
      <c r="X29" s="90">
        <f t="shared" si="11"/>
        <v>14.190673828011313</v>
      </c>
      <c r="AA29">
        <v>15</v>
      </c>
      <c r="AB29" s="33">
        <f t="shared" si="12"/>
        <v>68.452017648188047</v>
      </c>
      <c r="AD29" s="33">
        <f t="shared" si="13"/>
        <v>92.943464007144414</v>
      </c>
      <c r="AF29" s="33">
        <f t="shared" ca="1" si="14"/>
        <v>3.311338878823733</v>
      </c>
    </row>
    <row r="30" spans="1:32" x14ac:dyDescent="0.25">
      <c r="A30" s="8">
        <v>42431.125</v>
      </c>
      <c r="B30" s="40">
        <f t="shared" si="3"/>
        <v>3</v>
      </c>
      <c r="C30" s="87">
        <v>55.432640075683601</v>
      </c>
      <c r="D30" s="85">
        <f t="shared" si="4"/>
        <v>0</v>
      </c>
      <c r="E30">
        <v>81.298477172851605</v>
      </c>
      <c r="F30" s="85">
        <f t="shared" si="5"/>
        <v>0</v>
      </c>
      <c r="G30">
        <v>165.65922546386699</v>
      </c>
      <c r="H30" s="86">
        <f t="shared" si="6"/>
        <v>13.824462891022904</v>
      </c>
      <c r="I30">
        <v>125.648811340332</v>
      </c>
      <c r="J30" s="86">
        <f t="shared" si="7"/>
        <v>12.153625487997033</v>
      </c>
      <c r="K30">
        <v>189.69316101074199</v>
      </c>
      <c r="L30" s="86">
        <f t="shared" si="8"/>
        <v>15.686035156022626</v>
      </c>
      <c r="M30">
        <v>216.57884216308599</v>
      </c>
      <c r="N30" s="86">
        <f t="shared" si="9"/>
        <v>15.594482422017109</v>
      </c>
      <c r="O30">
        <v>1475.73278808594</v>
      </c>
      <c r="P30" s="40">
        <f t="shared" si="0"/>
        <v>110.22949219000111</v>
      </c>
      <c r="Q30">
        <v>1126.32873535156</v>
      </c>
      <c r="R30" s="40">
        <f t="shared" si="1"/>
        <v>0.85449219000111043</v>
      </c>
      <c r="S30">
        <v>2752.44506835938</v>
      </c>
      <c r="T30" s="40">
        <f t="shared" si="2"/>
        <v>0.9765625</v>
      </c>
      <c r="U30">
        <v>33.636459350585902</v>
      </c>
      <c r="V30" s="33">
        <f t="shared" si="10"/>
        <v>3.1204223632954609</v>
      </c>
      <c r="W30">
        <v>225.46923828125</v>
      </c>
      <c r="X30" s="90">
        <f t="shared" si="11"/>
        <v>14.221191405994205</v>
      </c>
      <c r="AA30">
        <v>16</v>
      </c>
      <c r="AB30" s="33">
        <f t="shared" si="12"/>
        <v>69.349016461909429</v>
      </c>
      <c r="AD30" s="33">
        <f t="shared" si="13"/>
        <v>94.419933500484191</v>
      </c>
      <c r="AF30" s="33">
        <f t="shared" ca="1" si="14"/>
        <v>1.3909112839366835</v>
      </c>
    </row>
    <row r="31" spans="1:32" x14ac:dyDescent="0.25">
      <c r="A31" s="8">
        <v>42431.166666666664</v>
      </c>
      <c r="B31" s="40">
        <f t="shared" si="3"/>
        <v>4</v>
      </c>
      <c r="C31" s="87">
        <v>55.432640075683601</v>
      </c>
      <c r="D31" s="85">
        <f t="shared" si="4"/>
        <v>0</v>
      </c>
      <c r="E31">
        <v>81.298477172851605</v>
      </c>
      <c r="F31" s="85">
        <f t="shared" si="5"/>
        <v>0</v>
      </c>
      <c r="G31">
        <v>165.67304992675801</v>
      </c>
      <c r="H31" s="86">
        <f t="shared" si="6"/>
        <v>13.824462889999722</v>
      </c>
      <c r="I31">
        <v>125.66096496582</v>
      </c>
      <c r="J31" s="86">
        <f t="shared" si="7"/>
        <v>12.252807617997519</v>
      </c>
      <c r="K31">
        <v>189.70884704589801</v>
      </c>
      <c r="L31" s="86">
        <f t="shared" si="8"/>
        <v>15.563964843977374</v>
      </c>
      <c r="M31">
        <v>216.59443664550801</v>
      </c>
      <c r="N31" s="86">
        <f t="shared" si="9"/>
        <v>15.563964843977374</v>
      </c>
      <c r="O31">
        <v>1475.84301757813</v>
      </c>
      <c r="P31" s="40">
        <f t="shared" si="0"/>
        <v>107.17773436999778</v>
      </c>
      <c r="Q31">
        <v>1126.32958984375</v>
      </c>
      <c r="R31" s="40">
        <f t="shared" si="1"/>
        <v>0.73242188000222086</v>
      </c>
      <c r="S31">
        <v>2752.44604492188</v>
      </c>
      <c r="T31" s="40">
        <f t="shared" si="2"/>
        <v>0.73242186999777914</v>
      </c>
      <c r="U31">
        <v>33.639579772949197</v>
      </c>
      <c r="V31" s="33">
        <f t="shared" si="10"/>
        <v>3.0822753906036837</v>
      </c>
      <c r="W31">
        <v>225.48345947265599</v>
      </c>
      <c r="X31" s="90">
        <f t="shared" si="11"/>
        <v>14.175415039005657</v>
      </c>
      <c r="AA31">
        <v>17</v>
      </c>
      <c r="AB31" s="33">
        <f t="shared" si="12"/>
        <v>70.243835449421084</v>
      </c>
      <c r="AD31" s="33">
        <f t="shared" si="13"/>
        <v>95.376877557939778</v>
      </c>
      <c r="AF31" s="33">
        <f t="shared" ca="1" si="14"/>
        <v>2.5215148925771098</v>
      </c>
    </row>
    <row r="32" spans="1:32" x14ac:dyDescent="0.25">
      <c r="A32" s="8">
        <v>42431.208333333336</v>
      </c>
      <c r="B32" s="40">
        <f t="shared" si="3"/>
        <v>5</v>
      </c>
      <c r="C32" s="87">
        <v>55.432640075683601</v>
      </c>
      <c r="D32" s="85">
        <f t="shared" si="4"/>
        <v>0</v>
      </c>
      <c r="E32">
        <v>81.298477172851605</v>
      </c>
      <c r="F32" s="85">
        <f t="shared" si="5"/>
        <v>0</v>
      </c>
      <c r="G32">
        <v>165.68687438964801</v>
      </c>
      <c r="H32" s="86">
        <f t="shared" si="6"/>
        <v>13.916015625</v>
      </c>
      <c r="I32">
        <v>125.673217773438</v>
      </c>
      <c r="J32" s="86">
        <f t="shared" si="7"/>
        <v>12.184143066008346</v>
      </c>
      <c r="K32">
        <v>189.72441101074199</v>
      </c>
      <c r="L32" s="86">
        <f t="shared" si="8"/>
        <v>15.548706055000139</v>
      </c>
      <c r="M32">
        <v>216.61000061035199</v>
      </c>
      <c r="N32" s="86">
        <f t="shared" si="9"/>
        <v>15.365600586022765</v>
      </c>
      <c r="O32">
        <v>1475.9501953125</v>
      </c>
      <c r="P32" s="40">
        <f t="shared" si="0"/>
        <v>108.64257813000222</v>
      </c>
      <c r="Q32">
        <v>1126.33032226563</v>
      </c>
      <c r="R32" s="40">
        <f t="shared" si="1"/>
        <v>0.85449217999666871</v>
      </c>
      <c r="S32">
        <v>2752.44677734375</v>
      </c>
      <c r="T32" s="40">
        <f t="shared" si="2"/>
        <v>0.48828125</v>
      </c>
      <c r="U32">
        <v>33.642662048339801</v>
      </c>
      <c r="V32" s="33">
        <f t="shared" si="10"/>
        <v>3.0555725098011521</v>
      </c>
      <c r="W32">
        <v>225.497634887695</v>
      </c>
      <c r="X32" s="90">
        <f t="shared" si="11"/>
        <v>14.053344726988826</v>
      </c>
      <c r="AA32">
        <v>18</v>
      </c>
      <c r="AB32" s="33">
        <f t="shared" si="12"/>
        <v>69.929213750909085</v>
      </c>
      <c r="AD32" s="33">
        <f t="shared" si="13"/>
        <v>95.189412434765913</v>
      </c>
      <c r="AF32" s="33">
        <f t="shared" ca="1" si="14"/>
        <v>5.1734561011904763</v>
      </c>
    </row>
    <row r="33" spans="1:32" x14ac:dyDescent="0.25">
      <c r="A33" s="8">
        <v>42431.25</v>
      </c>
      <c r="B33" s="40">
        <f t="shared" si="3"/>
        <v>6</v>
      </c>
      <c r="C33" s="87">
        <v>55.432640075683601</v>
      </c>
      <c r="D33" s="85">
        <f t="shared" si="4"/>
        <v>0</v>
      </c>
      <c r="E33">
        <v>81.298477172851605</v>
      </c>
      <c r="F33" s="85">
        <f t="shared" si="5"/>
        <v>0</v>
      </c>
      <c r="G33">
        <v>165.70079040527301</v>
      </c>
      <c r="H33" s="86">
        <f t="shared" si="6"/>
        <v>13.809204101988826</v>
      </c>
      <c r="I33">
        <v>125.68540191650401</v>
      </c>
      <c r="J33" s="86">
        <f t="shared" si="7"/>
        <v>12.229919433991654</v>
      </c>
      <c r="K33">
        <v>189.73995971679699</v>
      </c>
      <c r="L33" s="86">
        <f t="shared" si="8"/>
        <v>15.472412109005518</v>
      </c>
      <c r="M33">
        <v>216.62536621093801</v>
      </c>
      <c r="N33" s="86">
        <f t="shared" si="9"/>
        <v>15.686035155994205</v>
      </c>
      <c r="O33">
        <v>1476.05883789063</v>
      </c>
      <c r="P33" s="40">
        <f t="shared" si="0"/>
        <v>108.52050780999889</v>
      </c>
      <c r="Q33">
        <v>1126.33117675781</v>
      </c>
      <c r="R33" s="40">
        <f t="shared" si="1"/>
        <v>0.73242188000222086</v>
      </c>
      <c r="S33">
        <v>2752.447265625</v>
      </c>
      <c r="T33" s="40">
        <f t="shared" si="2"/>
        <v>0.9765625</v>
      </c>
      <c r="U33">
        <v>33.645717620849602</v>
      </c>
      <c r="V33" s="33">
        <f t="shared" si="10"/>
        <v>3.0708312987997033</v>
      </c>
      <c r="W33">
        <v>225.51168823242199</v>
      </c>
      <c r="X33" s="90">
        <f t="shared" si="11"/>
        <v>14.190673828011313</v>
      </c>
      <c r="AA33">
        <v>19</v>
      </c>
      <c r="AB33" s="33">
        <f t="shared" si="12"/>
        <v>69.250197637766561</v>
      </c>
      <c r="AD33" s="33">
        <f t="shared" si="13"/>
        <v>94.506399972290396</v>
      </c>
      <c r="AF33" s="33">
        <f t="shared" ca="1" si="14"/>
        <v>5.7487487792904464</v>
      </c>
    </row>
    <row r="34" spans="1:32" x14ac:dyDescent="0.25">
      <c r="A34" s="8">
        <v>42431.291666666664</v>
      </c>
      <c r="B34" s="40">
        <f t="shared" si="3"/>
        <v>7</v>
      </c>
      <c r="C34" s="87">
        <v>55.432640075683601</v>
      </c>
      <c r="D34" s="85">
        <f t="shared" si="4"/>
        <v>0</v>
      </c>
      <c r="E34">
        <v>81.298477172851605</v>
      </c>
      <c r="F34" s="85">
        <f t="shared" si="5"/>
        <v>0</v>
      </c>
      <c r="G34">
        <v>165.714599609375</v>
      </c>
      <c r="H34" s="86">
        <f t="shared" si="6"/>
        <v>13.793945313011591</v>
      </c>
      <c r="I34">
        <v>125.697631835938</v>
      </c>
      <c r="J34" s="86">
        <f t="shared" si="7"/>
        <v>12.268066406008415</v>
      </c>
      <c r="K34">
        <v>189.75543212890599</v>
      </c>
      <c r="L34" s="86">
        <f t="shared" si="8"/>
        <v>15.655517578011313</v>
      </c>
      <c r="M34">
        <v>216.64105224609401</v>
      </c>
      <c r="N34" s="86">
        <f t="shared" si="9"/>
        <v>15.640258789005657</v>
      </c>
      <c r="O34">
        <v>1476.16735839844</v>
      </c>
      <c r="P34" s="40">
        <f t="shared" si="0"/>
        <v>108.52050780999889</v>
      </c>
      <c r="Q34">
        <v>1126.33190917969</v>
      </c>
      <c r="R34" s="40">
        <f t="shared" si="1"/>
        <v>0.73242186999777914</v>
      </c>
      <c r="S34">
        <v>2752.4482421875</v>
      </c>
      <c r="T34" s="40">
        <f t="shared" si="2"/>
        <v>0.73242188000222086</v>
      </c>
      <c r="U34">
        <v>33.648788452148402</v>
      </c>
      <c r="V34" s="33">
        <f t="shared" si="10"/>
        <v>3.0822753906960543</v>
      </c>
      <c r="W34">
        <v>225.52587890625</v>
      </c>
      <c r="X34" s="90">
        <f t="shared" si="11"/>
        <v>14.266967773011174</v>
      </c>
      <c r="AA34">
        <v>20</v>
      </c>
      <c r="AB34" s="33">
        <f t="shared" si="12"/>
        <v>69.270542689653638</v>
      </c>
      <c r="AD34" s="33">
        <f t="shared" si="13"/>
        <v>94.55871582031385</v>
      </c>
      <c r="AF34" s="33">
        <f t="shared" ca="1" si="14"/>
        <v>5.7809012276948124</v>
      </c>
    </row>
    <row r="35" spans="1:32" x14ac:dyDescent="0.25">
      <c r="A35" s="8">
        <v>42431.333333333336</v>
      </c>
      <c r="B35" s="40">
        <f t="shared" si="3"/>
        <v>8</v>
      </c>
      <c r="C35" s="87">
        <v>55.432640075683601</v>
      </c>
      <c r="D35" s="85">
        <f t="shared" si="4"/>
        <v>0</v>
      </c>
      <c r="E35">
        <v>81.298477172851605</v>
      </c>
      <c r="F35" s="85">
        <f t="shared" si="5"/>
        <v>0</v>
      </c>
      <c r="G35">
        <v>165.72839355468801</v>
      </c>
      <c r="H35" s="86">
        <f t="shared" si="6"/>
        <v>13.824462889999722</v>
      </c>
      <c r="I35">
        <v>125.70989990234401</v>
      </c>
      <c r="J35" s="86">
        <f t="shared" si="7"/>
        <v>12.168884276988479</v>
      </c>
      <c r="K35">
        <v>189.77108764648401</v>
      </c>
      <c r="L35" s="86">
        <f t="shared" si="8"/>
        <v>15.548706055000139</v>
      </c>
      <c r="M35">
        <v>216.65669250488301</v>
      </c>
      <c r="N35" s="86">
        <f t="shared" si="9"/>
        <v>15.304565430000139</v>
      </c>
      <c r="O35">
        <v>1476.27587890625</v>
      </c>
      <c r="P35" s="40">
        <f t="shared" si="0"/>
        <v>108.52050780999889</v>
      </c>
      <c r="Q35">
        <v>1126.33264160156</v>
      </c>
      <c r="R35" s="40">
        <f t="shared" si="1"/>
        <v>0.85449219000111043</v>
      </c>
      <c r="S35">
        <v>2752.44897460938</v>
      </c>
      <c r="T35" s="40">
        <f t="shared" si="2"/>
        <v>0.48828125</v>
      </c>
      <c r="U35">
        <v>33.651870727539098</v>
      </c>
      <c r="V35" s="33">
        <f t="shared" si="10"/>
        <v>3.1166076660014141</v>
      </c>
      <c r="W35">
        <v>225.54014587402301</v>
      </c>
      <c r="X35" s="90">
        <f t="shared" si="11"/>
        <v>14.16015625</v>
      </c>
      <c r="AA35">
        <v>21</v>
      </c>
      <c r="AB35" s="33">
        <f t="shared" si="12"/>
        <v>69.336664109035468</v>
      </c>
      <c r="AD35" s="33">
        <f t="shared" si="13"/>
        <v>94.601949056047786</v>
      </c>
      <c r="AF35" s="33">
        <f t="shared" ca="1" si="14"/>
        <v>5.2662804013233906</v>
      </c>
    </row>
    <row r="36" spans="1:32" x14ac:dyDescent="0.25">
      <c r="A36" s="8">
        <v>42431.375</v>
      </c>
      <c r="B36" s="40">
        <f t="shared" si="3"/>
        <v>9</v>
      </c>
      <c r="C36" s="87">
        <v>55.432640075683601</v>
      </c>
      <c r="D36" s="85">
        <f t="shared" si="4"/>
        <v>0</v>
      </c>
      <c r="E36">
        <v>81.298477172851605</v>
      </c>
      <c r="F36" s="85">
        <f t="shared" si="5"/>
        <v>0.80871582029828915</v>
      </c>
      <c r="G36">
        <v>165.74221801757801</v>
      </c>
      <c r="H36" s="86">
        <f t="shared" si="6"/>
        <v>13.87023925798303</v>
      </c>
      <c r="I36">
        <v>125.72206878662099</v>
      </c>
      <c r="J36" s="86">
        <f t="shared" si="7"/>
        <v>12.214660645000208</v>
      </c>
      <c r="K36">
        <v>189.78663635253901</v>
      </c>
      <c r="L36" s="86">
        <f t="shared" si="8"/>
        <v>15.625</v>
      </c>
      <c r="M36">
        <v>216.67199707031301</v>
      </c>
      <c r="N36" s="86">
        <f t="shared" si="9"/>
        <v>15.762329100994066</v>
      </c>
      <c r="O36">
        <v>1476.38439941406</v>
      </c>
      <c r="P36" s="40">
        <f t="shared" si="0"/>
        <v>109.98535157000333</v>
      </c>
      <c r="Q36">
        <v>1126.33349609375</v>
      </c>
      <c r="R36" s="40">
        <f t="shared" si="1"/>
        <v>0.61035155999888957</v>
      </c>
      <c r="S36">
        <v>2752.44946289063</v>
      </c>
      <c r="T36" s="40">
        <f t="shared" si="2"/>
        <v>14.404296869997779</v>
      </c>
      <c r="U36">
        <v>33.654987335205099</v>
      </c>
      <c r="V36" s="33">
        <f t="shared" si="10"/>
        <v>3.1547546387002967</v>
      </c>
      <c r="W36">
        <v>225.55430603027301</v>
      </c>
      <c r="X36" s="90">
        <f t="shared" si="11"/>
        <v>14.266967773977512</v>
      </c>
      <c r="AA36">
        <v>22</v>
      </c>
      <c r="AB36" s="33">
        <f t="shared" si="12"/>
        <v>68.75719342925872</v>
      </c>
      <c r="AD36" s="33">
        <f t="shared" si="13"/>
        <v>93.985421317133472</v>
      </c>
      <c r="AF36" s="33">
        <f t="shared" ca="1" si="14"/>
        <v>4.2717343284990541</v>
      </c>
    </row>
    <row r="37" spans="1:32" x14ac:dyDescent="0.25">
      <c r="A37" s="8">
        <v>42431.416666666664</v>
      </c>
      <c r="B37" s="40">
        <f t="shared" si="3"/>
        <v>10</v>
      </c>
      <c r="C37" s="87">
        <v>55.432640075683601</v>
      </c>
      <c r="D37" s="85">
        <f t="shared" si="4"/>
        <v>0</v>
      </c>
      <c r="E37">
        <v>81.299285888671903</v>
      </c>
      <c r="F37" s="85">
        <f t="shared" si="5"/>
        <v>5.5694580077982891</v>
      </c>
      <c r="G37">
        <v>165.75608825683599</v>
      </c>
      <c r="H37" s="86">
        <f t="shared" si="6"/>
        <v>13.916015625</v>
      </c>
      <c r="I37">
        <v>125.73428344726599</v>
      </c>
      <c r="J37" s="86">
        <f t="shared" si="7"/>
        <v>12.260437011008207</v>
      </c>
      <c r="K37">
        <v>189.80226135253901</v>
      </c>
      <c r="L37" s="86">
        <f t="shared" si="8"/>
        <v>15.609741210994343</v>
      </c>
      <c r="M37">
        <v>216.68775939941401</v>
      </c>
      <c r="N37" s="86">
        <f t="shared" si="9"/>
        <v>15.518188476988826</v>
      </c>
      <c r="O37">
        <v>1476.49438476563</v>
      </c>
      <c r="P37" s="40">
        <f t="shared" si="0"/>
        <v>109.74121092999667</v>
      </c>
      <c r="Q37">
        <v>1126.33410644531</v>
      </c>
      <c r="R37" s="40">
        <f t="shared" si="1"/>
        <v>0.85449219000111043</v>
      </c>
      <c r="S37">
        <v>2752.4638671875</v>
      </c>
      <c r="T37" s="40">
        <f t="shared" si="2"/>
        <v>112.06054688000222</v>
      </c>
      <c r="U37">
        <v>33.6581420898438</v>
      </c>
      <c r="V37" s="33">
        <f t="shared" si="10"/>
        <v>3.1776428222016762</v>
      </c>
      <c r="W37">
        <v>225.56857299804699</v>
      </c>
      <c r="X37" s="90">
        <f t="shared" si="11"/>
        <v>14.236450194999861</v>
      </c>
      <c r="AA37">
        <v>23</v>
      </c>
      <c r="AB37" s="33">
        <f t="shared" si="12"/>
        <v>68.288893926276188</v>
      </c>
      <c r="AD37" s="33">
        <f t="shared" si="13"/>
        <v>93.504042851917362</v>
      </c>
      <c r="AF37" s="33">
        <f t="shared" ca="1" si="14"/>
        <v>4.0997096470336132</v>
      </c>
    </row>
    <row r="38" spans="1:32" x14ac:dyDescent="0.25">
      <c r="A38" s="8">
        <v>42431.458333333336</v>
      </c>
      <c r="B38" s="40">
        <f t="shared" si="3"/>
        <v>11</v>
      </c>
      <c r="C38" s="87">
        <v>55.432640075683601</v>
      </c>
      <c r="D38" s="85">
        <f t="shared" si="4"/>
        <v>0</v>
      </c>
      <c r="E38">
        <v>81.304855346679702</v>
      </c>
      <c r="F38" s="85">
        <f t="shared" si="5"/>
        <v>4.7912597655965783</v>
      </c>
      <c r="G38">
        <v>165.77000427246099</v>
      </c>
      <c r="H38" s="86">
        <f t="shared" si="6"/>
        <v>13.793945312016831</v>
      </c>
      <c r="I38">
        <v>125.746543884277</v>
      </c>
      <c r="J38" s="86">
        <f t="shared" si="7"/>
        <v>11.962890625</v>
      </c>
      <c r="K38">
        <v>189.81787109375</v>
      </c>
      <c r="L38" s="86">
        <f t="shared" si="8"/>
        <v>15.563964844005795</v>
      </c>
      <c r="M38">
        <v>216.70327758789099</v>
      </c>
      <c r="N38" s="86">
        <f t="shared" si="9"/>
        <v>15.533447264999722</v>
      </c>
      <c r="O38">
        <v>1476.60412597656</v>
      </c>
      <c r="P38" s="40">
        <f t="shared" si="0"/>
        <v>107.91015625</v>
      </c>
      <c r="Q38">
        <v>1126.3349609375</v>
      </c>
      <c r="R38" s="40">
        <f t="shared" si="1"/>
        <v>0.85449219000111043</v>
      </c>
      <c r="S38">
        <v>2752.57592773438</v>
      </c>
      <c r="T38" s="40">
        <f t="shared" si="2"/>
        <v>82.03125</v>
      </c>
      <c r="U38">
        <v>33.661319732666001</v>
      </c>
      <c r="V38" s="33">
        <f t="shared" si="10"/>
        <v>3.307342529296875</v>
      </c>
      <c r="W38">
        <v>225.58280944824199</v>
      </c>
      <c r="X38" s="90">
        <f t="shared" si="11"/>
        <v>14.114379883011452</v>
      </c>
    </row>
    <row r="39" spans="1:32" x14ac:dyDescent="0.25">
      <c r="A39" s="8">
        <v>42431.5</v>
      </c>
      <c r="B39" s="40">
        <f t="shared" si="3"/>
        <v>12</v>
      </c>
      <c r="C39" s="87">
        <v>55.432640075683601</v>
      </c>
      <c r="D39" s="85">
        <f t="shared" si="4"/>
        <v>0</v>
      </c>
      <c r="E39">
        <v>81.309646606445298</v>
      </c>
      <c r="F39" s="85">
        <f t="shared" si="5"/>
        <v>0</v>
      </c>
      <c r="G39">
        <v>165.78379821777301</v>
      </c>
      <c r="H39" s="86">
        <f t="shared" si="6"/>
        <v>13.839721680000139</v>
      </c>
      <c r="I39">
        <v>125.758506774902</v>
      </c>
      <c r="J39" s="86">
        <f t="shared" si="7"/>
        <v>12.245178222997311</v>
      </c>
      <c r="K39">
        <v>189.83343505859401</v>
      </c>
      <c r="L39" s="86">
        <f t="shared" si="8"/>
        <v>15.365600585994343</v>
      </c>
      <c r="M39">
        <v>216.71881103515599</v>
      </c>
      <c r="N39" s="86">
        <f t="shared" si="9"/>
        <v>15.472412110000278</v>
      </c>
      <c r="O39">
        <v>1476.71203613281</v>
      </c>
      <c r="P39" s="40">
        <f t="shared" si="0"/>
        <v>111.20605469000111</v>
      </c>
      <c r="Q39">
        <v>1126.33581542969</v>
      </c>
      <c r="R39" s="40">
        <f t="shared" si="1"/>
        <v>0.73242186999777914</v>
      </c>
      <c r="S39">
        <v>2752.65795898438</v>
      </c>
      <c r="T39" s="40">
        <f t="shared" si="2"/>
        <v>0.9765625</v>
      </c>
      <c r="U39">
        <v>33.664627075195298</v>
      </c>
      <c r="V39" s="33">
        <f t="shared" si="10"/>
        <v>3.3035278320028283</v>
      </c>
      <c r="W39">
        <v>225.596923828125</v>
      </c>
      <c r="X39" s="90">
        <f t="shared" si="11"/>
        <v>14.282226563011591</v>
      </c>
    </row>
    <row r="40" spans="1:32" x14ac:dyDescent="0.25">
      <c r="A40" s="8">
        <v>42431.541666666664</v>
      </c>
      <c r="B40" s="40">
        <f t="shared" si="3"/>
        <v>13</v>
      </c>
      <c r="C40" s="87">
        <v>55.432640075683601</v>
      </c>
      <c r="D40" s="85">
        <f t="shared" si="4"/>
        <v>0</v>
      </c>
      <c r="E40">
        <v>81.309646606445298</v>
      </c>
      <c r="F40" s="85">
        <f t="shared" si="5"/>
        <v>0</v>
      </c>
      <c r="G40">
        <v>165.79763793945301</v>
      </c>
      <c r="H40" s="86">
        <f t="shared" si="6"/>
        <v>13.824462890994482</v>
      </c>
      <c r="I40">
        <v>125.770751953125</v>
      </c>
      <c r="J40" s="86">
        <f t="shared" si="7"/>
        <v>12.351989745994274</v>
      </c>
      <c r="K40">
        <v>189.84880065918</v>
      </c>
      <c r="L40" s="86">
        <f t="shared" si="8"/>
        <v>15.609741210994343</v>
      </c>
      <c r="M40">
        <v>216.73428344726599</v>
      </c>
      <c r="N40" s="86">
        <f t="shared" si="9"/>
        <v>15.457153319999861</v>
      </c>
      <c r="O40">
        <v>1476.8232421875</v>
      </c>
      <c r="P40" s="40">
        <f t="shared" si="0"/>
        <v>107.54394530999889</v>
      </c>
      <c r="Q40">
        <v>1126.33654785156</v>
      </c>
      <c r="R40" s="40">
        <f t="shared" si="1"/>
        <v>0.85449219000111043</v>
      </c>
      <c r="S40">
        <v>2752.65893554688</v>
      </c>
      <c r="T40" s="40">
        <f t="shared" si="2"/>
        <v>0.48828125</v>
      </c>
      <c r="U40">
        <v>33.667930603027301</v>
      </c>
      <c r="V40" s="33">
        <f t="shared" si="10"/>
        <v>3.2691955566974684</v>
      </c>
      <c r="W40">
        <v>225.61120605468801</v>
      </c>
      <c r="X40" s="90">
        <f t="shared" si="11"/>
        <v>14.312744139999722</v>
      </c>
    </row>
    <row r="41" spans="1:32" x14ac:dyDescent="0.25">
      <c r="A41" s="8">
        <v>42431.583333333336</v>
      </c>
      <c r="B41" s="40">
        <f t="shared" si="3"/>
        <v>14</v>
      </c>
      <c r="C41" s="87">
        <v>55.432640075683601</v>
      </c>
      <c r="D41" s="85">
        <f t="shared" si="4"/>
        <v>0</v>
      </c>
      <c r="E41">
        <v>81.309646606445298</v>
      </c>
      <c r="F41" s="85">
        <f t="shared" si="5"/>
        <v>4.6081542969034217</v>
      </c>
      <c r="G41">
        <v>165.81146240234401</v>
      </c>
      <c r="H41" s="86">
        <f t="shared" si="6"/>
        <v>13.839721679005379</v>
      </c>
      <c r="I41">
        <v>125.78310394287099</v>
      </c>
      <c r="J41" s="86">
        <f t="shared" si="7"/>
        <v>12.145996094005795</v>
      </c>
      <c r="K41">
        <v>189.86441040039099</v>
      </c>
      <c r="L41" s="86">
        <f t="shared" si="8"/>
        <v>15.594482422017109</v>
      </c>
      <c r="M41">
        <v>216.74974060058599</v>
      </c>
      <c r="N41" s="86">
        <f t="shared" si="9"/>
        <v>15.548706055000139</v>
      </c>
      <c r="O41">
        <v>1476.93078613281</v>
      </c>
      <c r="P41" s="40">
        <f t="shared" si="0"/>
        <v>109.61914063000222</v>
      </c>
      <c r="Q41">
        <v>1126.33740234375</v>
      </c>
      <c r="R41" s="40">
        <f t="shared" si="1"/>
        <v>0.73242188000222086</v>
      </c>
      <c r="S41">
        <v>2752.65942382813</v>
      </c>
      <c r="T41" s="40">
        <f t="shared" si="2"/>
        <v>82.275390619997779</v>
      </c>
      <c r="U41">
        <v>33.671199798583999</v>
      </c>
      <c r="V41" s="33">
        <f t="shared" si="10"/>
        <v>3.223419189403387</v>
      </c>
      <c r="W41">
        <v>225.62551879882801</v>
      </c>
      <c r="X41" s="90">
        <f t="shared" si="11"/>
        <v>14.221191405994205</v>
      </c>
    </row>
    <row r="42" spans="1:32" x14ac:dyDescent="0.25">
      <c r="A42" s="8">
        <v>42431.625</v>
      </c>
      <c r="B42" s="40">
        <f t="shared" si="3"/>
        <v>15</v>
      </c>
      <c r="C42" s="87">
        <v>55.432640075683601</v>
      </c>
      <c r="D42" s="85">
        <f t="shared" si="4"/>
        <v>7.6293944957228632E-3</v>
      </c>
      <c r="E42">
        <v>81.314254760742202</v>
      </c>
      <c r="F42" s="85">
        <f t="shared" si="5"/>
        <v>5.5618286132954609</v>
      </c>
      <c r="G42">
        <v>165.82530212402301</v>
      </c>
      <c r="H42" s="86">
        <f t="shared" si="6"/>
        <v>13.778686523977512</v>
      </c>
      <c r="I42">
        <v>125.795249938965</v>
      </c>
      <c r="J42" s="86">
        <f t="shared" si="7"/>
        <v>11.955261229999792</v>
      </c>
      <c r="K42">
        <v>189.88000488281301</v>
      </c>
      <c r="L42" s="86">
        <f t="shared" si="8"/>
        <v>15.594482420993927</v>
      </c>
      <c r="M42">
        <v>216.76528930664099</v>
      </c>
      <c r="N42" s="86">
        <f t="shared" si="9"/>
        <v>15.518188475994066</v>
      </c>
      <c r="O42">
        <v>1477.04040527344</v>
      </c>
      <c r="P42" s="40">
        <f t="shared" si="0"/>
        <v>109.375</v>
      </c>
      <c r="Q42">
        <v>1126.33813476563</v>
      </c>
      <c r="R42" s="40">
        <f t="shared" si="1"/>
        <v>0.85449217999666871</v>
      </c>
      <c r="S42">
        <v>2752.74169921875</v>
      </c>
      <c r="T42" s="40">
        <f t="shared" si="2"/>
        <v>114.01367188000222</v>
      </c>
      <c r="U42">
        <v>33.674423217773402</v>
      </c>
      <c r="V42" s="33">
        <f t="shared" si="10"/>
        <v>3.2577514649005934</v>
      </c>
      <c r="W42">
        <v>225.63973999023401</v>
      </c>
      <c r="X42" s="90">
        <f t="shared" si="11"/>
        <v>14.251708985000278</v>
      </c>
    </row>
    <row r="43" spans="1:32" x14ac:dyDescent="0.25">
      <c r="A43" s="8">
        <v>42431.666666666664</v>
      </c>
      <c r="B43" s="40">
        <f t="shared" si="3"/>
        <v>16</v>
      </c>
      <c r="C43" s="87">
        <v>55.432647705078097</v>
      </c>
      <c r="D43" s="85">
        <f t="shared" si="4"/>
        <v>0</v>
      </c>
      <c r="E43">
        <v>81.319816589355497</v>
      </c>
      <c r="F43" s="85">
        <f t="shared" si="5"/>
        <v>1.0910034178976957</v>
      </c>
      <c r="G43">
        <v>165.83908081054699</v>
      </c>
      <c r="H43" s="86">
        <f t="shared" si="6"/>
        <v>13.687133789005657</v>
      </c>
      <c r="I43">
        <v>125.807205200195</v>
      </c>
      <c r="J43" s="86">
        <f t="shared" si="7"/>
        <v>12.260437012002967</v>
      </c>
      <c r="K43">
        <v>189.89559936523401</v>
      </c>
      <c r="L43" s="86">
        <f t="shared" si="8"/>
        <v>15.640258789005657</v>
      </c>
      <c r="M43">
        <v>216.78080749511699</v>
      </c>
      <c r="N43" s="86">
        <f t="shared" si="9"/>
        <v>15.594482422017109</v>
      </c>
      <c r="O43">
        <v>1477.14978027344</v>
      </c>
      <c r="P43" s="40">
        <f t="shared" si="0"/>
        <v>110.3515625</v>
      </c>
      <c r="Q43">
        <v>1126.33898925781</v>
      </c>
      <c r="R43" s="40">
        <f t="shared" si="1"/>
        <v>0.73242188000222086</v>
      </c>
      <c r="S43">
        <v>2752.85571289063</v>
      </c>
      <c r="T43" s="40">
        <f t="shared" si="2"/>
        <v>22.705078119997779</v>
      </c>
      <c r="U43">
        <v>33.677680969238303</v>
      </c>
      <c r="V43" s="33">
        <f t="shared" si="10"/>
        <v>3.2806396483948674</v>
      </c>
      <c r="W43">
        <v>225.65399169921901</v>
      </c>
      <c r="X43" s="90">
        <f t="shared" si="11"/>
        <v>14.328002929005379</v>
      </c>
    </row>
    <row r="44" spans="1:32" x14ac:dyDescent="0.25">
      <c r="A44" s="8">
        <v>42431.708333333336</v>
      </c>
      <c r="B44" s="40">
        <f t="shared" si="3"/>
        <v>17</v>
      </c>
      <c r="C44" s="87">
        <v>55.432647705078097</v>
      </c>
      <c r="D44" s="85">
        <f t="shared" si="4"/>
        <v>0</v>
      </c>
      <c r="E44">
        <v>81.320907592773395</v>
      </c>
      <c r="F44" s="85">
        <f t="shared" si="5"/>
        <v>0.98419189460230427</v>
      </c>
      <c r="G44">
        <v>165.85276794433599</v>
      </c>
      <c r="H44" s="86">
        <f t="shared" si="6"/>
        <v>13.946533203011313</v>
      </c>
      <c r="I44">
        <v>125.819465637207</v>
      </c>
      <c r="J44" s="86">
        <f t="shared" si="7"/>
        <v>12.214660645000208</v>
      </c>
      <c r="K44">
        <v>189.91123962402301</v>
      </c>
      <c r="L44" s="86">
        <f t="shared" si="8"/>
        <v>15.609741210994343</v>
      </c>
      <c r="M44">
        <v>216.79640197753901</v>
      </c>
      <c r="N44" s="86">
        <f t="shared" si="9"/>
        <v>15.548706055000139</v>
      </c>
      <c r="O44">
        <v>1477.26013183594</v>
      </c>
      <c r="P44" s="40">
        <f t="shared" si="0"/>
        <v>110.10742186999778</v>
      </c>
      <c r="Q44">
        <v>1126.33972167969</v>
      </c>
      <c r="R44" s="40">
        <f t="shared" si="1"/>
        <v>0.73242186999777914</v>
      </c>
      <c r="S44">
        <v>2752.87841796875</v>
      </c>
      <c r="T44" s="40">
        <f t="shared" si="2"/>
        <v>16.11328125</v>
      </c>
      <c r="U44">
        <v>33.680961608886697</v>
      </c>
      <c r="V44" s="33">
        <f t="shared" si="10"/>
        <v>3.2310485840056913</v>
      </c>
      <c r="W44">
        <v>225.66831970214801</v>
      </c>
      <c r="X44" s="90">
        <f t="shared" si="11"/>
        <v>14.266967773977512</v>
      </c>
    </row>
    <row r="45" spans="1:32" x14ac:dyDescent="0.25">
      <c r="A45" s="8">
        <v>42431.75</v>
      </c>
      <c r="B45" s="40">
        <f t="shared" si="3"/>
        <v>18</v>
      </c>
      <c r="C45" s="87">
        <v>55.432647705078097</v>
      </c>
      <c r="D45" s="85">
        <f t="shared" si="4"/>
        <v>0</v>
      </c>
      <c r="E45">
        <v>81.321891784667997</v>
      </c>
      <c r="F45" s="85">
        <f t="shared" si="5"/>
        <v>5.5465698242045391</v>
      </c>
      <c r="G45">
        <v>165.86671447753901</v>
      </c>
      <c r="H45" s="86">
        <f t="shared" si="6"/>
        <v>13.656616210994343</v>
      </c>
      <c r="I45">
        <v>125.831680297852</v>
      </c>
      <c r="J45" s="86">
        <f t="shared" si="7"/>
        <v>12.069702147996964</v>
      </c>
      <c r="K45">
        <v>189.92684936523401</v>
      </c>
      <c r="L45" s="86">
        <f t="shared" si="8"/>
        <v>15.33508300798303</v>
      </c>
      <c r="M45">
        <v>216.81195068359401</v>
      </c>
      <c r="N45" s="86">
        <f t="shared" si="9"/>
        <v>15.411376952982891</v>
      </c>
      <c r="O45">
        <v>1477.37023925781</v>
      </c>
      <c r="P45" s="40">
        <f t="shared" si="0"/>
        <v>108.64257813000222</v>
      </c>
      <c r="Q45">
        <v>1126.34045410156</v>
      </c>
      <c r="R45" s="40">
        <f t="shared" si="1"/>
        <v>1.0986328200033313</v>
      </c>
      <c r="S45">
        <v>2752.89453125</v>
      </c>
      <c r="T45" s="40">
        <f t="shared" si="2"/>
        <v>116.45507813000222</v>
      </c>
      <c r="U45">
        <v>33.684192657470703</v>
      </c>
      <c r="V45" s="33">
        <f t="shared" si="10"/>
        <v>3.257751464794012</v>
      </c>
      <c r="W45">
        <v>225.68258666992199</v>
      </c>
      <c r="X45" s="90">
        <f t="shared" si="11"/>
        <v>14.175415039005657</v>
      </c>
    </row>
    <row r="46" spans="1:32" x14ac:dyDescent="0.25">
      <c r="A46" s="8">
        <v>42431.791666666664</v>
      </c>
      <c r="B46" s="40">
        <f t="shared" si="3"/>
        <v>19</v>
      </c>
      <c r="C46" s="87">
        <v>55.432647705078097</v>
      </c>
      <c r="D46" s="85">
        <f t="shared" si="4"/>
        <v>0</v>
      </c>
      <c r="E46">
        <v>81.327438354492202</v>
      </c>
      <c r="F46" s="85">
        <f t="shared" si="5"/>
        <v>5.5389404297017109</v>
      </c>
      <c r="G46">
        <v>165.88037109375</v>
      </c>
      <c r="H46" s="86">
        <f t="shared" si="6"/>
        <v>13.946533203011313</v>
      </c>
      <c r="I46">
        <v>125.84375</v>
      </c>
      <c r="J46" s="86">
        <f t="shared" si="7"/>
        <v>12.077331542997172</v>
      </c>
      <c r="K46">
        <v>189.94218444824199</v>
      </c>
      <c r="L46" s="86">
        <f t="shared" si="8"/>
        <v>15.808105469005795</v>
      </c>
      <c r="M46">
        <v>216.82736206054699</v>
      </c>
      <c r="N46" s="86">
        <f t="shared" si="9"/>
        <v>15.762329101022488</v>
      </c>
      <c r="O46">
        <v>1477.47888183594</v>
      </c>
      <c r="P46" s="40">
        <f t="shared" si="0"/>
        <v>109.25292969000111</v>
      </c>
      <c r="Q46">
        <v>1126.34155273438</v>
      </c>
      <c r="R46" s="40">
        <f t="shared" si="1"/>
        <v>0.73242186999777914</v>
      </c>
      <c r="S46">
        <v>2753.01098632813</v>
      </c>
      <c r="T46" s="40">
        <f t="shared" si="2"/>
        <v>114.50195311999778</v>
      </c>
      <c r="U46">
        <v>33.687450408935497</v>
      </c>
      <c r="V46" s="33">
        <f t="shared" si="10"/>
        <v>3.2501220704048706</v>
      </c>
      <c r="W46">
        <v>225.69676208496099</v>
      </c>
      <c r="X46" s="90">
        <f t="shared" si="11"/>
        <v>14.221191405994205</v>
      </c>
    </row>
    <row r="47" spans="1:32" x14ac:dyDescent="0.25">
      <c r="A47" s="8">
        <v>42431.833333333336</v>
      </c>
      <c r="B47" s="40">
        <f t="shared" si="3"/>
        <v>20</v>
      </c>
      <c r="C47" s="87">
        <v>55.432647705078097</v>
      </c>
      <c r="D47" s="85">
        <f t="shared" si="4"/>
        <v>0</v>
      </c>
      <c r="E47">
        <v>81.332977294921903</v>
      </c>
      <c r="F47" s="85">
        <f t="shared" si="5"/>
        <v>5.5465698241903283</v>
      </c>
      <c r="G47">
        <v>165.89431762695301</v>
      </c>
      <c r="H47" s="86">
        <f t="shared" si="6"/>
        <v>13.732910155994205</v>
      </c>
      <c r="I47">
        <v>125.855827331543</v>
      </c>
      <c r="J47" s="86">
        <f t="shared" si="7"/>
        <v>12.268066406008415</v>
      </c>
      <c r="K47">
        <v>189.95799255371099</v>
      </c>
      <c r="L47" s="86">
        <f t="shared" si="8"/>
        <v>15.548706055000139</v>
      </c>
      <c r="M47">
        <v>216.84312438964801</v>
      </c>
      <c r="N47" s="86">
        <f t="shared" si="9"/>
        <v>15.319824218977374</v>
      </c>
      <c r="O47">
        <v>1477.58813476563</v>
      </c>
      <c r="P47" s="40">
        <f t="shared" si="0"/>
        <v>108.64257811999778</v>
      </c>
      <c r="Q47">
        <v>1126.34228515625</v>
      </c>
      <c r="R47" s="40">
        <f t="shared" si="1"/>
        <v>0.85449219000111043</v>
      </c>
      <c r="S47">
        <v>2753.12548828125</v>
      </c>
      <c r="T47" s="40">
        <f t="shared" si="2"/>
        <v>112.54882813000222</v>
      </c>
      <c r="U47">
        <v>33.690700531005902</v>
      </c>
      <c r="V47" s="33">
        <f t="shared" si="10"/>
        <v>3.3302307128977304</v>
      </c>
      <c r="W47">
        <v>225.71098327636699</v>
      </c>
      <c r="X47" s="90">
        <f t="shared" si="11"/>
        <v>14.175415039005657</v>
      </c>
    </row>
    <row r="48" spans="1:32" x14ac:dyDescent="0.25">
      <c r="A48" s="8">
        <v>42431.875</v>
      </c>
      <c r="B48" s="40">
        <f t="shared" si="3"/>
        <v>21</v>
      </c>
      <c r="C48" s="87">
        <v>55.432647705078097</v>
      </c>
      <c r="D48" s="85">
        <f t="shared" si="4"/>
        <v>1.1444091803980427E-2</v>
      </c>
      <c r="E48">
        <v>81.338523864746094</v>
      </c>
      <c r="F48" s="85">
        <f t="shared" si="5"/>
        <v>5.5389404297017109</v>
      </c>
      <c r="G48">
        <v>165.90805053710901</v>
      </c>
      <c r="H48" s="86">
        <f t="shared" si="6"/>
        <v>13.641357421988687</v>
      </c>
      <c r="I48">
        <v>125.86809539794901</v>
      </c>
      <c r="J48" s="86">
        <f t="shared" si="7"/>
        <v>11.985778808991654</v>
      </c>
      <c r="K48">
        <v>189.97354125976599</v>
      </c>
      <c r="L48" s="86">
        <f t="shared" si="8"/>
        <v>15.411376953011313</v>
      </c>
      <c r="M48">
        <v>216.85844421386699</v>
      </c>
      <c r="N48" s="86">
        <f t="shared" si="9"/>
        <v>15.609741211022765</v>
      </c>
      <c r="O48">
        <v>1477.69677734375</v>
      </c>
      <c r="P48" s="40">
        <f t="shared" si="0"/>
        <v>107.78808594000111</v>
      </c>
      <c r="Q48">
        <v>1126.34313964844</v>
      </c>
      <c r="R48" s="40">
        <f t="shared" si="1"/>
        <v>0.73242186999777914</v>
      </c>
      <c r="S48">
        <v>2753.23803710938</v>
      </c>
      <c r="T48" s="40">
        <f t="shared" si="2"/>
        <v>113.76953125</v>
      </c>
      <c r="U48">
        <v>33.6940307617188</v>
      </c>
      <c r="V48" s="33">
        <f t="shared" si="10"/>
        <v>3.2577514648011174</v>
      </c>
      <c r="W48">
        <v>225.72515869140599</v>
      </c>
      <c r="X48" s="90">
        <f t="shared" si="11"/>
        <v>13.992309570994621</v>
      </c>
    </row>
    <row r="49" spans="1:24" x14ac:dyDescent="0.25">
      <c r="A49" s="8">
        <v>42431.916666666664</v>
      </c>
      <c r="B49" s="40">
        <f t="shared" si="3"/>
        <v>22</v>
      </c>
      <c r="C49" s="87">
        <v>55.432659149169901</v>
      </c>
      <c r="D49" s="85">
        <f t="shared" si="4"/>
        <v>0</v>
      </c>
      <c r="E49">
        <v>81.344062805175795</v>
      </c>
      <c r="F49" s="85">
        <f t="shared" si="5"/>
        <v>5.5007934570028283</v>
      </c>
      <c r="G49">
        <v>165.92169189453099</v>
      </c>
      <c r="H49" s="86">
        <f t="shared" si="6"/>
        <v>13.748168945994621</v>
      </c>
      <c r="I49">
        <v>125.880081176758</v>
      </c>
      <c r="J49" s="86">
        <f t="shared" si="7"/>
        <v>12.107849121008485</v>
      </c>
      <c r="K49">
        <v>189.98895263671901</v>
      </c>
      <c r="L49" s="86">
        <f t="shared" si="8"/>
        <v>15.640258789005657</v>
      </c>
      <c r="M49">
        <v>216.87405395507801</v>
      </c>
      <c r="N49" s="86">
        <f t="shared" si="9"/>
        <v>15.533447265994482</v>
      </c>
      <c r="O49">
        <v>1477.80456542969</v>
      </c>
      <c r="P49" s="40">
        <f t="shared" si="0"/>
        <v>109.25292969000111</v>
      </c>
      <c r="Q49">
        <v>1126.34387207031</v>
      </c>
      <c r="R49" s="40">
        <f t="shared" si="1"/>
        <v>0.85449219000111043</v>
      </c>
      <c r="S49">
        <v>2753.35180664063</v>
      </c>
      <c r="T49" s="40">
        <f t="shared" si="2"/>
        <v>114.74609375</v>
      </c>
      <c r="U49">
        <v>33.697288513183601</v>
      </c>
      <c r="V49" s="33">
        <f t="shared" si="10"/>
        <v>3.1547546387002967</v>
      </c>
      <c r="W49">
        <v>225.73915100097699</v>
      </c>
      <c r="X49" s="90">
        <f t="shared" si="11"/>
        <v>14.221191406022626</v>
      </c>
    </row>
    <row r="50" spans="1:24" x14ac:dyDescent="0.25">
      <c r="A50" s="8">
        <v>42431.958333333336</v>
      </c>
      <c r="B50" s="40">
        <f t="shared" si="3"/>
        <v>23</v>
      </c>
      <c r="C50" s="87">
        <v>55.432659149169901</v>
      </c>
      <c r="D50" s="85">
        <f t="shared" si="4"/>
        <v>0</v>
      </c>
      <c r="E50">
        <v>81.349563598632798</v>
      </c>
      <c r="F50" s="85">
        <f t="shared" si="5"/>
        <v>5.5465698242045391</v>
      </c>
      <c r="G50">
        <v>165.93544006347699</v>
      </c>
      <c r="H50" s="86">
        <f t="shared" si="6"/>
        <v>13.931274414005657</v>
      </c>
      <c r="I50">
        <v>125.89218902587901</v>
      </c>
      <c r="J50" s="86">
        <f t="shared" si="7"/>
        <v>12.092590331988617</v>
      </c>
      <c r="K50">
        <v>190.00459289550801</v>
      </c>
      <c r="L50" s="86">
        <f t="shared" si="8"/>
        <v>15.487670897982753</v>
      </c>
      <c r="M50">
        <v>216.88958740234401</v>
      </c>
      <c r="N50" s="86">
        <f t="shared" si="9"/>
        <v>15.411376952982891</v>
      </c>
      <c r="O50">
        <v>1477.91381835938</v>
      </c>
      <c r="P50" s="40">
        <f t="shared" si="0"/>
        <v>109.375</v>
      </c>
      <c r="Q50">
        <v>1126.3447265625</v>
      </c>
      <c r="R50" s="40">
        <f t="shared" si="1"/>
        <v>0.85449219000111043</v>
      </c>
      <c r="S50">
        <v>2753.46655273438</v>
      </c>
      <c r="T50" s="40">
        <f t="shared" si="2"/>
        <v>113.03710936999778</v>
      </c>
      <c r="U50">
        <v>33.700443267822301</v>
      </c>
      <c r="V50" s="33">
        <f t="shared" si="10"/>
        <v>3.0670166014985512</v>
      </c>
      <c r="W50">
        <v>225.75337219238301</v>
      </c>
      <c r="X50" s="90">
        <f t="shared" si="11"/>
        <v>14.221191405994205</v>
      </c>
    </row>
    <row r="51" spans="1:24" x14ac:dyDescent="0.25">
      <c r="A51" s="8">
        <v>42432</v>
      </c>
      <c r="B51" s="40">
        <f t="shared" si="3"/>
        <v>0</v>
      </c>
      <c r="C51" s="87">
        <v>55.432659149169901</v>
      </c>
      <c r="D51" s="85">
        <f t="shared" si="4"/>
        <v>0</v>
      </c>
      <c r="E51">
        <v>81.355110168457003</v>
      </c>
      <c r="F51" s="85">
        <f t="shared" si="5"/>
        <v>5.5618286132954609</v>
      </c>
      <c r="G51">
        <v>165.94937133789099</v>
      </c>
      <c r="H51" s="86">
        <f t="shared" si="6"/>
        <v>13.778686523011174</v>
      </c>
      <c r="I51">
        <v>125.90428161621099</v>
      </c>
      <c r="J51" s="86">
        <f t="shared" si="7"/>
        <v>12.191772461008554</v>
      </c>
      <c r="K51">
        <v>190.02008056640599</v>
      </c>
      <c r="L51" s="86">
        <f t="shared" si="8"/>
        <v>15.869140625</v>
      </c>
      <c r="M51">
        <v>216.90499877929699</v>
      </c>
      <c r="N51" s="86">
        <f t="shared" si="9"/>
        <v>15.640258789005657</v>
      </c>
      <c r="O51">
        <v>1478.02319335938</v>
      </c>
      <c r="P51" s="40">
        <f t="shared" si="0"/>
        <v>109.49707030999889</v>
      </c>
      <c r="Q51">
        <v>1126.34558105469</v>
      </c>
      <c r="R51" s="40">
        <f t="shared" si="1"/>
        <v>0.85449219000111043</v>
      </c>
      <c r="S51">
        <v>2753.57958984375</v>
      </c>
      <c r="T51" s="40">
        <f t="shared" si="2"/>
        <v>114.50195313000222</v>
      </c>
      <c r="U51">
        <v>33.7035102844238</v>
      </c>
      <c r="V51" s="33">
        <f t="shared" si="10"/>
        <v>3.2005310059020076</v>
      </c>
      <c r="W51">
        <v>225.76759338378901</v>
      </c>
      <c r="X51" s="90">
        <f t="shared" si="11"/>
        <v>14.205932616988548</v>
      </c>
    </row>
    <row r="52" spans="1:24" x14ac:dyDescent="0.25">
      <c r="A52" s="8">
        <v>42432.041666666664</v>
      </c>
      <c r="B52" s="40">
        <f t="shared" si="3"/>
        <v>1</v>
      </c>
      <c r="C52" s="87">
        <v>55.432659149169901</v>
      </c>
      <c r="D52" s="85">
        <f t="shared" si="4"/>
        <v>0</v>
      </c>
      <c r="E52">
        <v>81.360671997070298</v>
      </c>
      <c r="F52" s="85">
        <f t="shared" si="5"/>
        <v>5.5465698242045391</v>
      </c>
      <c r="G52">
        <v>165.96315002441401</v>
      </c>
      <c r="H52" s="86">
        <f t="shared" si="6"/>
        <v>13.549804687983169</v>
      </c>
      <c r="I52">
        <v>125.916473388672</v>
      </c>
      <c r="J52" s="86">
        <f t="shared" si="7"/>
        <v>12.100219725994066</v>
      </c>
      <c r="K52">
        <v>190.03594970703099</v>
      </c>
      <c r="L52" s="86">
        <f t="shared" si="8"/>
        <v>15.609741210994343</v>
      </c>
      <c r="M52">
        <v>216.92063903808599</v>
      </c>
      <c r="N52" s="86">
        <f t="shared" si="9"/>
        <v>15.518188477017247</v>
      </c>
      <c r="O52">
        <v>1478.13269042969</v>
      </c>
      <c r="P52" s="40">
        <f t="shared" si="0"/>
        <v>107.66601561999778</v>
      </c>
      <c r="Q52">
        <v>1126.34643554688</v>
      </c>
      <c r="R52" s="40">
        <f t="shared" si="1"/>
        <v>0.85449217999666871</v>
      </c>
      <c r="S52">
        <v>2753.69409179688</v>
      </c>
      <c r="T52" s="40">
        <f t="shared" si="2"/>
        <v>111.57226561999778</v>
      </c>
      <c r="U52">
        <v>33.706710815429702</v>
      </c>
      <c r="V52" s="33">
        <f t="shared" si="10"/>
        <v>3.1089782714985859</v>
      </c>
      <c r="W52">
        <v>225.78179931640599</v>
      </c>
      <c r="X52" s="90">
        <f t="shared" si="11"/>
        <v>14.221191407017386</v>
      </c>
    </row>
    <row r="53" spans="1:24" x14ac:dyDescent="0.25">
      <c r="A53" s="8">
        <v>42432.083333333336</v>
      </c>
      <c r="B53" s="40">
        <f t="shared" si="3"/>
        <v>2</v>
      </c>
      <c r="C53" s="87">
        <v>55.432659149169901</v>
      </c>
      <c r="D53" s="85">
        <f t="shared" si="4"/>
        <v>0</v>
      </c>
      <c r="E53">
        <v>81.366218566894503</v>
      </c>
      <c r="F53" s="85">
        <f t="shared" si="5"/>
        <v>5.5541992187926326</v>
      </c>
      <c r="G53">
        <v>165.97669982910199</v>
      </c>
      <c r="H53" s="86">
        <f t="shared" si="6"/>
        <v>13.732910156022626</v>
      </c>
      <c r="I53">
        <v>125.928573608398</v>
      </c>
      <c r="J53" s="86">
        <f t="shared" si="7"/>
        <v>12.153625489006004</v>
      </c>
      <c r="K53">
        <v>190.05155944824199</v>
      </c>
      <c r="L53" s="86">
        <f t="shared" si="8"/>
        <v>15.350341797017109</v>
      </c>
      <c r="M53">
        <v>216.93615722656301</v>
      </c>
      <c r="N53" s="86">
        <f t="shared" si="9"/>
        <v>15.640258788977235</v>
      </c>
      <c r="O53">
        <v>1478.24035644531</v>
      </c>
      <c r="P53" s="40">
        <f t="shared" si="0"/>
        <v>110.10742188000222</v>
      </c>
      <c r="Q53">
        <v>1126.34729003906</v>
      </c>
      <c r="R53" s="40">
        <f t="shared" si="1"/>
        <v>0.73242188000222086</v>
      </c>
      <c r="S53">
        <v>2753.8056640625</v>
      </c>
      <c r="T53" s="40">
        <f t="shared" si="2"/>
        <v>110.83984375</v>
      </c>
      <c r="U53">
        <v>33.7098197937012</v>
      </c>
      <c r="V53" s="33">
        <f t="shared" si="10"/>
        <v>3.2806396484019729</v>
      </c>
      <c r="W53">
        <v>225.79602050781301</v>
      </c>
      <c r="X53" s="90">
        <f t="shared" si="11"/>
        <v>14.099121092982614</v>
      </c>
    </row>
    <row r="54" spans="1:24" x14ac:dyDescent="0.25">
      <c r="A54" s="8">
        <v>42432.125</v>
      </c>
      <c r="B54" s="40">
        <f t="shared" si="3"/>
        <v>3</v>
      </c>
      <c r="C54" s="87">
        <v>55.432659149169901</v>
      </c>
      <c r="D54" s="85">
        <f t="shared" si="4"/>
        <v>0</v>
      </c>
      <c r="E54">
        <v>81.371772766113295</v>
      </c>
      <c r="F54" s="85">
        <f t="shared" si="5"/>
        <v>5.5541992187073674</v>
      </c>
      <c r="G54">
        <v>165.99043273925801</v>
      </c>
      <c r="H54" s="86">
        <f t="shared" si="6"/>
        <v>13.824462889999722</v>
      </c>
      <c r="I54">
        <v>125.940727233887</v>
      </c>
      <c r="J54" s="86">
        <f t="shared" si="7"/>
        <v>12.138366698991376</v>
      </c>
      <c r="K54">
        <v>190.06690979003901</v>
      </c>
      <c r="L54" s="86">
        <f t="shared" si="8"/>
        <v>15.640258789005657</v>
      </c>
      <c r="M54">
        <v>216.95179748535199</v>
      </c>
      <c r="N54" s="86">
        <f t="shared" si="9"/>
        <v>15.579223632016692</v>
      </c>
      <c r="O54">
        <v>1478.35046386719</v>
      </c>
      <c r="P54" s="40">
        <f t="shared" si="0"/>
        <v>111.08398436999778</v>
      </c>
      <c r="Q54">
        <v>1126.34802246094</v>
      </c>
      <c r="R54" s="40">
        <f t="shared" si="1"/>
        <v>0.85449219000111043</v>
      </c>
      <c r="S54">
        <v>2753.91650390625</v>
      </c>
      <c r="T54" s="40">
        <f t="shared" si="2"/>
        <v>109.86328125</v>
      </c>
      <c r="U54">
        <v>33.713100433349602</v>
      </c>
      <c r="V54" s="33">
        <f t="shared" si="10"/>
        <v>3.2501220702982891</v>
      </c>
      <c r="W54">
        <v>225.81011962890599</v>
      </c>
      <c r="X54" s="90">
        <f t="shared" si="11"/>
        <v>14.16015625</v>
      </c>
    </row>
    <row r="55" spans="1:24" x14ac:dyDescent="0.25">
      <c r="A55" s="8">
        <v>42432.166666666664</v>
      </c>
      <c r="B55" s="40">
        <f t="shared" si="3"/>
        <v>4</v>
      </c>
      <c r="C55" s="87">
        <v>55.432659149169901</v>
      </c>
      <c r="D55" s="85">
        <f t="shared" si="4"/>
        <v>0</v>
      </c>
      <c r="E55">
        <v>81.377326965332003</v>
      </c>
      <c r="F55" s="85">
        <f t="shared" si="5"/>
        <v>5.5770874024005934</v>
      </c>
      <c r="G55">
        <v>166.00425720214801</v>
      </c>
      <c r="H55" s="86">
        <f t="shared" si="6"/>
        <v>13.793945312983169</v>
      </c>
      <c r="I55">
        <v>125.95286560058599</v>
      </c>
      <c r="J55" s="86">
        <f t="shared" si="7"/>
        <v>12.168884277002689</v>
      </c>
      <c r="K55">
        <v>190.08255004882801</v>
      </c>
      <c r="L55" s="86">
        <f t="shared" si="8"/>
        <v>15.609741210994343</v>
      </c>
      <c r="M55">
        <v>216.96737670898401</v>
      </c>
      <c r="N55" s="86">
        <f t="shared" si="9"/>
        <v>15.502929687983169</v>
      </c>
      <c r="O55">
        <v>1478.46154785156</v>
      </c>
      <c r="P55" s="40">
        <f t="shared" si="0"/>
        <v>110.47363282000333</v>
      </c>
      <c r="Q55">
        <v>1126.34887695313</v>
      </c>
      <c r="R55" s="40">
        <f t="shared" si="1"/>
        <v>0.73242186999777914</v>
      </c>
      <c r="S55">
        <v>2754.0263671875</v>
      </c>
      <c r="T55" s="40">
        <f t="shared" si="2"/>
        <v>107.421875</v>
      </c>
      <c r="U55">
        <v>33.716350555419901</v>
      </c>
      <c r="V55" s="33">
        <f t="shared" si="10"/>
        <v>3.3226013184020076</v>
      </c>
      <c r="W55">
        <v>225.82427978515599</v>
      </c>
      <c r="X55" s="90">
        <f t="shared" si="11"/>
        <v>14.236450195994621</v>
      </c>
    </row>
    <row r="56" spans="1:24" x14ac:dyDescent="0.25">
      <c r="A56" s="8">
        <v>42432.208333333336</v>
      </c>
      <c r="B56" s="40">
        <f t="shared" si="3"/>
        <v>5</v>
      </c>
      <c r="C56" s="87">
        <v>55.432659149169901</v>
      </c>
      <c r="D56" s="85">
        <f t="shared" si="4"/>
        <v>0</v>
      </c>
      <c r="E56">
        <v>81.382904052734403</v>
      </c>
      <c r="F56" s="85">
        <f t="shared" si="5"/>
        <v>2.9449462889914457</v>
      </c>
      <c r="G56">
        <v>166.01805114746099</v>
      </c>
      <c r="H56" s="86">
        <f t="shared" si="6"/>
        <v>13.854980469005795</v>
      </c>
      <c r="I56">
        <v>125.965034484863</v>
      </c>
      <c r="J56" s="86">
        <f t="shared" si="7"/>
        <v>12.184143067003106</v>
      </c>
      <c r="K56">
        <v>190.09815979003901</v>
      </c>
      <c r="L56" s="86">
        <f t="shared" si="8"/>
        <v>15.640258789005657</v>
      </c>
      <c r="M56">
        <v>216.98287963867199</v>
      </c>
      <c r="N56" s="86">
        <f t="shared" si="9"/>
        <v>15.563964844005795</v>
      </c>
      <c r="O56">
        <v>1478.57202148438</v>
      </c>
      <c r="P56" s="40">
        <f t="shared" si="0"/>
        <v>111.20605467999667</v>
      </c>
      <c r="Q56">
        <v>1126.349609375</v>
      </c>
      <c r="R56" s="40">
        <f t="shared" si="1"/>
        <v>0.73242188000222086</v>
      </c>
      <c r="S56">
        <v>2754.1337890625</v>
      </c>
      <c r="T56" s="40">
        <f t="shared" si="2"/>
        <v>53.955078130002221</v>
      </c>
      <c r="U56">
        <v>33.719673156738303</v>
      </c>
      <c r="V56" s="33">
        <f t="shared" si="10"/>
        <v>3.3378601074005587</v>
      </c>
      <c r="W56">
        <v>225.83851623535199</v>
      </c>
      <c r="X56" s="90">
        <f t="shared" si="11"/>
        <v>14.175415039005657</v>
      </c>
    </row>
    <row r="57" spans="1:24" x14ac:dyDescent="0.25">
      <c r="A57" s="8">
        <v>42432.25</v>
      </c>
      <c r="B57" s="40">
        <f t="shared" si="3"/>
        <v>6</v>
      </c>
      <c r="C57" s="87">
        <v>55.432659149169901</v>
      </c>
      <c r="D57" s="85">
        <f t="shared" si="4"/>
        <v>0</v>
      </c>
      <c r="E57">
        <v>81.385848999023395</v>
      </c>
      <c r="F57" s="85">
        <f t="shared" si="5"/>
        <v>0</v>
      </c>
      <c r="G57">
        <v>166.03190612793</v>
      </c>
      <c r="H57" s="86">
        <f t="shared" si="6"/>
        <v>13.778686523011174</v>
      </c>
      <c r="I57">
        <v>125.97721862793</v>
      </c>
      <c r="J57" s="86">
        <f t="shared" si="7"/>
        <v>12.184143065994135</v>
      </c>
      <c r="K57">
        <v>190.11380004882801</v>
      </c>
      <c r="L57" s="86">
        <f t="shared" si="8"/>
        <v>15.518188476988826</v>
      </c>
      <c r="M57">
        <v>216.99844360351599</v>
      </c>
      <c r="N57" s="86">
        <f t="shared" si="9"/>
        <v>15.472412109005518</v>
      </c>
      <c r="O57">
        <v>1478.68322753906</v>
      </c>
      <c r="P57" s="40">
        <f t="shared" si="0"/>
        <v>109.13085938000222</v>
      </c>
      <c r="Q57">
        <v>1126.35034179688</v>
      </c>
      <c r="R57" s="40">
        <f t="shared" si="1"/>
        <v>0.85449217999666871</v>
      </c>
      <c r="S57">
        <v>2754.18774414063</v>
      </c>
      <c r="T57" s="40">
        <f t="shared" si="2"/>
        <v>0.9765625</v>
      </c>
      <c r="U57">
        <v>33.723011016845703</v>
      </c>
      <c r="V57" s="33">
        <f t="shared" si="10"/>
        <v>3.2386779784943087</v>
      </c>
      <c r="W57">
        <v>225.85269165039099</v>
      </c>
      <c r="X57" s="90">
        <f t="shared" si="11"/>
        <v>13.946533203011313</v>
      </c>
    </row>
    <row r="58" spans="1:24" x14ac:dyDescent="0.25">
      <c r="A58" s="8">
        <v>42432.291666666664</v>
      </c>
      <c r="B58" s="40">
        <f t="shared" si="3"/>
        <v>7</v>
      </c>
      <c r="C58" s="87">
        <v>55.432659149169901</v>
      </c>
      <c r="D58" s="85">
        <f t="shared" si="4"/>
        <v>0</v>
      </c>
      <c r="E58">
        <v>81.385848999023395</v>
      </c>
      <c r="F58" s="85">
        <f t="shared" si="5"/>
        <v>0</v>
      </c>
      <c r="G58">
        <v>166.04568481445301</v>
      </c>
      <c r="H58" s="86">
        <f t="shared" si="6"/>
        <v>13.854980468977374</v>
      </c>
      <c r="I58">
        <v>125.98940277099599</v>
      </c>
      <c r="J58" s="86">
        <f t="shared" si="7"/>
        <v>12.237548828011313</v>
      </c>
      <c r="K58">
        <v>190.129318237305</v>
      </c>
      <c r="L58" s="86">
        <f t="shared" si="8"/>
        <v>15.686035155994205</v>
      </c>
      <c r="M58">
        <v>217.013916015625</v>
      </c>
      <c r="N58" s="86">
        <f t="shared" si="9"/>
        <v>15.640258789005657</v>
      </c>
      <c r="O58">
        <v>1478.79235839844</v>
      </c>
      <c r="P58" s="40">
        <f t="shared" si="0"/>
        <v>110.59570311999778</v>
      </c>
      <c r="Q58">
        <v>1126.35119628906</v>
      </c>
      <c r="R58" s="40">
        <f t="shared" si="1"/>
        <v>0.73242188000222086</v>
      </c>
      <c r="S58">
        <v>2754.18872070313</v>
      </c>
      <c r="T58" s="40">
        <f t="shared" si="2"/>
        <v>0.73242186999777914</v>
      </c>
      <c r="U58">
        <v>33.726249694824197</v>
      </c>
      <c r="V58" s="33">
        <f t="shared" si="10"/>
        <v>3.173828125</v>
      </c>
      <c r="W58">
        <v>225.86663818359401</v>
      </c>
      <c r="X58" s="90">
        <f t="shared" si="11"/>
        <v>14.236450194999861</v>
      </c>
    </row>
    <row r="59" spans="1:24" x14ac:dyDescent="0.25">
      <c r="A59" s="8">
        <v>42432.333333333336</v>
      </c>
      <c r="B59" s="40">
        <f t="shared" si="3"/>
        <v>8</v>
      </c>
      <c r="C59" s="87">
        <v>55.432659149169901</v>
      </c>
      <c r="D59" s="85">
        <f t="shared" si="4"/>
        <v>0</v>
      </c>
      <c r="E59">
        <v>81.385848999023395</v>
      </c>
      <c r="F59" s="85">
        <f t="shared" si="5"/>
        <v>3.2272338868040151</v>
      </c>
      <c r="G59">
        <v>166.05953979492199</v>
      </c>
      <c r="H59" s="86">
        <f t="shared" si="6"/>
        <v>13.793945312016831</v>
      </c>
      <c r="I59">
        <v>126.00164031982401</v>
      </c>
      <c r="J59" s="86">
        <f t="shared" si="7"/>
        <v>11.978149413991446</v>
      </c>
      <c r="K59">
        <v>190.14500427246099</v>
      </c>
      <c r="L59" s="86">
        <f t="shared" si="8"/>
        <v>15.640258789005657</v>
      </c>
      <c r="M59">
        <v>217.02955627441401</v>
      </c>
      <c r="N59" s="86">
        <f t="shared" si="9"/>
        <v>15.57922363298303</v>
      </c>
      <c r="O59">
        <v>1478.90295410156</v>
      </c>
      <c r="P59" s="40">
        <f t="shared" si="0"/>
        <v>110.3515625</v>
      </c>
      <c r="Q59">
        <v>1126.35192871094</v>
      </c>
      <c r="R59" s="40">
        <f t="shared" si="1"/>
        <v>0.85449219000111043</v>
      </c>
      <c r="S59">
        <v>2754.189453125</v>
      </c>
      <c r="T59" s="40">
        <f t="shared" si="2"/>
        <v>62.98828125</v>
      </c>
      <c r="U59">
        <v>33.729423522949197</v>
      </c>
      <c r="V59" s="33">
        <f t="shared" si="10"/>
        <v>3.2157897949005587</v>
      </c>
      <c r="W59">
        <v>225.88087463378901</v>
      </c>
      <c r="X59" s="90">
        <f t="shared" si="11"/>
        <v>14.129638671988687</v>
      </c>
    </row>
    <row r="60" spans="1:24" x14ac:dyDescent="0.25">
      <c r="A60" s="8">
        <v>42432.375</v>
      </c>
      <c r="B60" s="40">
        <f t="shared" si="3"/>
        <v>9</v>
      </c>
      <c r="C60" s="87">
        <v>55.432659149169901</v>
      </c>
      <c r="D60" s="85">
        <f t="shared" si="4"/>
        <v>1.1444091796875E-2</v>
      </c>
      <c r="E60">
        <v>81.389076232910199</v>
      </c>
      <c r="F60" s="85">
        <f t="shared" si="5"/>
        <v>5.4550170898011174</v>
      </c>
      <c r="G60">
        <v>166.07333374023401</v>
      </c>
      <c r="H60" s="86">
        <f t="shared" si="6"/>
        <v>13.786315917997172</v>
      </c>
      <c r="I60">
        <v>126.013618469238</v>
      </c>
      <c r="J60" s="86">
        <f t="shared" si="7"/>
        <v>12.161254882997241</v>
      </c>
      <c r="K60">
        <v>190.16064453125</v>
      </c>
      <c r="L60" s="86">
        <f t="shared" si="8"/>
        <v>15.640258789005657</v>
      </c>
      <c r="M60">
        <v>217.04513549804699</v>
      </c>
      <c r="N60" s="86">
        <f t="shared" si="9"/>
        <v>15.594482422017109</v>
      </c>
      <c r="O60">
        <v>1479.01330566406</v>
      </c>
      <c r="P60" s="40">
        <f t="shared" si="0"/>
        <v>109.25292969000111</v>
      </c>
      <c r="Q60">
        <v>1126.35278320313</v>
      </c>
      <c r="R60" s="40">
        <f t="shared" si="1"/>
        <v>0.85449217999666871</v>
      </c>
      <c r="S60">
        <v>2754.25244140625</v>
      </c>
      <c r="T60" s="40">
        <f t="shared" si="2"/>
        <v>111.328125</v>
      </c>
      <c r="U60">
        <v>33.732639312744098</v>
      </c>
      <c r="V60" s="33">
        <f t="shared" si="10"/>
        <v>3.2119750976988826</v>
      </c>
      <c r="W60">
        <v>225.89500427246099</v>
      </c>
      <c r="X60" s="90">
        <f t="shared" si="11"/>
        <v>14.282226562016831</v>
      </c>
    </row>
    <row r="61" spans="1:24" x14ac:dyDescent="0.25">
      <c r="A61" s="8">
        <v>42432.416666666664</v>
      </c>
      <c r="B61" s="40">
        <f t="shared" si="3"/>
        <v>10</v>
      </c>
      <c r="C61" s="87">
        <v>55.432670593261697</v>
      </c>
      <c r="D61" s="85">
        <f t="shared" si="4"/>
        <v>0</v>
      </c>
      <c r="E61">
        <v>81.39453125</v>
      </c>
      <c r="F61" s="85">
        <f t="shared" si="5"/>
        <v>2.8228759766051326</v>
      </c>
      <c r="G61">
        <f>+G60+(G62-G60)/2</f>
        <v>166.087120056152</v>
      </c>
      <c r="H61" s="86">
        <f t="shared" si="6"/>
        <v>13.786315917997172</v>
      </c>
      <c r="I61">
        <v>126.02577972412099</v>
      </c>
      <c r="J61" s="86">
        <f t="shared" si="7"/>
        <v>12.268066406008415</v>
      </c>
      <c r="K61">
        <v>190.17628479003901</v>
      </c>
      <c r="L61" s="86">
        <f t="shared" si="8"/>
        <v>15.670776366988548</v>
      </c>
      <c r="M61">
        <v>217.06072998046901</v>
      </c>
      <c r="N61" s="86">
        <f t="shared" si="9"/>
        <v>15.319824219005795</v>
      </c>
      <c r="O61">
        <v>1479.12255859375</v>
      </c>
      <c r="P61" s="40">
        <f t="shared" si="0"/>
        <v>110.59570313000222</v>
      </c>
      <c r="Q61">
        <v>1126.35363769531</v>
      </c>
      <c r="R61" s="40">
        <f t="shared" si="1"/>
        <v>0.732421875</v>
      </c>
      <c r="S61">
        <v>2754.36376953125</v>
      </c>
      <c r="T61" s="40">
        <f t="shared" si="2"/>
        <v>52.978515630002221</v>
      </c>
      <c r="U61">
        <v>33.735851287841797</v>
      </c>
      <c r="V61" s="33">
        <f t="shared" si="10"/>
        <v>3.3416748047017109</v>
      </c>
      <c r="W61">
        <v>225.90928649902301</v>
      </c>
      <c r="X61" s="90">
        <f t="shared" si="11"/>
        <v>14.297485351988826</v>
      </c>
    </row>
    <row r="62" spans="1:24" x14ac:dyDescent="0.25">
      <c r="A62" s="8">
        <v>42432.458333333336</v>
      </c>
      <c r="B62" s="40">
        <f t="shared" si="3"/>
        <v>11</v>
      </c>
      <c r="C62" s="87">
        <v>55.432670593261697</v>
      </c>
      <c r="D62" s="85">
        <f t="shared" si="4"/>
        <v>0</v>
      </c>
      <c r="E62">
        <v>81.397354125976605</v>
      </c>
      <c r="F62" s="85">
        <f t="shared" si="5"/>
        <v>0</v>
      </c>
      <c r="G62">
        <v>166.10090637207</v>
      </c>
      <c r="H62" s="86">
        <f t="shared" si="6"/>
        <v>13.900756835994343</v>
      </c>
      <c r="I62">
        <v>126.038047790527</v>
      </c>
      <c r="J62" s="86">
        <f t="shared" si="7"/>
        <v>12.168884277997449</v>
      </c>
      <c r="K62">
        <v>190.19195556640599</v>
      </c>
      <c r="L62" s="86">
        <f t="shared" si="8"/>
        <v>15.548706055000139</v>
      </c>
      <c r="M62">
        <v>217.07604980468801</v>
      </c>
      <c r="N62" s="86">
        <f t="shared" si="9"/>
        <v>15.792846678976957</v>
      </c>
      <c r="O62">
        <v>1479.23315429688</v>
      </c>
      <c r="P62" s="40">
        <f t="shared" si="0"/>
        <v>110.22949217999667</v>
      </c>
      <c r="Q62">
        <f>+Q61+(Q63-Q61)/2</f>
        <v>1126.354370117185</v>
      </c>
      <c r="R62" s="40">
        <f t="shared" si="1"/>
        <v>0.732421875</v>
      </c>
      <c r="S62">
        <v>2754.41674804688</v>
      </c>
      <c r="T62" s="40">
        <f t="shared" si="2"/>
        <v>0.48828125</v>
      </c>
      <c r="U62">
        <v>33.739192962646499</v>
      </c>
      <c r="V62" s="33">
        <f t="shared" si="10"/>
        <v>3.3378601074005587</v>
      </c>
      <c r="W62">
        <v>225.923583984375</v>
      </c>
      <c r="X62" s="90">
        <f t="shared" si="11"/>
        <v>14.343261719005795</v>
      </c>
    </row>
    <row r="63" spans="1:24" x14ac:dyDescent="0.25">
      <c r="A63" s="8">
        <v>42432.5</v>
      </c>
      <c r="B63" s="40">
        <f t="shared" si="3"/>
        <v>12</v>
      </c>
      <c r="C63" s="87">
        <v>55.432670593261697</v>
      </c>
      <c r="D63" s="85">
        <f t="shared" si="4"/>
        <v>0</v>
      </c>
      <c r="E63">
        <v>81.397354125976605</v>
      </c>
      <c r="F63" s="85">
        <f t="shared" si="5"/>
        <v>4.8370361327982891</v>
      </c>
      <c r="G63">
        <v>166.11480712890599</v>
      </c>
      <c r="H63" s="86">
        <f t="shared" si="6"/>
        <v>13.824462890994482</v>
      </c>
      <c r="I63">
        <v>126.050216674805</v>
      </c>
      <c r="J63" s="86">
        <f t="shared" si="7"/>
        <v>12.184143065994135</v>
      </c>
      <c r="K63">
        <v>190.20750427246099</v>
      </c>
      <c r="L63" s="86">
        <f t="shared" si="8"/>
        <v>15.548706055000139</v>
      </c>
      <c r="M63">
        <v>217.09184265136699</v>
      </c>
      <c r="N63" s="86">
        <f t="shared" si="9"/>
        <v>15.365600586022765</v>
      </c>
      <c r="O63">
        <v>1479.34338378906</v>
      </c>
      <c r="P63" s="40">
        <f t="shared" si="0"/>
        <v>109.74121094000111</v>
      </c>
      <c r="Q63">
        <v>1126.35510253906</v>
      </c>
      <c r="R63" s="40">
        <f t="shared" si="1"/>
        <v>0.73242188000222086</v>
      </c>
      <c r="S63">
        <v>2754.41723632813</v>
      </c>
      <c r="T63" s="40">
        <f t="shared" si="2"/>
        <v>97.16796875</v>
      </c>
      <c r="U63">
        <v>33.742530822753899</v>
      </c>
      <c r="V63" s="33">
        <f t="shared" si="10"/>
        <v>3.2386779785014141</v>
      </c>
      <c r="W63">
        <v>225.93792724609401</v>
      </c>
      <c r="X63" s="90">
        <f t="shared" si="11"/>
        <v>14.282226561988409</v>
      </c>
    </row>
    <row r="64" spans="1:24" x14ac:dyDescent="0.25">
      <c r="A64" s="8">
        <v>42432.541666666664</v>
      </c>
      <c r="B64" s="40">
        <f t="shared" si="3"/>
        <v>13</v>
      </c>
      <c r="C64" s="87">
        <v>55.432670593261697</v>
      </c>
      <c r="D64" s="85">
        <f t="shared" si="4"/>
        <v>0</v>
      </c>
      <c r="E64">
        <v>81.402191162109403</v>
      </c>
      <c r="F64" s="85">
        <f t="shared" si="5"/>
        <v>5.5999755858948674</v>
      </c>
      <c r="G64">
        <v>166.12863159179699</v>
      </c>
      <c r="H64" s="86">
        <f t="shared" si="6"/>
        <v>13.885498047017109</v>
      </c>
      <c r="I64">
        <v>126.06240081787099</v>
      </c>
      <c r="J64" s="86">
        <f t="shared" si="7"/>
        <v>12.161254883011452</v>
      </c>
      <c r="K64">
        <v>190.22305297851599</v>
      </c>
      <c r="L64" s="86">
        <f t="shared" si="8"/>
        <v>15.640258789005657</v>
      </c>
      <c r="M64">
        <v>217.10720825195301</v>
      </c>
      <c r="N64" s="86">
        <f t="shared" si="9"/>
        <v>15.640258788977235</v>
      </c>
      <c r="O64">
        <v>1479.453125</v>
      </c>
      <c r="P64" s="40">
        <f t="shared" si="0"/>
        <v>110.47363280999889</v>
      </c>
      <c r="Q64">
        <v>1126.35583496094</v>
      </c>
      <c r="R64" s="40">
        <f t="shared" si="1"/>
        <v>0.85449219000111043</v>
      </c>
      <c r="S64">
        <v>2754.51440429688</v>
      </c>
      <c r="T64" s="40">
        <f t="shared" si="2"/>
        <v>117.43164061999778</v>
      </c>
      <c r="U64">
        <v>33.745769500732401</v>
      </c>
      <c r="V64" s="33">
        <f t="shared" si="10"/>
        <v>3.3187866211008554</v>
      </c>
      <c r="W64">
        <v>225.95220947265599</v>
      </c>
      <c r="X64" s="90">
        <f t="shared" si="11"/>
        <v>14.312744140994482</v>
      </c>
    </row>
    <row r="65" spans="1:24" x14ac:dyDescent="0.25">
      <c r="A65" s="8">
        <v>42432.583333333336</v>
      </c>
      <c r="B65" s="40">
        <f t="shared" si="3"/>
        <v>14</v>
      </c>
      <c r="C65" s="87">
        <v>55.432670593261697</v>
      </c>
      <c r="D65" s="85">
        <f t="shared" si="4"/>
        <v>0</v>
      </c>
      <c r="E65">
        <v>81.407791137695298</v>
      </c>
      <c r="F65" s="85">
        <f t="shared" si="5"/>
        <v>3.5400390625</v>
      </c>
      <c r="G65">
        <v>166.14251708984401</v>
      </c>
      <c r="H65" s="86">
        <f t="shared" si="6"/>
        <v>13.62609863298303</v>
      </c>
      <c r="I65">
        <v>126.07456207275401</v>
      </c>
      <c r="J65" s="86">
        <f t="shared" si="7"/>
        <v>12.138366698991376</v>
      </c>
      <c r="K65">
        <v>190.238693237305</v>
      </c>
      <c r="L65" s="86">
        <f t="shared" si="8"/>
        <v>15.625</v>
      </c>
      <c r="M65">
        <v>217.12284851074199</v>
      </c>
      <c r="N65" s="86">
        <f t="shared" si="9"/>
        <v>15.579223633011452</v>
      </c>
      <c r="O65">
        <v>1479.56359863281</v>
      </c>
      <c r="P65" s="40">
        <f t="shared" si="0"/>
        <v>109.86328125</v>
      </c>
      <c r="Q65">
        <v>1126.35668945313</v>
      </c>
      <c r="R65" s="40">
        <f t="shared" si="1"/>
        <v>0.9765625</v>
      </c>
      <c r="S65">
        <v>2754.6318359375</v>
      </c>
      <c r="T65" s="40">
        <f t="shared" si="2"/>
        <v>73.73046875</v>
      </c>
      <c r="U65">
        <v>33.749088287353501</v>
      </c>
      <c r="V65" s="33">
        <f t="shared" si="10"/>
        <v>3.3607482910014141</v>
      </c>
      <c r="W65">
        <v>225.96652221679699</v>
      </c>
      <c r="X65" s="90">
        <f t="shared" si="11"/>
        <v>14.328002930000139</v>
      </c>
    </row>
    <row r="66" spans="1:24" x14ac:dyDescent="0.25">
      <c r="A66" s="8">
        <v>42432.625</v>
      </c>
      <c r="B66" s="40">
        <f t="shared" si="3"/>
        <v>15</v>
      </c>
      <c r="C66" s="87">
        <v>55.432670593261697</v>
      </c>
      <c r="D66" s="85">
        <f t="shared" si="4"/>
        <v>0</v>
      </c>
      <c r="E66">
        <v>81.411331176757798</v>
      </c>
      <c r="F66" s="85">
        <f t="shared" si="5"/>
        <v>0</v>
      </c>
      <c r="G66">
        <v>166.15614318847699</v>
      </c>
      <c r="H66" s="86">
        <f t="shared" si="6"/>
        <v>14.007568359005518</v>
      </c>
      <c r="I66">
        <v>126.086700439453</v>
      </c>
      <c r="J66" s="86">
        <f t="shared" si="7"/>
        <v>12.20703125</v>
      </c>
      <c r="K66">
        <v>190.254318237305</v>
      </c>
      <c r="L66" s="86">
        <f t="shared" si="8"/>
        <v>15.625</v>
      </c>
      <c r="M66">
        <v>217.138427734375</v>
      </c>
      <c r="N66" s="86">
        <f t="shared" si="9"/>
        <v>15.579223633011452</v>
      </c>
      <c r="O66">
        <v>1479.67346191406</v>
      </c>
      <c r="P66" s="40">
        <f t="shared" si="0"/>
        <v>108.88671875</v>
      </c>
      <c r="Q66">
        <v>1126.35766601563</v>
      </c>
      <c r="R66" s="40">
        <f t="shared" si="1"/>
        <v>0.73242186999777914</v>
      </c>
      <c r="S66">
        <v>2754.70556640625</v>
      </c>
      <c r="T66" s="40">
        <f t="shared" si="2"/>
        <v>0.9765625</v>
      </c>
      <c r="U66">
        <v>33.752449035644503</v>
      </c>
      <c r="V66" s="33">
        <f t="shared" si="10"/>
        <v>3.3111572265980271</v>
      </c>
      <c r="W66">
        <v>225.98085021972699</v>
      </c>
      <c r="X66" s="90">
        <f t="shared" si="11"/>
        <v>14.282226562016831</v>
      </c>
    </row>
    <row r="67" spans="1:24" x14ac:dyDescent="0.25">
      <c r="A67" s="8">
        <v>42432.666666666664</v>
      </c>
      <c r="B67" s="40">
        <f t="shared" si="3"/>
        <v>16</v>
      </c>
      <c r="C67" s="87">
        <v>55.432670593261697</v>
      </c>
      <c r="D67" s="85">
        <f t="shared" si="4"/>
        <v>0</v>
      </c>
      <c r="E67">
        <v>81.411331176757798</v>
      </c>
      <c r="F67" s="85">
        <f t="shared" si="5"/>
        <v>0</v>
      </c>
      <c r="G67">
        <v>166.17015075683599</v>
      </c>
      <c r="H67" s="86">
        <f t="shared" si="6"/>
        <v>13.900756835994343</v>
      </c>
      <c r="I67">
        <v>126.098907470703</v>
      </c>
      <c r="J67" s="86">
        <f t="shared" si="7"/>
        <v>12.229919434005865</v>
      </c>
      <c r="K67">
        <v>190.269943237305</v>
      </c>
      <c r="L67" s="86">
        <f t="shared" si="8"/>
        <v>15.548706054005379</v>
      </c>
      <c r="M67">
        <v>217.15400695800801</v>
      </c>
      <c r="N67" s="86">
        <f t="shared" si="9"/>
        <v>15.502929686988409</v>
      </c>
      <c r="O67">
        <v>1479.78234863281</v>
      </c>
      <c r="P67" s="40">
        <f t="shared" ref="P67:P130" si="15">+(O68-O67)*1000</f>
        <v>109.00878907000333</v>
      </c>
      <c r="Q67">
        <v>1126.3583984375</v>
      </c>
      <c r="R67" s="40">
        <f t="shared" ref="R67:R130" si="16">+(Q68-Q67)*1000</f>
        <v>0.73242188000222086</v>
      </c>
      <c r="S67">
        <v>2754.70654296875</v>
      </c>
      <c r="T67" s="40">
        <f t="shared" ref="T67:T130" si="17">+(S68-S67)*1000</f>
        <v>0.73242188000222086</v>
      </c>
      <c r="U67">
        <v>33.755760192871101</v>
      </c>
      <c r="V67" s="33">
        <f t="shared" si="10"/>
        <v>3.2997131348011521</v>
      </c>
      <c r="W67">
        <v>225.99513244628901</v>
      </c>
      <c r="X67" s="90">
        <f t="shared" si="11"/>
        <v>14.053344726988826</v>
      </c>
    </row>
    <row r="68" spans="1:24" x14ac:dyDescent="0.25">
      <c r="A68" s="8">
        <v>42432.708333333336</v>
      </c>
      <c r="B68" s="40">
        <f t="shared" ref="B68:B131" si="18">+HOUR(A68)</f>
        <v>17</v>
      </c>
      <c r="C68" s="87">
        <v>55.432670593261697</v>
      </c>
      <c r="D68" s="85">
        <f t="shared" ref="D68:D131" si="19">+(C69-C68)*1000</f>
        <v>2.3193359375</v>
      </c>
      <c r="E68">
        <v>81.411331176757798</v>
      </c>
      <c r="F68" s="85">
        <f t="shared" ref="F68:F131" si="20">+(E69-E68)*1000</f>
        <v>0</v>
      </c>
      <c r="G68">
        <v>166.18405151367199</v>
      </c>
      <c r="H68" s="86">
        <f t="shared" ref="H68:H131" si="21">+(G69-G68)*1000</f>
        <v>13.870239258011452</v>
      </c>
      <c r="I68">
        <v>126.111137390137</v>
      </c>
      <c r="J68" s="86">
        <f t="shared" ref="J68:J131" si="22">+(I69-I68)*1000</f>
        <v>12.214660643991238</v>
      </c>
      <c r="K68">
        <v>190.28549194335901</v>
      </c>
      <c r="L68" s="86">
        <f t="shared" ref="L68:L131" si="23">+(K69-K68)*1000</f>
        <v>15.640258789005657</v>
      </c>
      <c r="M68">
        <v>217.169509887695</v>
      </c>
      <c r="N68" s="86">
        <f t="shared" ref="N68:N131" si="24">+(M69-M68)*1000</f>
        <v>15.579223633011452</v>
      </c>
      <c r="O68">
        <v>1479.89135742188</v>
      </c>
      <c r="P68" s="40">
        <f t="shared" si="15"/>
        <v>109.13085936999778</v>
      </c>
      <c r="Q68">
        <v>1126.35913085938</v>
      </c>
      <c r="R68" s="40">
        <f t="shared" si="16"/>
        <v>48.46191405999889</v>
      </c>
      <c r="S68">
        <v>2754.70727539063</v>
      </c>
      <c r="T68" s="40">
        <f t="shared" si="17"/>
        <v>0.48828125</v>
      </c>
      <c r="U68">
        <v>33.759059906005902</v>
      </c>
      <c r="V68" s="33">
        <f t="shared" ref="V68:V131" si="25">+(U69-U68)*1000</f>
        <v>3.1890869139985512</v>
      </c>
      <c r="W68">
        <v>226.00918579101599</v>
      </c>
      <c r="X68" s="90">
        <f t="shared" ref="X68:X131" si="26">+(W69-W68)*1000</f>
        <v>14.312744139999722</v>
      </c>
    </row>
    <row r="69" spans="1:24" x14ac:dyDescent="0.25">
      <c r="A69" s="8">
        <v>42432.75</v>
      </c>
      <c r="B69" s="40">
        <f t="shared" si="18"/>
        <v>18</v>
      </c>
      <c r="C69" s="87">
        <v>55.434989929199197</v>
      </c>
      <c r="D69" s="85">
        <f t="shared" si="19"/>
        <v>5.4016113281036837</v>
      </c>
      <c r="E69">
        <v>81.411331176757798</v>
      </c>
      <c r="F69" s="85">
        <f t="shared" si="20"/>
        <v>0</v>
      </c>
      <c r="G69">
        <v>166.19792175293</v>
      </c>
      <c r="H69" s="86">
        <f t="shared" si="21"/>
        <v>13.778686523011174</v>
      </c>
      <c r="I69">
        <v>126.12335205078099</v>
      </c>
      <c r="J69" s="86">
        <f t="shared" si="22"/>
        <v>12.145996094005795</v>
      </c>
      <c r="K69">
        <v>190.30113220214801</v>
      </c>
      <c r="L69" s="86">
        <f t="shared" si="23"/>
        <v>15.640258790000416</v>
      </c>
      <c r="M69">
        <v>217.18508911132801</v>
      </c>
      <c r="N69" s="86">
        <f t="shared" si="24"/>
        <v>15.625</v>
      </c>
      <c r="O69">
        <v>1480.00048828125</v>
      </c>
      <c r="P69" s="40">
        <f t="shared" si="15"/>
        <v>109.13085938000222</v>
      </c>
      <c r="Q69">
        <v>1126.40759277344</v>
      </c>
      <c r="R69" s="40">
        <f t="shared" si="16"/>
        <v>125</v>
      </c>
      <c r="S69">
        <v>2754.70776367188</v>
      </c>
      <c r="T69" s="40">
        <f t="shared" si="17"/>
        <v>0.73242186999777914</v>
      </c>
      <c r="U69">
        <v>33.762248992919901</v>
      </c>
      <c r="V69" s="33">
        <f t="shared" si="25"/>
        <v>3.2806396485014488</v>
      </c>
      <c r="W69">
        <v>226.02349853515599</v>
      </c>
      <c r="X69" s="90">
        <f t="shared" si="26"/>
        <v>14.297485352017247</v>
      </c>
    </row>
    <row r="70" spans="1:24" x14ac:dyDescent="0.25">
      <c r="A70" s="8">
        <v>42432.791666666664</v>
      </c>
      <c r="B70" s="40">
        <f t="shared" si="18"/>
        <v>19</v>
      </c>
      <c r="C70" s="87">
        <v>55.440391540527301</v>
      </c>
      <c r="D70" s="85">
        <f t="shared" si="19"/>
        <v>5.3253173828977651</v>
      </c>
      <c r="E70">
        <v>81.411331176757798</v>
      </c>
      <c r="F70" s="85">
        <f t="shared" si="20"/>
        <v>0</v>
      </c>
      <c r="G70">
        <v>166.21170043945301</v>
      </c>
      <c r="H70" s="86">
        <f t="shared" si="21"/>
        <v>13.641357421988687</v>
      </c>
      <c r="I70">
        <v>126.135498046875</v>
      </c>
      <c r="J70" s="86">
        <f t="shared" si="22"/>
        <v>11.993408202997102</v>
      </c>
      <c r="K70">
        <v>190.31677246093801</v>
      </c>
      <c r="L70" s="86">
        <f t="shared" si="23"/>
        <v>15.365600584999584</v>
      </c>
      <c r="M70">
        <v>217.20071411132801</v>
      </c>
      <c r="N70" s="86">
        <f t="shared" si="24"/>
        <v>15.518188476988826</v>
      </c>
      <c r="O70">
        <v>1480.10961914063</v>
      </c>
      <c r="P70" s="40">
        <f t="shared" si="15"/>
        <v>108.15429686999778</v>
      </c>
      <c r="Q70">
        <v>1126.53259277344</v>
      </c>
      <c r="R70" s="40">
        <f t="shared" si="16"/>
        <v>122.31445311999778</v>
      </c>
      <c r="S70">
        <v>2754.70849609375</v>
      </c>
      <c r="T70" s="40">
        <f t="shared" si="17"/>
        <v>0.9765625</v>
      </c>
      <c r="U70">
        <v>33.765529632568402</v>
      </c>
      <c r="V70" s="33">
        <f t="shared" si="25"/>
        <v>3.1814575194957229</v>
      </c>
      <c r="W70">
        <v>226.03779602050801</v>
      </c>
      <c r="X70" s="90">
        <f t="shared" si="26"/>
        <v>14.297485350994066</v>
      </c>
    </row>
    <row r="71" spans="1:24" x14ac:dyDescent="0.25">
      <c r="A71" s="8">
        <v>42432.833333333336</v>
      </c>
      <c r="B71" s="40">
        <f t="shared" si="18"/>
        <v>20</v>
      </c>
      <c r="C71" s="87">
        <v>55.445716857910199</v>
      </c>
      <c r="D71" s="85">
        <f t="shared" si="19"/>
        <v>5.2719116211008554</v>
      </c>
      <c r="E71">
        <v>81.411331176757798</v>
      </c>
      <c r="F71" s="85">
        <f t="shared" si="20"/>
        <v>0</v>
      </c>
      <c r="G71">
        <v>166.225341796875</v>
      </c>
      <c r="H71" s="86">
        <f t="shared" si="21"/>
        <v>13.839721680000139</v>
      </c>
      <c r="I71">
        <v>126.147491455078</v>
      </c>
      <c r="J71" s="86">
        <f t="shared" si="22"/>
        <v>12.161254882997241</v>
      </c>
      <c r="K71">
        <v>190.33213806152301</v>
      </c>
      <c r="L71" s="86">
        <f t="shared" si="23"/>
        <v>15.655517578977651</v>
      </c>
      <c r="M71">
        <v>217.216232299805</v>
      </c>
      <c r="N71" s="86">
        <f t="shared" si="24"/>
        <v>15.609741210994343</v>
      </c>
      <c r="O71">
        <v>1480.2177734375</v>
      </c>
      <c r="P71" s="40">
        <f t="shared" si="15"/>
        <v>109.61914063000222</v>
      </c>
      <c r="Q71">
        <v>1126.65490722656</v>
      </c>
      <c r="R71" s="40">
        <f t="shared" si="16"/>
        <v>123.53515625</v>
      </c>
      <c r="S71">
        <v>2754.70947265625</v>
      </c>
      <c r="T71" s="40">
        <f t="shared" si="17"/>
        <v>0.48828125</v>
      </c>
      <c r="U71">
        <v>33.768711090087898</v>
      </c>
      <c r="V71" s="33">
        <f t="shared" si="25"/>
        <v>3.2119750975994066</v>
      </c>
      <c r="W71">
        <v>226.05209350585901</v>
      </c>
      <c r="X71" s="90">
        <f t="shared" si="26"/>
        <v>14.266967774005934</v>
      </c>
    </row>
    <row r="72" spans="1:24" x14ac:dyDescent="0.25">
      <c r="A72" s="8">
        <v>42432.875</v>
      </c>
      <c r="B72" s="40">
        <f t="shared" si="18"/>
        <v>21</v>
      </c>
      <c r="C72" s="87">
        <v>55.4509887695313</v>
      </c>
      <c r="D72" s="85">
        <f t="shared" si="19"/>
        <v>5.3405761717968403</v>
      </c>
      <c r="E72">
        <v>81.411331176757798</v>
      </c>
      <c r="F72" s="85">
        <f t="shared" si="20"/>
        <v>0</v>
      </c>
      <c r="G72">
        <v>166.239181518555</v>
      </c>
      <c r="H72" s="86">
        <f t="shared" si="21"/>
        <v>13.809204100994066</v>
      </c>
      <c r="I72">
        <v>126.15965270996099</v>
      </c>
      <c r="J72" s="86">
        <f t="shared" si="22"/>
        <v>12.176513672002898</v>
      </c>
      <c r="K72">
        <v>190.34779357910199</v>
      </c>
      <c r="L72" s="86">
        <f t="shared" si="23"/>
        <v>15.609741211022765</v>
      </c>
      <c r="M72">
        <v>217.23184204101599</v>
      </c>
      <c r="N72" s="86">
        <f t="shared" si="24"/>
        <v>15.365600585994343</v>
      </c>
      <c r="O72">
        <v>1480.32739257813</v>
      </c>
      <c r="P72" s="40">
        <f t="shared" si="15"/>
        <v>109.25292967999667</v>
      </c>
      <c r="Q72">
        <v>1126.77844238281</v>
      </c>
      <c r="R72" s="40">
        <f t="shared" si="16"/>
        <v>120.23925782000333</v>
      </c>
      <c r="S72">
        <v>2754.7099609375</v>
      </c>
      <c r="T72" s="40">
        <f t="shared" si="17"/>
        <v>0.73242188000222086</v>
      </c>
      <c r="U72">
        <v>33.771923065185497</v>
      </c>
      <c r="V72" s="33">
        <f t="shared" si="25"/>
        <v>3.2386779786008901</v>
      </c>
      <c r="W72">
        <v>226.06636047363301</v>
      </c>
      <c r="X72" s="90">
        <f t="shared" si="26"/>
        <v>14.282226561988409</v>
      </c>
    </row>
    <row r="73" spans="1:24" x14ac:dyDescent="0.25">
      <c r="A73" s="8">
        <v>42432.916666666664</v>
      </c>
      <c r="B73" s="40">
        <f t="shared" si="18"/>
        <v>22</v>
      </c>
      <c r="C73" s="87">
        <v>55.456329345703097</v>
      </c>
      <c r="D73" s="85">
        <f t="shared" si="19"/>
        <v>3.27301025390625</v>
      </c>
      <c r="E73">
        <v>81.411331176757798</v>
      </c>
      <c r="F73" s="85">
        <f t="shared" si="20"/>
        <v>0.96130371100855427</v>
      </c>
      <c r="G73">
        <v>166.25299072265599</v>
      </c>
      <c r="H73" s="86">
        <f t="shared" si="21"/>
        <v>13.854980469005795</v>
      </c>
      <c r="I73">
        <v>126.171829223633</v>
      </c>
      <c r="J73" s="86">
        <f t="shared" si="22"/>
        <v>12.107849121008485</v>
      </c>
      <c r="K73">
        <v>190.36340332031301</v>
      </c>
      <c r="L73" s="86">
        <f t="shared" si="23"/>
        <v>15.640258788977235</v>
      </c>
      <c r="M73">
        <v>217.24720764160199</v>
      </c>
      <c r="N73" s="86">
        <f t="shared" si="24"/>
        <v>15.594482421022349</v>
      </c>
      <c r="O73">
        <v>1480.43664550781</v>
      </c>
      <c r="P73" s="40">
        <f t="shared" si="15"/>
        <v>86.9140625</v>
      </c>
      <c r="Q73">
        <v>1126.89868164063</v>
      </c>
      <c r="R73" s="40">
        <f t="shared" si="16"/>
        <v>62.744140619997779</v>
      </c>
      <c r="S73">
        <v>2754.71069335938</v>
      </c>
      <c r="T73" s="40">
        <f t="shared" si="17"/>
        <v>17.333984369997779</v>
      </c>
      <c r="U73">
        <v>33.775161743164098</v>
      </c>
      <c r="V73" s="33">
        <f t="shared" si="25"/>
        <v>2.5672912597016762</v>
      </c>
      <c r="W73">
        <v>226.080642700195</v>
      </c>
      <c r="X73" s="90">
        <f t="shared" si="26"/>
        <v>13.22937011801173</v>
      </c>
    </row>
    <row r="74" spans="1:24" x14ac:dyDescent="0.25">
      <c r="A74" s="8">
        <v>42432.958333333336</v>
      </c>
      <c r="B74" s="40">
        <f t="shared" si="18"/>
        <v>23</v>
      </c>
      <c r="C74" s="87">
        <v>55.459602355957003</v>
      </c>
      <c r="D74" s="85">
        <f t="shared" si="19"/>
        <v>0</v>
      </c>
      <c r="E74">
        <v>81.412292480468807</v>
      </c>
      <c r="F74" s="85">
        <f t="shared" si="20"/>
        <v>5.538940429588024</v>
      </c>
      <c r="G74">
        <v>166.266845703125</v>
      </c>
      <c r="H74" s="86">
        <f t="shared" si="21"/>
        <v>13.854980469005795</v>
      </c>
      <c r="I74">
        <v>126.18393707275401</v>
      </c>
      <c r="J74" s="86">
        <f t="shared" si="22"/>
        <v>12.107849120994274</v>
      </c>
      <c r="K74">
        <v>190.37904357910199</v>
      </c>
      <c r="L74" s="86">
        <f t="shared" si="23"/>
        <v>15.640258789005657</v>
      </c>
      <c r="M74">
        <v>217.26280212402301</v>
      </c>
      <c r="N74" s="86">
        <f t="shared" si="24"/>
        <v>15.563964843977374</v>
      </c>
      <c r="O74">
        <v>1480.52355957031</v>
      </c>
      <c r="P74" s="40">
        <f t="shared" si="15"/>
        <v>98.14453125</v>
      </c>
      <c r="Q74">
        <v>1126.96142578125</v>
      </c>
      <c r="R74" s="40">
        <f t="shared" si="16"/>
        <v>0.85449219000111043</v>
      </c>
      <c r="S74">
        <v>2754.72802734375</v>
      </c>
      <c r="T74" s="40">
        <f t="shared" si="17"/>
        <v>112.79296875</v>
      </c>
      <c r="U74">
        <v>33.7777290344238</v>
      </c>
      <c r="V74" s="33">
        <f t="shared" si="25"/>
        <v>0.20217895509944128</v>
      </c>
      <c r="W74">
        <v>226.09387207031301</v>
      </c>
      <c r="X74" s="90">
        <f t="shared" si="26"/>
        <v>17.257690428976957</v>
      </c>
    </row>
    <row r="75" spans="1:24" x14ac:dyDescent="0.25">
      <c r="A75" s="8">
        <v>42433</v>
      </c>
      <c r="B75" s="40">
        <f t="shared" si="18"/>
        <v>0</v>
      </c>
      <c r="C75" s="87">
        <v>55.459602355957003</v>
      </c>
      <c r="D75" s="85">
        <f t="shared" si="19"/>
        <v>0</v>
      </c>
      <c r="E75">
        <v>81.417831420898395</v>
      </c>
      <c r="F75" s="85">
        <f t="shared" si="20"/>
        <v>5.5618286133096717</v>
      </c>
      <c r="G75">
        <v>166.28070068359401</v>
      </c>
      <c r="H75" s="86">
        <f t="shared" si="21"/>
        <v>13.717651366988548</v>
      </c>
      <c r="I75">
        <v>126.196044921875</v>
      </c>
      <c r="J75" s="86">
        <f t="shared" si="22"/>
        <v>12.069702147996964</v>
      </c>
      <c r="K75">
        <v>190.39468383789099</v>
      </c>
      <c r="L75" s="86">
        <f t="shared" si="23"/>
        <v>15.67077636701697</v>
      </c>
      <c r="M75">
        <v>217.27836608886699</v>
      </c>
      <c r="N75" s="86">
        <f t="shared" si="24"/>
        <v>15.625</v>
      </c>
      <c r="O75">
        <v>1480.62170410156</v>
      </c>
      <c r="P75" s="40">
        <f t="shared" si="15"/>
        <v>110.47363282000333</v>
      </c>
      <c r="Q75">
        <v>1126.96228027344</v>
      </c>
      <c r="R75" s="40">
        <f t="shared" si="16"/>
        <v>0.73242186999777914</v>
      </c>
      <c r="S75">
        <v>2754.8408203125</v>
      </c>
      <c r="T75" s="40">
        <f t="shared" si="17"/>
        <v>106.93359375</v>
      </c>
      <c r="U75">
        <v>33.777931213378899</v>
      </c>
      <c r="V75" s="33">
        <f t="shared" si="25"/>
        <v>2.3574829101988826</v>
      </c>
      <c r="W75">
        <v>226.11112976074199</v>
      </c>
      <c r="X75" s="90">
        <f t="shared" si="26"/>
        <v>19.638061524005934</v>
      </c>
    </row>
    <row r="76" spans="1:24" x14ac:dyDescent="0.25">
      <c r="A76" s="8">
        <v>42433.041666666664</v>
      </c>
      <c r="B76" s="40">
        <f t="shared" si="18"/>
        <v>1</v>
      </c>
      <c r="C76" s="87">
        <v>55.459602355957003</v>
      </c>
      <c r="D76" s="85">
        <f t="shared" si="19"/>
        <v>0</v>
      </c>
      <c r="E76">
        <v>81.423393249511705</v>
      </c>
      <c r="F76" s="85">
        <f t="shared" si="20"/>
        <v>5.5694580077982891</v>
      </c>
      <c r="G76">
        <v>166.29441833496099</v>
      </c>
      <c r="H76" s="86">
        <f t="shared" si="21"/>
        <v>13.732910155994205</v>
      </c>
      <c r="I76">
        <v>126.208114624023</v>
      </c>
      <c r="J76" s="86">
        <f t="shared" si="22"/>
        <v>12.214660645000208</v>
      </c>
      <c r="K76">
        <v>190.41035461425801</v>
      </c>
      <c r="L76" s="86">
        <f t="shared" si="23"/>
        <v>15.563964843977374</v>
      </c>
      <c r="M76">
        <v>217.29399108886699</v>
      </c>
      <c r="N76" s="86">
        <f t="shared" si="24"/>
        <v>15.457153321023043</v>
      </c>
      <c r="O76">
        <v>1480.73217773438</v>
      </c>
      <c r="P76" s="40">
        <f t="shared" si="15"/>
        <v>111.45019530999889</v>
      </c>
      <c r="Q76">
        <v>1126.96301269531</v>
      </c>
      <c r="R76" s="40">
        <f t="shared" si="16"/>
        <v>0.85449219000111043</v>
      </c>
      <c r="S76">
        <v>2754.94775390625</v>
      </c>
      <c r="T76" s="40">
        <f t="shared" si="17"/>
        <v>104.98046875</v>
      </c>
      <c r="U76">
        <v>33.780288696289098</v>
      </c>
      <c r="V76" s="33">
        <f t="shared" si="25"/>
        <v>3.0708312987997033</v>
      </c>
      <c r="W76">
        <v>226.13076782226599</v>
      </c>
      <c r="X76" s="90">
        <f t="shared" si="26"/>
        <v>19.424438475994066</v>
      </c>
    </row>
    <row r="77" spans="1:24" x14ac:dyDescent="0.25">
      <c r="A77" s="8">
        <v>42433.083333333336</v>
      </c>
      <c r="B77" s="40">
        <f t="shared" si="18"/>
        <v>2</v>
      </c>
      <c r="C77" s="87">
        <v>55.459602355957003</v>
      </c>
      <c r="D77" s="85">
        <f t="shared" si="19"/>
        <v>0</v>
      </c>
      <c r="E77">
        <v>81.428962707519503</v>
      </c>
      <c r="F77" s="85">
        <f t="shared" si="20"/>
        <v>5.5618286132954609</v>
      </c>
      <c r="G77">
        <v>166.30815124511699</v>
      </c>
      <c r="H77" s="86">
        <f t="shared" si="21"/>
        <v>13.763427735000278</v>
      </c>
      <c r="I77">
        <v>126.220329284668</v>
      </c>
      <c r="J77" s="86">
        <f t="shared" si="22"/>
        <v>11.985778809005865</v>
      </c>
      <c r="K77">
        <v>190.42591857910199</v>
      </c>
      <c r="L77" s="86">
        <f t="shared" si="23"/>
        <v>15.441894531022626</v>
      </c>
      <c r="M77">
        <v>217.30944824218801</v>
      </c>
      <c r="N77" s="86">
        <f t="shared" si="24"/>
        <v>15.625</v>
      </c>
      <c r="O77">
        <v>1480.84362792969</v>
      </c>
      <c r="P77" s="40">
        <f t="shared" si="15"/>
        <v>111.57226561999778</v>
      </c>
      <c r="Q77">
        <v>1126.9638671875</v>
      </c>
      <c r="R77" s="40">
        <f t="shared" si="16"/>
        <v>0.85449219000111043</v>
      </c>
      <c r="S77">
        <v>2755.052734375</v>
      </c>
      <c r="T77" s="40">
        <f t="shared" si="17"/>
        <v>103.75976563000222</v>
      </c>
      <c r="U77">
        <v>33.783359527587898</v>
      </c>
      <c r="V77" s="33">
        <f t="shared" si="25"/>
        <v>3.101348876903387</v>
      </c>
      <c r="W77">
        <v>226.15019226074199</v>
      </c>
      <c r="X77" s="90">
        <f t="shared" si="26"/>
        <v>19.210815430000139</v>
      </c>
    </row>
    <row r="78" spans="1:24" x14ac:dyDescent="0.25">
      <c r="A78" s="8">
        <v>42433.125</v>
      </c>
      <c r="B78" s="40">
        <f t="shared" si="18"/>
        <v>3</v>
      </c>
      <c r="C78" s="87">
        <v>55.459602355957003</v>
      </c>
      <c r="D78" s="85">
        <f t="shared" si="19"/>
        <v>0</v>
      </c>
      <c r="E78">
        <v>81.434524536132798</v>
      </c>
      <c r="F78" s="85">
        <f t="shared" si="20"/>
        <v>5.5541992188068434</v>
      </c>
      <c r="G78">
        <v>166.32191467285199</v>
      </c>
      <c r="H78" s="86">
        <f t="shared" si="21"/>
        <v>13.656616211022765</v>
      </c>
      <c r="I78">
        <v>126.232315063477</v>
      </c>
      <c r="J78" s="86">
        <f t="shared" si="22"/>
        <v>12.138366698991376</v>
      </c>
      <c r="K78">
        <v>190.44136047363301</v>
      </c>
      <c r="L78" s="86">
        <f t="shared" si="23"/>
        <v>15.686035155994205</v>
      </c>
      <c r="M78">
        <v>217.32507324218801</v>
      </c>
      <c r="N78" s="86">
        <f t="shared" si="24"/>
        <v>15.640258788977235</v>
      </c>
      <c r="O78">
        <v>1480.95520019531</v>
      </c>
      <c r="P78" s="40">
        <f t="shared" si="15"/>
        <v>111.20605469000111</v>
      </c>
      <c r="Q78">
        <v>1126.96472167969</v>
      </c>
      <c r="R78" s="40">
        <f t="shared" si="16"/>
        <v>0.73242186999777914</v>
      </c>
      <c r="S78">
        <v>2755.15649414063</v>
      </c>
      <c r="T78" s="40">
        <f t="shared" si="17"/>
        <v>12.939453119997779</v>
      </c>
      <c r="U78">
        <v>33.786460876464801</v>
      </c>
      <c r="V78" s="33">
        <f t="shared" si="25"/>
        <v>3.1471252441974684</v>
      </c>
      <c r="W78">
        <v>226.16940307617199</v>
      </c>
      <c r="X78" s="90">
        <f t="shared" si="26"/>
        <v>19.515991211022765</v>
      </c>
    </row>
    <row r="79" spans="1:24" x14ac:dyDescent="0.25">
      <c r="A79" s="8">
        <v>42433.166666666664</v>
      </c>
      <c r="B79" s="40">
        <f t="shared" si="18"/>
        <v>4</v>
      </c>
      <c r="C79" s="87">
        <v>55.459602355957003</v>
      </c>
      <c r="D79" s="85">
        <f t="shared" si="19"/>
        <v>0</v>
      </c>
      <c r="E79">
        <v>81.440078735351605</v>
      </c>
      <c r="F79" s="85">
        <f t="shared" si="20"/>
        <v>5.5694580077982891</v>
      </c>
      <c r="G79">
        <v>166.33557128906301</v>
      </c>
      <c r="H79" s="86">
        <f t="shared" si="21"/>
        <v>13.702392577982891</v>
      </c>
      <c r="I79">
        <v>126.24445343017599</v>
      </c>
      <c r="J79" s="86">
        <f t="shared" si="22"/>
        <v>12.107849121008485</v>
      </c>
      <c r="K79">
        <v>190.45704650878901</v>
      </c>
      <c r="L79" s="86">
        <f t="shared" si="23"/>
        <v>15.640258789005657</v>
      </c>
      <c r="M79">
        <v>217.34071350097699</v>
      </c>
      <c r="N79" s="86">
        <f t="shared" si="24"/>
        <v>15.640258789005657</v>
      </c>
      <c r="O79">
        <v>1481.06640625</v>
      </c>
      <c r="P79" s="40">
        <f t="shared" si="15"/>
        <v>111.328125</v>
      </c>
      <c r="Q79">
        <v>1126.96545410156</v>
      </c>
      <c r="R79" s="40">
        <f t="shared" si="16"/>
        <v>0.85449219000111043</v>
      </c>
      <c r="S79">
        <v>2755.16943359375</v>
      </c>
      <c r="T79" s="40">
        <f t="shared" si="17"/>
        <v>0.73242188000222086</v>
      </c>
      <c r="U79">
        <v>33.789608001708999</v>
      </c>
      <c r="V79" s="33">
        <f t="shared" si="25"/>
        <v>3.1814575195028283</v>
      </c>
      <c r="W79">
        <v>226.18891906738301</v>
      </c>
      <c r="X79" s="90">
        <f t="shared" si="26"/>
        <v>19.638061522982753</v>
      </c>
    </row>
    <row r="80" spans="1:24" x14ac:dyDescent="0.25">
      <c r="A80" s="8">
        <v>42433.208333333336</v>
      </c>
      <c r="B80" s="40">
        <f t="shared" si="18"/>
        <v>5</v>
      </c>
      <c r="C80" s="87">
        <v>55.459602355957003</v>
      </c>
      <c r="D80" s="85">
        <f t="shared" si="19"/>
        <v>0</v>
      </c>
      <c r="E80">
        <v>81.445648193359403</v>
      </c>
      <c r="F80" s="85">
        <f t="shared" si="20"/>
        <v>5.5313110350994066</v>
      </c>
      <c r="G80">
        <v>166.34927368164099</v>
      </c>
      <c r="H80" s="86">
        <f t="shared" si="21"/>
        <v>13.916015625</v>
      </c>
      <c r="I80">
        <v>126.256561279297</v>
      </c>
      <c r="J80" s="86">
        <f t="shared" si="22"/>
        <v>12.115478515994482</v>
      </c>
      <c r="K80">
        <v>190.47268676757801</v>
      </c>
      <c r="L80" s="86">
        <f t="shared" si="23"/>
        <v>15.594482421988687</v>
      </c>
      <c r="M80">
        <v>217.35635375976599</v>
      </c>
      <c r="N80" s="86">
        <f t="shared" si="24"/>
        <v>15.563964843011036</v>
      </c>
      <c r="O80">
        <v>1481.177734375</v>
      </c>
      <c r="P80" s="40">
        <f t="shared" si="15"/>
        <v>110.96191405999889</v>
      </c>
      <c r="Q80">
        <v>1126.96630859375</v>
      </c>
      <c r="R80" s="40">
        <f t="shared" si="16"/>
        <v>0.73242188000222086</v>
      </c>
      <c r="S80">
        <v>2755.17016601563</v>
      </c>
      <c r="T80" s="40">
        <f t="shared" si="17"/>
        <v>0.9765625</v>
      </c>
      <c r="U80">
        <v>33.792789459228501</v>
      </c>
      <c r="V80" s="33">
        <f t="shared" si="25"/>
        <v>3.1509399413991446</v>
      </c>
      <c r="W80">
        <v>226.20855712890599</v>
      </c>
      <c r="X80" s="90">
        <f t="shared" si="26"/>
        <v>19.561767578011313</v>
      </c>
    </row>
    <row r="81" spans="1:24" x14ac:dyDescent="0.25">
      <c r="A81" s="8">
        <v>42433.25</v>
      </c>
      <c r="B81" s="40">
        <f t="shared" si="18"/>
        <v>6</v>
      </c>
      <c r="C81" s="87">
        <v>55.459602355957003</v>
      </c>
      <c r="D81" s="85">
        <f t="shared" si="19"/>
        <v>0</v>
      </c>
      <c r="E81">
        <v>81.451179504394503</v>
      </c>
      <c r="F81" s="85">
        <f t="shared" si="20"/>
        <v>5.5465698243040151</v>
      </c>
      <c r="G81">
        <v>166.36318969726599</v>
      </c>
      <c r="H81" s="86">
        <f t="shared" si="21"/>
        <v>13.793945312016831</v>
      </c>
      <c r="I81">
        <v>126.268676757813</v>
      </c>
      <c r="J81" s="86">
        <f t="shared" si="22"/>
        <v>12.115478514999722</v>
      </c>
      <c r="K81">
        <v>190.48828125</v>
      </c>
      <c r="L81" s="86">
        <f t="shared" si="23"/>
        <v>15.670776366988548</v>
      </c>
      <c r="M81">
        <v>217.37191772460901</v>
      </c>
      <c r="N81" s="86">
        <f t="shared" si="24"/>
        <v>15.670776367983308</v>
      </c>
      <c r="O81">
        <v>1481.28869628906</v>
      </c>
      <c r="P81" s="40">
        <f t="shared" si="15"/>
        <v>109.00878907000333</v>
      </c>
      <c r="Q81">
        <v>1126.96704101563</v>
      </c>
      <c r="R81" s="40">
        <f t="shared" si="16"/>
        <v>0.73242186999777914</v>
      </c>
      <c r="S81">
        <v>2755.17114257813</v>
      </c>
      <c r="T81" s="40">
        <f t="shared" si="17"/>
        <v>77.63671875</v>
      </c>
      <c r="U81">
        <v>33.795940399169901</v>
      </c>
      <c r="V81" s="33">
        <f t="shared" si="25"/>
        <v>3.2501220702982891</v>
      </c>
      <c r="W81">
        <v>226.22811889648401</v>
      </c>
      <c r="X81" s="90">
        <f t="shared" si="26"/>
        <v>19.317626954006073</v>
      </c>
    </row>
    <row r="82" spans="1:24" x14ac:dyDescent="0.25">
      <c r="A82" s="8">
        <v>42433.291666666664</v>
      </c>
      <c r="B82" s="40">
        <f t="shared" si="18"/>
        <v>7</v>
      </c>
      <c r="C82" s="87">
        <v>55.459602355957003</v>
      </c>
      <c r="D82" s="85">
        <f t="shared" si="19"/>
        <v>7.6293945951988462E-3</v>
      </c>
      <c r="E82">
        <v>81.456726074218807</v>
      </c>
      <c r="F82" s="85">
        <f t="shared" si="20"/>
        <v>3.4332275389914457</v>
      </c>
      <c r="G82">
        <v>166.37698364257801</v>
      </c>
      <c r="H82" s="86">
        <f t="shared" si="21"/>
        <v>13.824462890994482</v>
      </c>
      <c r="I82">
        <v>126.280792236328</v>
      </c>
      <c r="J82" s="86">
        <f t="shared" si="22"/>
        <v>12.115478516008693</v>
      </c>
      <c r="K82">
        <v>190.50395202636699</v>
      </c>
      <c r="L82" s="86">
        <f t="shared" si="23"/>
        <v>15.533447266022904</v>
      </c>
      <c r="M82">
        <v>217.38758850097699</v>
      </c>
      <c r="N82" s="86">
        <f t="shared" si="24"/>
        <v>15.609741211022765</v>
      </c>
      <c r="O82">
        <v>1481.39770507813</v>
      </c>
      <c r="P82" s="40">
        <f t="shared" si="15"/>
        <v>112.79296875</v>
      </c>
      <c r="Q82">
        <v>1126.9677734375</v>
      </c>
      <c r="R82" s="40">
        <f t="shared" si="16"/>
        <v>0.73242188000222086</v>
      </c>
      <c r="S82">
        <v>2755.24877929688</v>
      </c>
      <c r="T82" s="40">
        <f t="shared" si="17"/>
        <v>65.185546869997779</v>
      </c>
      <c r="U82">
        <v>33.799190521240199</v>
      </c>
      <c r="V82" s="33">
        <f t="shared" si="25"/>
        <v>3.2691955567045738</v>
      </c>
      <c r="W82">
        <v>226.24743652343801</v>
      </c>
      <c r="X82" s="90">
        <f t="shared" si="26"/>
        <v>19.439697264999722</v>
      </c>
    </row>
    <row r="83" spans="1:24" x14ac:dyDescent="0.25">
      <c r="A83" s="8">
        <v>42433.333333333336</v>
      </c>
      <c r="B83" s="40">
        <f t="shared" si="18"/>
        <v>8</v>
      </c>
      <c r="C83" s="87">
        <v>55.459609985351598</v>
      </c>
      <c r="D83" s="85">
        <f t="shared" si="19"/>
        <v>0</v>
      </c>
      <c r="E83">
        <v>81.460159301757798</v>
      </c>
      <c r="F83" s="85">
        <f t="shared" si="20"/>
        <v>0</v>
      </c>
      <c r="G83">
        <v>166.39080810546901</v>
      </c>
      <c r="H83" s="86">
        <f t="shared" si="21"/>
        <v>13.62609863298303</v>
      </c>
      <c r="I83">
        <v>126.29290771484401</v>
      </c>
      <c r="J83" s="86">
        <f t="shared" si="22"/>
        <v>12.283325194999861</v>
      </c>
      <c r="K83">
        <v>190.51948547363301</v>
      </c>
      <c r="L83" s="86">
        <f t="shared" si="23"/>
        <v>15.701293944999861</v>
      </c>
      <c r="M83">
        <v>217.40319824218801</v>
      </c>
      <c r="N83" s="86">
        <f t="shared" si="24"/>
        <v>15.396118163977235</v>
      </c>
      <c r="O83">
        <v>1481.51049804688</v>
      </c>
      <c r="P83" s="40">
        <f t="shared" si="15"/>
        <v>109.375</v>
      </c>
      <c r="Q83">
        <v>1126.96850585938</v>
      </c>
      <c r="R83" s="40">
        <f t="shared" si="16"/>
        <v>0.73242186999777914</v>
      </c>
      <c r="S83">
        <v>2755.31396484375</v>
      </c>
      <c r="T83" s="40">
        <f t="shared" si="17"/>
        <v>0.9765625</v>
      </c>
      <c r="U83">
        <v>33.802459716796903</v>
      </c>
      <c r="V83" s="33">
        <f t="shared" si="25"/>
        <v>3.3302307128977304</v>
      </c>
      <c r="W83">
        <v>226.26687622070301</v>
      </c>
      <c r="X83" s="90">
        <f t="shared" si="26"/>
        <v>19.439697265994482</v>
      </c>
    </row>
    <row r="84" spans="1:24" x14ac:dyDescent="0.25">
      <c r="A84" s="8">
        <v>42433.375</v>
      </c>
      <c r="B84" s="40">
        <f t="shared" si="18"/>
        <v>9</v>
      </c>
      <c r="C84" s="87">
        <v>55.459609985351598</v>
      </c>
      <c r="D84" s="85">
        <f t="shared" si="19"/>
        <v>0</v>
      </c>
      <c r="E84">
        <v>81.460159301757798</v>
      </c>
      <c r="F84" s="85">
        <f t="shared" si="20"/>
        <v>0</v>
      </c>
      <c r="G84">
        <v>166.40443420410199</v>
      </c>
      <c r="H84" s="86">
        <f t="shared" si="21"/>
        <v>13.931274414005657</v>
      </c>
      <c r="I84">
        <v>126.30519104003901</v>
      </c>
      <c r="J84" s="86">
        <f t="shared" si="22"/>
        <v>12.229919433991654</v>
      </c>
      <c r="K84">
        <v>190.53518676757801</v>
      </c>
      <c r="L84" s="86">
        <f t="shared" si="23"/>
        <v>15.625</v>
      </c>
      <c r="M84">
        <v>217.41859436035199</v>
      </c>
      <c r="N84" s="86">
        <f t="shared" si="24"/>
        <v>15.686035156022626</v>
      </c>
      <c r="O84">
        <v>1481.61987304688</v>
      </c>
      <c r="P84" s="40">
        <f t="shared" si="15"/>
        <v>111.69433592999667</v>
      </c>
      <c r="Q84">
        <v>1126.96923828125</v>
      </c>
      <c r="R84" s="40">
        <f t="shared" si="16"/>
        <v>0.85449219000111043</v>
      </c>
      <c r="S84">
        <v>2755.31494140625</v>
      </c>
      <c r="T84" s="40">
        <f t="shared" si="17"/>
        <v>0.48828125</v>
      </c>
      <c r="U84">
        <v>33.805789947509801</v>
      </c>
      <c r="V84" s="33">
        <f t="shared" si="25"/>
        <v>2.9716491699005587</v>
      </c>
      <c r="W84">
        <v>226.28631591796901</v>
      </c>
      <c r="X84" s="90">
        <f t="shared" si="26"/>
        <v>19.256591796988687</v>
      </c>
    </row>
    <row r="85" spans="1:24" x14ac:dyDescent="0.25">
      <c r="A85" s="8">
        <v>42433.416666666664</v>
      </c>
      <c r="B85" s="40">
        <f t="shared" si="18"/>
        <v>10</v>
      </c>
      <c r="C85" s="87">
        <v>55.459609985351598</v>
      </c>
      <c r="D85" s="85">
        <f t="shared" si="19"/>
        <v>0</v>
      </c>
      <c r="E85">
        <v>81.460159301757798</v>
      </c>
      <c r="F85" s="85">
        <f t="shared" si="20"/>
        <v>0</v>
      </c>
      <c r="G85">
        <v>166.41836547851599</v>
      </c>
      <c r="H85" s="86">
        <f t="shared" si="21"/>
        <v>7.6904296870168309</v>
      </c>
      <c r="I85">
        <v>126.317420959473</v>
      </c>
      <c r="J85" s="86">
        <f t="shared" si="22"/>
        <v>12.428283691008346</v>
      </c>
      <c r="K85">
        <v>190.55081176757801</v>
      </c>
      <c r="L85" s="86">
        <f t="shared" si="23"/>
        <v>8.9111328129831691</v>
      </c>
      <c r="M85">
        <v>217.43428039550801</v>
      </c>
      <c r="N85" s="86">
        <f t="shared" si="24"/>
        <v>11.154174805000139</v>
      </c>
      <c r="O85">
        <v>1481.73156738281</v>
      </c>
      <c r="P85" s="40">
        <f t="shared" si="15"/>
        <v>74.58496094000111</v>
      </c>
      <c r="Q85">
        <v>1126.97009277344</v>
      </c>
      <c r="R85" s="40">
        <f t="shared" si="16"/>
        <v>0.61035155999888957</v>
      </c>
      <c r="S85">
        <v>2755.3154296875</v>
      </c>
      <c r="T85" s="40">
        <f t="shared" si="17"/>
        <v>0.9765625</v>
      </c>
      <c r="U85">
        <v>33.808761596679702</v>
      </c>
      <c r="V85" s="33">
        <f t="shared" si="25"/>
        <v>0.63705444329542615</v>
      </c>
      <c r="W85">
        <v>226.30557250976599</v>
      </c>
      <c r="X85" s="90">
        <f t="shared" si="26"/>
        <v>19.638061523011174</v>
      </c>
    </row>
    <row r="86" spans="1:24" x14ac:dyDescent="0.25">
      <c r="A86" s="8">
        <v>42433.458333333336</v>
      </c>
      <c r="B86" s="40">
        <f t="shared" si="18"/>
        <v>11</v>
      </c>
      <c r="C86" s="87">
        <v>55.459609985351598</v>
      </c>
      <c r="D86" s="85">
        <f t="shared" si="19"/>
        <v>4.9591064453053946</v>
      </c>
      <c r="E86">
        <v>81.460159301757798</v>
      </c>
      <c r="F86" s="85">
        <f t="shared" si="20"/>
        <v>5.2413940429971717</v>
      </c>
      <c r="G86">
        <v>166.42605590820301</v>
      </c>
      <c r="H86" s="86">
        <f t="shared" si="21"/>
        <v>0</v>
      </c>
      <c r="I86">
        <v>126.32984924316401</v>
      </c>
      <c r="J86" s="86">
        <f t="shared" si="22"/>
        <v>12.481689452997102</v>
      </c>
      <c r="K86">
        <v>190.55972290039099</v>
      </c>
      <c r="L86" s="86">
        <f t="shared" si="23"/>
        <v>0.45776367201710855</v>
      </c>
      <c r="M86">
        <v>217.44543457031301</v>
      </c>
      <c r="N86" s="86">
        <f t="shared" si="24"/>
        <v>11.352539061988409</v>
      </c>
      <c r="O86">
        <v>1481.80615234375</v>
      </c>
      <c r="P86" s="40">
        <f t="shared" si="15"/>
        <v>78.24707030999889</v>
      </c>
      <c r="Q86">
        <v>1126.970703125</v>
      </c>
      <c r="R86" s="40">
        <f t="shared" si="16"/>
        <v>100.5859375</v>
      </c>
      <c r="S86">
        <v>2755.31640625</v>
      </c>
      <c r="T86" s="40">
        <f t="shared" si="17"/>
        <v>108.64257813000222</v>
      </c>
      <c r="U86">
        <v>33.809398651122997</v>
      </c>
      <c r="V86" s="33">
        <f t="shared" si="25"/>
        <v>0.16021728520598799</v>
      </c>
      <c r="W86">
        <v>226.32521057128901</v>
      </c>
      <c r="X86" s="90">
        <f t="shared" si="26"/>
        <v>8.9416503909944822</v>
      </c>
    </row>
    <row r="87" spans="1:24" x14ac:dyDescent="0.25">
      <c r="A87" s="8">
        <v>42433.5</v>
      </c>
      <c r="B87" s="40">
        <f t="shared" si="18"/>
        <v>12</v>
      </c>
      <c r="C87" s="87">
        <v>55.464569091796903</v>
      </c>
      <c r="D87" s="85">
        <f t="shared" si="19"/>
        <v>2.4299621581960196</v>
      </c>
      <c r="E87">
        <v>81.465400695800795</v>
      </c>
      <c r="F87" s="85">
        <f t="shared" si="20"/>
        <v>5.5313110350994066</v>
      </c>
      <c r="G87">
        <v>166.42605590820301</v>
      </c>
      <c r="H87" s="86">
        <f t="shared" si="21"/>
        <v>0</v>
      </c>
      <c r="I87">
        <v>126.342330932617</v>
      </c>
      <c r="J87" s="86">
        <f t="shared" si="22"/>
        <v>12.535095215000069</v>
      </c>
      <c r="K87">
        <v>190.56018066406301</v>
      </c>
      <c r="L87" s="86">
        <f t="shared" si="23"/>
        <v>0</v>
      </c>
      <c r="M87">
        <v>217.456787109375</v>
      </c>
      <c r="N87" s="86">
        <f t="shared" si="24"/>
        <v>15.258789063011591</v>
      </c>
      <c r="O87">
        <v>1481.88439941406</v>
      </c>
      <c r="P87" s="40">
        <f t="shared" si="15"/>
        <v>113.89160157000333</v>
      </c>
      <c r="Q87">
        <v>1127.0712890625</v>
      </c>
      <c r="R87" s="40">
        <f t="shared" si="16"/>
        <v>57.00683594000111</v>
      </c>
      <c r="S87">
        <v>2755.42504882813</v>
      </c>
      <c r="T87" s="40">
        <f t="shared" si="17"/>
        <v>116.94335936999778</v>
      </c>
      <c r="U87">
        <v>33.809558868408203</v>
      </c>
      <c r="V87" s="33">
        <f t="shared" si="25"/>
        <v>0.16021728519888256</v>
      </c>
      <c r="W87">
        <v>226.33415222168</v>
      </c>
      <c r="X87" s="90">
        <f t="shared" si="26"/>
        <v>6.759643554005379</v>
      </c>
    </row>
    <row r="88" spans="1:24" x14ac:dyDescent="0.25">
      <c r="A88" s="8">
        <v>42433.541666666664</v>
      </c>
      <c r="B88" s="40">
        <f t="shared" si="18"/>
        <v>13</v>
      </c>
      <c r="C88" s="87">
        <v>55.466999053955099</v>
      </c>
      <c r="D88" s="85">
        <f t="shared" si="19"/>
        <v>1.1444091803980427E-2</v>
      </c>
      <c r="E88">
        <v>81.470932006835895</v>
      </c>
      <c r="F88" s="85">
        <f t="shared" si="20"/>
        <v>5.6381225586079609</v>
      </c>
      <c r="G88">
        <v>166.42605590820301</v>
      </c>
      <c r="H88" s="86">
        <f t="shared" si="21"/>
        <v>4.0588378909944822</v>
      </c>
      <c r="I88">
        <v>126.354866027832</v>
      </c>
      <c r="J88" s="86">
        <f t="shared" si="22"/>
        <v>11.520385742002759</v>
      </c>
      <c r="K88">
        <v>190.56018066406301</v>
      </c>
      <c r="L88" s="86">
        <f t="shared" si="23"/>
        <v>4.6691894529828915</v>
      </c>
      <c r="M88">
        <v>217.47204589843801</v>
      </c>
      <c r="N88" s="86">
        <f t="shared" si="24"/>
        <v>13.076782225994066</v>
      </c>
      <c r="O88">
        <v>1481.99829101563</v>
      </c>
      <c r="P88" s="40">
        <f t="shared" si="15"/>
        <v>85.57128905999889</v>
      </c>
      <c r="Q88">
        <v>1127.12829589844</v>
      </c>
      <c r="R88" s="40">
        <f t="shared" si="16"/>
        <v>0.85449219000111043</v>
      </c>
      <c r="S88">
        <v>2755.5419921875</v>
      </c>
      <c r="T88" s="40">
        <f t="shared" si="17"/>
        <v>113.76953125</v>
      </c>
      <c r="U88">
        <v>33.809719085693402</v>
      </c>
      <c r="V88" s="33">
        <f t="shared" si="25"/>
        <v>0.42343139639910987</v>
      </c>
      <c r="W88">
        <v>226.34091186523401</v>
      </c>
      <c r="X88" s="90">
        <f t="shared" si="26"/>
        <v>4.4555664069889644</v>
      </c>
    </row>
    <row r="89" spans="1:24" x14ac:dyDescent="0.25">
      <c r="A89" s="8">
        <v>42433.583333333336</v>
      </c>
      <c r="B89" s="40">
        <f t="shared" si="18"/>
        <v>14</v>
      </c>
      <c r="C89" s="87">
        <v>55.467010498046903</v>
      </c>
      <c r="D89" s="85">
        <f t="shared" si="19"/>
        <v>0</v>
      </c>
      <c r="E89">
        <v>81.476570129394503</v>
      </c>
      <c r="F89" s="85">
        <f t="shared" si="20"/>
        <v>5.5465698243040151</v>
      </c>
      <c r="G89">
        <v>166.43011474609401</v>
      </c>
      <c r="H89" s="86">
        <f t="shared" si="21"/>
        <v>13.427734375</v>
      </c>
      <c r="I89">
        <v>126.36638641357401</v>
      </c>
      <c r="J89" s="86">
        <f t="shared" si="22"/>
        <v>11.978149413991446</v>
      </c>
      <c r="K89">
        <v>190.56484985351599</v>
      </c>
      <c r="L89" s="86">
        <f t="shared" si="23"/>
        <v>15.197753905994205</v>
      </c>
      <c r="M89">
        <v>217.48512268066401</v>
      </c>
      <c r="N89" s="86">
        <f t="shared" si="24"/>
        <v>15.228271484005518</v>
      </c>
      <c r="O89">
        <v>1482.08386230469</v>
      </c>
      <c r="P89" s="40">
        <f t="shared" si="15"/>
        <v>110.22949219000111</v>
      </c>
      <c r="Q89">
        <v>1127.12915039063</v>
      </c>
      <c r="R89" s="40">
        <f t="shared" si="16"/>
        <v>0.73242186999777914</v>
      </c>
      <c r="S89">
        <v>2755.65576171875</v>
      </c>
      <c r="T89" s="40">
        <f t="shared" si="17"/>
        <v>116.45507813000222</v>
      </c>
      <c r="U89">
        <v>33.810142517089801</v>
      </c>
      <c r="V89" s="33">
        <f t="shared" si="25"/>
        <v>2.9602050781960543</v>
      </c>
      <c r="W89">
        <v>226.34536743164099</v>
      </c>
      <c r="X89" s="90">
        <f t="shared" si="26"/>
        <v>19.424438475994066</v>
      </c>
    </row>
    <row r="90" spans="1:24" x14ac:dyDescent="0.25">
      <c r="A90" s="8">
        <v>42433.625</v>
      </c>
      <c r="B90" s="40">
        <f t="shared" si="18"/>
        <v>15</v>
      </c>
      <c r="C90" s="87">
        <v>55.467010498046903</v>
      </c>
      <c r="D90" s="85">
        <f t="shared" si="19"/>
        <v>0</v>
      </c>
      <c r="E90">
        <v>81.482116699218807</v>
      </c>
      <c r="F90" s="85">
        <f t="shared" si="20"/>
        <v>2.9602050780965783</v>
      </c>
      <c r="G90">
        <v>166.44354248046901</v>
      </c>
      <c r="H90" s="86">
        <f t="shared" si="21"/>
        <v>13.717651366988548</v>
      </c>
      <c r="I90">
        <v>126.378364562988</v>
      </c>
      <c r="J90" s="86">
        <f t="shared" si="22"/>
        <v>11.955261231008762</v>
      </c>
      <c r="K90">
        <v>190.58004760742199</v>
      </c>
      <c r="L90" s="86">
        <f t="shared" si="23"/>
        <v>15.106201172017109</v>
      </c>
      <c r="M90">
        <v>217.50035095214801</v>
      </c>
      <c r="N90" s="86">
        <f t="shared" si="24"/>
        <v>14.877319335994343</v>
      </c>
      <c r="O90">
        <v>1482.19409179688</v>
      </c>
      <c r="P90" s="40">
        <f t="shared" si="15"/>
        <v>111.08398436999778</v>
      </c>
      <c r="Q90">
        <v>1127.1298828125</v>
      </c>
      <c r="R90" s="40">
        <f t="shared" si="16"/>
        <v>0.85449219000111043</v>
      </c>
      <c r="S90">
        <v>2755.77221679688</v>
      </c>
      <c r="T90" s="40">
        <f t="shared" si="17"/>
        <v>58.59375</v>
      </c>
      <c r="U90">
        <v>33.813102722167997</v>
      </c>
      <c r="V90" s="33">
        <f t="shared" si="25"/>
        <v>3.1280517578053946</v>
      </c>
      <c r="W90">
        <v>226.36479187011699</v>
      </c>
      <c r="X90" s="90">
        <f t="shared" si="26"/>
        <v>19.515991211022765</v>
      </c>
    </row>
    <row r="91" spans="1:24" x14ac:dyDescent="0.25">
      <c r="A91" s="8">
        <v>42433.666666666664</v>
      </c>
      <c r="B91" s="40">
        <f t="shared" si="18"/>
        <v>16</v>
      </c>
      <c r="C91" s="87">
        <v>55.467010498046903</v>
      </c>
      <c r="D91" s="85">
        <f t="shared" si="19"/>
        <v>0</v>
      </c>
      <c r="E91">
        <v>81.485076904296903</v>
      </c>
      <c r="F91" s="85">
        <f t="shared" si="20"/>
        <v>0</v>
      </c>
      <c r="G91">
        <v>166.45726013183599</v>
      </c>
      <c r="H91" s="86">
        <f t="shared" si="21"/>
        <v>13.534545898011174</v>
      </c>
      <c r="I91">
        <v>126.39031982421901</v>
      </c>
      <c r="J91" s="86">
        <f t="shared" si="22"/>
        <v>12.062072753991515</v>
      </c>
      <c r="K91">
        <v>190.59515380859401</v>
      </c>
      <c r="L91" s="86">
        <f t="shared" si="23"/>
        <v>15.151977539005657</v>
      </c>
      <c r="M91">
        <v>217.51522827148401</v>
      </c>
      <c r="N91" s="86">
        <f t="shared" si="24"/>
        <v>15.151977539005657</v>
      </c>
      <c r="O91">
        <v>1482.30517578125</v>
      </c>
      <c r="P91" s="40">
        <f t="shared" si="15"/>
        <v>109.13085938000222</v>
      </c>
      <c r="Q91">
        <v>1127.13073730469</v>
      </c>
      <c r="R91" s="40">
        <f t="shared" si="16"/>
        <v>0.73242186999777914</v>
      </c>
      <c r="S91">
        <v>2755.83081054688</v>
      </c>
      <c r="T91" s="40">
        <f t="shared" si="17"/>
        <v>0.48828125</v>
      </c>
      <c r="U91">
        <v>33.816230773925803</v>
      </c>
      <c r="V91" s="33">
        <f t="shared" si="25"/>
        <v>3.2119750975994066</v>
      </c>
      <c r="W91">
        <v>226.38430786132801</v>
      </c>
      <c r="X91" s="90">
        <f t="shared" si="26"/>
        <v>19.48547363298303</v>
      </c>
    </row>
    <row r="92" spans="1:24" x14ac:dyDescent="0.25">
      <c r="A92" s="8">
        <v>42433.708333333336</v>
      </c>
      <c r="B92" s="40">
        <f t="shared" si="18"/>
        <v>17</v>
      </c>
      <c r="C92" s="87">
        <v>55.467010498046903</v>
      </c>
      <c r="D92" s="85">
        <f t="shared" si="19"/>
        <v>0</v>
      </c>
      <c r="E92">
        <v>81.485076904296903</v>
      </c>
      <c r="F92" s="85">
        <f t="shared" si="20"/>
        <v>1.9607543945028283</v>
      </c>
      <c r="G92">
        <v>166.47079467773401</v>
      </c>
      <c r="H92" s="86">
        <f t="shared" si="21"/>
        <v>13.320922851988826</v>
      </c>
      <c r="I92">
        <v>126.402381896973</v>
      </c>
      <c r="J92" s="86">
        <f t="shared" si="22"/>
        <v>11.795043944999861</v>
      </c>
      <c r="K92">
        <v>190.61030578613301</v>
      </c>
      <c r="L92" s="86">
        <f t="shared" si="23"/>
        <v>15.151977538977235</v>
      </c>
      <c r="M92">
        <v>217.53038024902301</v>
      </c>
      <c r="N92" s="86">
        <f t="shared" si="24"/>
        <v>15.258789062983169</v>
      </c>
      <c r="O92">
        <v>1482.41430664063</v>
      </c>
      <c r="P92" s="40">
        <f t="shared" si="15"/>
        <v>110.22949217999667</v>
      </c>
      <c r="Q92">
        <v>1127.13146972656</v>
      </c>
      <c r="R92" s="40">
        <f t="shared" si="16"/>
        <v>0.85449219000111043</v>
      </c>
      <c r="S92">
        <v>2755.83129882813</v>
      </c>
      <c r="T92" s="40">
        <f t="shared" si="17"/>
        <v>35.64453125</v>
      </c>
      <c r="U92">
        <v>33.819442749023402</v>
      </c>
      <c r="V92" s="33">
        <f t="shared" si="25"/>
        <v>3.2386779786008901</v>
      </c>
      <c r="W92">
        <v>226.40379333496099</v>
      </c>
      <c r="X92" s="90">
        <f t="shared" si="26"/>
        <v>19.546508789005657</v>
      </c>
    </row>
    <row r="93" spans="1:24" x14ac:dyDescent="0.25">
      <c r="A93" s="8">
        <v>42433.75</v>
      </c>
      <c r="B93" s="40">
        <f t="shared" si="18"/>
        <v>18</v>
      </c>
      <c r="C93" s="87">
        <v>55.467010498046903</v>
      </c>
      <c r="D93" s="85">
        <f t="shared" si="19"/>
        <v>0</v>
      </c>
      <c r="E93">
        <v>81.487037658691406</v>
      </c>
      <c r="F93" s="85">
        <f t="shared" si="20"/>
        <v>5.5770874024005934</v>
      </c>
      <c r="G93">
        <v>166.48411560058599</v>
      </c>
      <c r="H93" s="86">
        <f t="shared" si="21"/>
        <v>13.397216797017109</v>
      </c>
      <c r="I93">
        <v>126.414176940918</v>
      </c>
      <c r="J93" s="86">
        <f t="shared" si="22"/>
        <v>12.039184569999861</v>
      </c>
      <c r="K93">
        <v>190.62545776367199</v>
      </c>
      <c r="L93" s="86">
        <f t="shared" si="23"/>
        <v>15.029907226022488</v>
      </c>
      <c r="M93">
        <v>217.54563903808599</v>
      </c>
      <c r="N93" s="86">
        <f t="shared" si="24"/>
        <v>15.075683594005795</v>
      </c>
      <c r="O93">
        <v>1482.52453613281</v>
      </c>
      <c r="P93" s="40">
        <f t="shared" si="15"/>
        <v>109.25292969000111</v>
      </c>
      <c r="Q93">
        <v>1127.13232421875</v>
      </c>
      <c r="R93" s="40">
        <f t="shared" si="16"/>
        <v>0.85449219000111043</v>
      </c>
      <c r="S93">
        <v>2755.86694335938</v>
      </c>
      <c r="T93" s="40">
        <f t="shared" si="17"/>
        <v>110.3515625</v>
      </c>
      <c r="U93">
        <v>33.822681427002003</v>
      </c>
      <c r="V93" s="33">
        <f t="shared" si="25"/>
        <v>3.2501220702982891</v>
      </c>
      <c r="W93">
        <v>226.42333984375</v>
      </c>
      <c r="X93" s="90">
        <f t="shared" si="26"/>
        <v>19.348144530994205</v>
      </c>
    </row>
    <row r="94" spans="1:24" x14ac:dyDescent="0.25">
      <c r="A94" s="8">
        <v>42433.791666666664</v>
      </c>
      <c r="B94" s="40">
        <f t="shared" si="18"/>
        <v>19</v>
      </c>
      <c r="C94" s="87">
        <v>55.467010498046903</v>
      </c>
      <c r="D94" s="85">
        <f t="shared" si="19"/>
        <v>0</v>
      </c>
      <c r="E94">
        <v>81.492614746093807</v>
      </c>
      <c r="F94" s="85">
        <f t="shared" si="20"/>
        <v>5.5694580077982891</v>
      </c>
      <c r="G94">
        <v>166.49751281738301</v>
      </c>
      <c r="H94" s="86">
        <f t="shared" si="21"/>
        <v>13.427734375</v>
      </c>
      <c r="I94">
        <v>126.426216125488</v>
      </c>
      <c r="J94" s="86">
        <f t="shared" si="22"/>
        <v>11.886596680000139</v>
      </c>
      <c r="K94">
        <v>190.64048767089801</v>
      </c>
      <c r="L94" s="86">
        <f t="shared" si="23"/>
        <v>14.999389648977512</v>
      </c>
      <c r="M94">
        <v>217.56071472168</v>
      </c>
      <c r="N94" s="86">
        <f t="shared" si="24"/>
        <v>14.877319335994343</v>
      </c>
      <c r="O94">
        <v>1482.6337890625</v>
      </c>
      <c r="P94" s="40">
        <f t="shared" si="15"/>
        <v>109.86328125</v>
      </c>
      <c r="Q94">
        <v>1127.13317871094</v>
      </c>
      <c r="R94" s="40">
        <f t="shared" si="16"/>
        <v>0.85449219000111043</v>
      </c>
      <c r="S94">
        <v>2755.97729492188</v>
      </c>
      <c r="T94" s="40">
        <f t="shared" si="17"/>
        <v>109.13085936999778</v>
      </c>
      <c r="U94">
        <v>33.825931549072301</v>
      </c>
      <c r="V94" s="33">
        <f t="shared" si="25"/>
        <v>3.2691955565979924</v>
      </c>
      <c r="W94">
        <v>226.44268798828099</v>
      </c>
      <c r="X94" s="90">
        <f t="shared" si="26"/>
        <v>19.393920899005934</v>
      </c>
    </row>
    <row r="95" spans="1:24" x14ac:dyDescent="0.25">
      <c r="A95" s="8">
        <v>42433.833333333336</v>
      </c>
      <c r="B95" s="40">
        <f t="shared" si="18"/>
        <v>20</v>
      </c>
      <c r="C95" s="87">
        <v>55.467010498046903</v>
      </c>
      <c r="D95" s="85">
        <f t="shared" si="19"/>
        <v>7.6293944957228632E-3</v>
      </c>
      <c r="E95">
        <v>81.498184204101605</v>
      </c>
      <c r="F95" s="85">
        <f t="shared" si="20"/>
        <v>5.5923461913920391</v>
      </c>
      <c r="G95">
        <v>166.51094055175801</v>
      </c>
      <c r="H95" s="86">
        <f t="shared" si="21"/>
        <v>13.62609863298303</v>
      </c>
      <c r="I95">
        <v>126.438102722168</v>
      </c>
      <c r="J95" s="86">
        <f t="shared" si="22"/>
        <v>11.833190917997172</v>
      </c>
      <c r="K95">
        <v>190.65548706054699</v>
      </c>
      <c r="L95" s="86">
        <f t="shared" si="23"/>
        <v>15.228271484005518</v>
      </c>
      <c r="M95">
        <v>217.57559204101599</v>
      </c>
      <c r="N95" s="86">
        <f t="shared" si="24"/>
        <v>15.396118164005657</v>
      </c>
      <c r="O95">
        <v>1482.74365234375</v>
      </c>
      <c r="P95" s="40">
        <f t="shared" si="15"/>
        <v>109.375</v>
      </c>
      <c r="Q95">
        <v>1127.13403320313</v>
      </c>
      <c r="R95" s="40">
        <f t="shared" si="16"/>
        <v>0.73242186999777914</v>
      </c>
      <c r="S95">
        <v>2756.08642578125</v>
      </c>
      <c r="T95" s="40">
        <f t="shared" si="17"/>
        <v>116.45507813000222</v>
      </c>
      <c r="U95">
        <v>33.829200744628899</v>
      </c>
      <c r="V95" s="33">
        <f t="shared" si="25"/>
        <v>3.1890869140980271</v>
      </c>
      <c r="W95">
        <v>226.46208190918</v>
      </c>
      <c r="X95" s="90">
        <f t="shared" si="26"/>
        <v>19.439697264999722</v>
      </c>
    </row>
    <row r="96" spans="1:24" x14ac:dyDescent="0.25">
      <c r="A96" s="8">
        <v>42433.875</v>
      </c>
      <c r="B96" s="40">
        <f t="shared" si="18"/>
        <v>21</v>
      </c>
      <c r="C96" s="87">
        <v>55.467018127441399</v>
      </c>
      <c r="D96" s="85">
        <f t="shared" si="19"/>
        <v>0</v>
      </c>
      <c r="E96">
        <v>81.503776550292997</v>
      </c>
      <c r="F96" s="85">
        <f t="shared" si="20"/>
        <v>5.5541992187073674</v>
      </c>
      <c r="G96">
        <v>166.52456665039099</v>
      </c>
      <c r="H96" s="86">
        <f t="shared" si="21"/>
        <v>13.336181639999722</v>
      </c>
      <c r="I96">
        <v>126.44993591308599</v>
      </c>
      <c r="J96" s="86">
        <f t="shared" si="22"/>
        <v>11.863708496008485</v>
      </c>
      <c r="K96">
        <v>190.67071533203099</v>
      </c>
      <c r="L96" s="86">
        <f t="shared" si="23"/>
        <v>15.228271485000278</v>
      </c>
      <c r="M96">
        <v>217.59098815918</v>
      </c>
      <c r="N96" s="86">
        <f t="shared" si="24"/>
        <v>15.014648436988409</v>
      </c>
      <c r="O96">
        <v>1482.85302734375</v>
      </c>
      <c r="P96" s="40">
        <f t="shared" si="15"/>
        <v>107.66601563000222</v>
      </c>
      <c r="Q96">
        <v>1127.134765625</v>
      </c>
      <c r="R96" s="40">
        <f t="shared" si="16"/>
        <v>0.85449219000111043</v>
      </c>
      <c r="S96">
        <v>2756.20288085938</v>
      </c>
      <c r="T96" s="40">
        <f t="shared" si="17"/>
        <v>168.45703125</v>
      </c>
      <c r="U96">
        <v>33.832389831542997</v>
      </c>
      <c r="V96" s="33">
        <f t="shared" si="25"/>
        <v>3.162384033203125</v>
      </c>
      <c r="W96">
        <v>226.481521606445</v>
      </c>
      <c r="X96" s="90">
        <f t="shared" si="26"/>
        <v>19.195556640994482</v>
      </c>
    </row>
    <row r="97" spans="1:24" x14ac:dyDescent="0.25">
      <c r="A97" s="8">
        <v>42433.916666666664</v>
      </c>
      <c r="B97" s="40">
        <f t="shared" si="18"/>
        <v>22</v>
      </c>
      <c r="C97" s="87">
        <v>55.467018127441399</v>
      </c>
      <c r="D97" s="85">
        <f t="shared" si="19"/>
        <v>0</v>
      </c>
      <c r="E97">
        <v>81.509330749511705</v>
      </c>
      <c r="F97" s="85">
        <f t="shared" si="20"/>
        <v>5.5389404297017109</v>
      </c>
      <c r="G97">
        <v>166.53790283203099</v>
      </c>
      <c r="H97" s="86">
        <f t="shared" si="21"/>
        <v>13.534545899005934</v>
      </c>
      <c r="I97">
        <v>126.461799621582</v>
      </c>
      <c r="J97" s="86">
        <f t="shared" si="22"/>
        <v>11.848449707002828</v>
      </c>
      <c r="K97">
        <v>190.68594360351599</v>
      </c>
      <c r="L97" s="86">
        <f t="shared" si="23"/>
        <v>15.289306639999722</v>
      </c>
      <c r="M97">
        <v>217.60600280761699</v>
      </c>
      <c r="N97" s="86">
        <f t="shared" si="24"/>
        <v>15.228271485000278</v>
      </c>
      <c r="O97">
        <v>1482.96069335938</v>
      </c>
      <c r="P97" s="40">
        <f t="shared" si="15"/>
        <v>110.59570311999778</v>
      </c>
      <c r="Q97">
        <v>1127.13562011719</v>
      </c>
      <c r="R97" s="40">
        <f t="shared" si="16"/>
        <v>0.85449219000111043</v>
      </c>
      <c r="S97">
        <v>2756.37133789063</v>
      </c>
      <c r="T97" s="40">
        <f t="shared" si="17"/>
        <v>129.15039061999778</v>
      </c>
      <c r="U97">
        <v>33.8355522155762</v>
      </c>
      <c r="V97" s="33">
        <f t="shared" si="25"/>
        <v>3.1661987303976957</v>
      </c>
      <c r="W97">
        <v>226.50071716308599</v>
      </c>
      <c r="X97" s="90">
        <f t="shared" si="26"/>
        <v>19.485473633011452</v>
      </c>
    </row>
    <row r="98" spans="1:24" x14ac:dyDescent="0.25">
      <c r="A98" s="8">
        <v>42433.958333333336</v>
      </c>
      <c r="B98" s="40">
        <f t="shared" si="18"/>
        <v>23</v>
      </c>
      <c r="C98" s="87">
        <v>55.467018127441399</v>
      </c>
      <c r="D98" s="85">
        <f t="shared" si="19"/>
        <v>0</v>
      </c>
      <c r="E98">
        <v>81.514869689941406</v>
      </c>
      <c r="F98" s="85">
        <f t="shared" si="20"/>
        <v>5.5389404296875</v>
      </c>
      <c r="G98">
        <v>166.55143737793</v>
      </c>
      <c r="H98" s="86">
        <f t="shared" si="21"/>
        <v>13.458251953011313</v>
      </c>
      <c r="I98">
        <v>126.47364807128901</v>
      </c>
      <c r="J98" s="86">
        <f t="shared" si="22"/>
        <v>11.894226073991376</v>
      </c>
      <c r="K98">
        <v>190.70123291015599</v>
      </c>
      <c r="L98" s="86">
        <f t="shared" si="23"/>
        <v>15.197753907017386</v>
      </c>
      <c r="M98">
        <v>217.62123107910199</v>
      </c>
      <c r="N98" s="86">
        <f t="shared" si="24"/>
        <v>15.075683593011036</v>
      </c>
      <c r="O98">
        <v>1483.0712890625</v>
      </c>
      <c r="P98" s="40">
        <f t="shared" si="15"/>
        <v>109.98535155999889</v>
      </c>
      <c r="Q98">
        <v>1127.13647460938</v>
      </c>
      <c r="R98" s="40">
        <f t="shared" si="16"/>
        <v>0.73242186999777914</v>
      </c>
      <c r="S98">
        <v>2756.50048828125</v>
      </c>
      <c r="T98" s="40">
        <f t="shared" si="17"/>
        <v>110.59570313000222</v>
      </c>
      <c r="U98">
        <v>33.838718414306598</v>
      </c>
      <c r="V98" s="33">
        <f t="shared" si="25"/>
        <v>3.2424926758025663</v>
      </c>
      <c r="W98">
        <v>226.52020263671901</v>
      </c>
      <c r="X98" s="90">
        <f t="shared" si="26"/>
        <v>19.48547363298303</v>
      </c>
    </row>
    <row r="99" spans="1:24" x14ac:dyDescent="0.25">
      <c r="A99" s="8">
        <v>42434</v>
      </c>
      <c r="B99" s="40">
        <f t="shared" si="18"/>
        <v>0</v>
      </c>
      <c r="C99" s="87">
        <v>55.467018127441399</v>
      </c>
      <c r="D99" s="85">
        <f t="shared" si="19"/>
        <v>1.1444091803980427E-2</v>
      </c>
      <c r="E99">
        <v>81.520408630371094</v>
      </c>
      <c r="F99" s="85">
        <f t="shared" si="20"/>
        <v>5.5541992187073674</v>
      </c>
      <c r="G99">
        <v>166.56489562988301</v>
      </c>
      <c r="H99" s="86">
        <f t="shared" si="21"/>
        <v>13.442993163977235</v>
      </c>
      <c r="I99">
        <v>126.485542297363</v>
      </c>
      <c r="J99" s="86">
        <f t="shared" si="22"/>
        <v>11.817932129005726</v>
      </c>
      <c r="K99">
        <v>190.71643066406301</v>
      </c>
      <c r="L99" s="86">
        <f t="shared" si="23"/>
        <v>14.923095702982891</v>
      </c>
      <c r="M99">
        <v>217.636306762695</v>
      </c>
      <c r="N99" s="86">
        <f t="shared" si="24"/>
        <v>15.106201171988687</v>
      </c>
      <c r="O99">
        <v>1483.18127441406</v>
      </c>
      <c r="P99" s="40">
        <f t="shared" si="15"/>
        <v>109.61914063000222</v>
      </c>
      <c r="Q99">
        <v>1127.13720703125</v>
      </c>
      <c r="R99" s="40">
        <f t="shared" si="16"/>
        <v>0.9765625</v>
      </c>
      <c r="S99">
        <v>2756.61108398438</v>
      </c>
      <c r="T99" s="40">
        <f t="shared" si="17"/>
        <v>110.83984375</v>
      </c>
      <c r="U99">
        <v>33.841960906982401</v>
      </c>
      <c r="V99" s="33">
        <f t="shared" si="25"/>
        <v>3.2386779785014141</v>
      </c>
      <c r="W99">
        <v>226.53968811035199</v>
      </c>
      <c r="X99" s="90">
        <f t="shared" si="26"/>
        <v>19.439697264999722</v>
      </c>
    </row>
    <row r="100" spans="1:24" x14ac:dyDescent="0.25">
      <c r="A100" s="8">
        <v>42434.041666666664</v>
      </c>
      <c r="B100" s="40">
        <f t="shared" si="18"/>
        <v>1</v>
      </c>
      <c r="C100" s="87">
        <v>55.467029571533203</v>
      </c>
      <c r="D100" s="85">
        <f t="shared" si="19"/>
        <v>0</v>
      </c>
      <c r="E100">
        <v>81.525962829589801</v>
      </c>
      <c r="F100" s="85">
        <f t="shared" si="20"/>
        <v>5.5694580078977651</v>
      </c>
      <c r="G100">
        <v>166.57833862304699</v>
      </c>
      <c r="H100" s="86">
        <f t="shared" si="21"/>
        <v>13.504028319999861</v>
      </c>
      <c r="I100">
        <v>126.497360229492</v>
      </c>
      <c r="J100" s="86">
        <f t="shared" si="22"/>
        <v>11.955261230994552</v>
      </c>
      <c r="K100">
        <v>190.73135375976599</v>
      </c>
      <c r="L100" s="86">
        <f t="shared" si="23"/>
        <v>15.335083007016692</v>
      </c>
      <c r="M100">
        <v>217.65141296386699</v>
      </c>
      <c r="N100" s="86">
        <f t="shared" si="24"/>
        <v>15.151977539005657</v>
      </c>
      <c r="O100">
        <v>1483.29089355469</v>
      </c>
      <c r="P100" s="40">
        <f t="shared" si="15"/>
        <v>111.57226561999778</v>
      </c>
      <c r="Q100">
        <v>1127.13818359375</v>
      </c>
      <c r="R100" s="40">
        <f t="shared" si="16"/>
        <v>0.85449219000111043</v>
      </c>
      <c r="S100">
        <v>2756.72192382813</v>
      </c>
      <c r="T100" s="40">
        <f t="shared" si="17"/>
        <v>109.375</v>
      </c>
      <c r="U100">
        <v>33.845199584960902</v>
      </c>
      <c r="V100" s="33">
        <f t="shared" si="25"/>
        <v>3.2615661620951641</v>
      </c>
      <c r="W100">
        <v>226.55912780761699</v>
      </c>
      <c r="X100" s="90">
        <f t="shared" si="26"/>
        <v>19.470214844005795</v>
      </c>
    </row>
    <row r="101" spans="1:24" x14ac:dyDescent="0.25">
      <c r="A101" s="8">
        <v>42434.083333333336</v>
      </c>
      <c r="B101" s="40">
        <f t="shared" si="18"/>
        <v>2</v>
      </c>
      <c r="C101" s="87">
        <v>55.467029571533203</v>
      </c>
      <c r="D101" s="85">
        <f t="shared" si="19"/>
        <v>0</v>
      </c>
      <c r="E101">
        <v>81.531532287597699</v>
      </c>
      <c r="F101" s="85">
        <f t="shared" si="20"/>
        <v>5.5389404296022349</v>
      </c>
      <c r="G101">
        <v>166.59184265136699</v>
      </c>
      <c r="H101" s="86">
        <f t="shared" si="21"/>
        <v>13.504028321023043</v>
      </c>
      <c r="I101">
        <v>126.509315490723</v>
      </c>
      <c r="J101" s="86">
        <f t="shared" si="22"/>
        <v>11.863708496008485</v>
      </c>
      <c r="K101">
        <v>190.74668884277301</v>
      </c>
      <c r="L101" s="86">
        <f t="shared" si="23"/>
        <v>15.075683593977374</v>
      </c>
      <c r="M101">
        <v>217.66656494140599</v>
      </c>
      <c r="N101" s="86">
        <f t="shared" si="24"/>
        <v>15.121459960994343</v>
      </c>
      <c r="O101">
        <v>1483.40246582031</v>
      </c>
      <c r="P101" s="40">
        <f t="shared" si="15"/>
        <v>111.81640625</v>
      </c>
      <c r="Q101">
        <v>1127.13903808594</v>
      </c>
      <c r="R101" s="40">
        <f t="shared" si="16"/>
        <v>0.73242186999777914</v>
      </c>
      <c r="S101">
        <v>2756.83129882813</v>
      </c>
      <c r="T101" s="40">
        <f t="shared" si="17"/>
        <v>108.15429686999778</v>
      </c>
      <c r="U101">
        <v>33.848461151122997</v>
      </c>
      <c r="V101" s="33">
        <f t="shared" si="25"/>
        <v>3.3607482911008901</v>
      </c>
      <c r="W101">
        <v>226.57859802246099</v>
      </c>
      <c r="X101" s="90">
        <f t="shared" si="26"/>
        <v>19.08874511701697</v>
      </c>
    </row>
    <row r="102" spans="1:24" x14ac:dyDescent="0.25">
      <c r="A102" s="8">
        <v>42434.125</v>
      </c>
      <c r="B102" s="40">
        <f t="shared" si="18"/>
        <v>3</v>
      </c>
      <c r="C102" s="87">
        <v>55.467029571533203</v>
      </c>
      <c r="D102" s="85">
        <f t="shared" si="19"/>
        <v>0</v>
      </c>
      <c r="E102">
        <v>81.537071228027301</v>
      </c>
      <c r="F102" s="85">
        <f t="shared" si="20"/>
        <v>5.4779052734943434</v>
      </c>
      <c r="G102">
        <v>166.60534667968801</v>
      </c>
      <c r="H102" s="86">
        <f t="shared" si="21"/>
        <v>13.504028319999861</v>
      </c>
      <c r="I102">
        <v>126.52117919921901</v>
      </c>
      <c r="J102" s="86">
        <f t="shared" si="22"/>
        <v>11.917114257997241</v>
      </c>
      <c r="K102">
        <v>190.76176452636699</v>
      </c>
      <c r="L102" s="86">
        <f t="shared" si="23"/>
        <v>15.289306641022904</v>
      </c>
      <c r="M102">
        <v>217.68168640136699</v>
      </c>
      <c r="N102" s="86">
        <f t="shared" si="24"/>
        <v>15.213012696023043</v>
      </c>
      <c r="O102">
        <v>1483.51428222656</v>
      </c>
      <c r="P102" s="40">
        <f t="shared" si="15"/>
        <v>111.93847657000333</v>
      </c>
      <c r="Q102">
        <v>1127.13977050781</v>
      </c>
      <c r="R102" s="40">
        <f t="shared" si="16"/>
        <v>0.73242188000222086</v>
      </c>
      <c r="S102">
        <v>2756.939453125</v>
      </c>
      <c r="T102" s="40">
        <f t="shared" si="17"/>
        <v>21.97265625</v>
      </c>
      <c r="U102">
        <v>33.851821899414098</v>
      </c>
      <c r="V102" s="33">
        <f t="shared" si="25"/>
        <v>3.2501220703053946</v>
      </c>
      <c r="W102">
        <v>226.59768676757801</v>
      </c>
      <c r="X102" s="90">
        <f t="shared" si="26"/>
        <v>19.515991210994343</v>
      </c>
    </row>
    <row r="103" spans="1:24" x14ac:dyDescent="0.25">
      <c r="A103" s="8">
        <v>42434.166666666664</v>
      </c>
      <c r="B103" s="40">
        <f t="shared" si="18"/>
        <v>4</v>
      </c>
      <c r="C103" s="87">
        <v>55.467029571533203</v>
      </c>
      <c r="D103" s="85">
        <f t="shared" si="19"/>
        <v>0</v>
      </c>
      <c r="E103">
        <v>81.542549133300795</v>
      </c>
      <c r="F103" s="85">
        <f t="shared" si="20"/>
        <v>5.5694580077982891</v>
      </c>
      <c r="G103">
        <v>166.61885070800801</v>
      </c>
      <c r="H103" s="86">
        <f t="shared" si="21"/>
        <v>13.595581055000139</v>
      </c>
      <c r="I103">
        <v>126.533096313477</v>
      </c>
      <c r="J103" s="86">
        <f t="shared" si="22"/>
        <v>11.856079100994066</v>
      </c>
      <c r="K103">
        <v>190.77705383300801</v>
      </c>
      <c r="L103" s="86">
        <f t="shared" si="23"/>
        <v>15.13671875</v>
      </c>
      <c r="M103">
        <v>217.69689941406301</v>
      </c>
      <c r="N103" s="86">
        <f t="shared" si="24"/>
        <v>15.182495116988548</v>
      </c>
      <c r="O103">
        <v>1483.62622070313</v>
      </c>
      <c r="P103" s="40">
        <f t="shared" si="15"/>
        <v>111.328125</v>
      </c>
      <c r="Q103">
        <v>1127.14050292969</v>
      </c>
      <c r="R103" s="40">
        <f t="shared" si="16"/>
        <v>0.73242186999777914</v>
      </c>
      <c r="S103">
        <v>2756.96142578125</v>
      </c>
      <c r="T103" s="40">
        <f t="shared" si="17"/>
        <v>0.73242188000222086</v>
      </c>
      <c r="U103">
        <v>33.855072021484403</v>
      </c>
      <c r="V103" s="33">
        <f t="shared" si="25"/>
        <v>3.257751464794012</v>
      </c>
      <c r="W103">
        <v>226.61720275878901</v>
      </c>
      <c r="X103" s="90">
        <f t="shared" si="26"/>
        <v>19.500732421988687</v>
      </c>
    </row>
    <row r="104" spans="1:24" x14ac:dyDescent="0.25">
      <c r="A104" s="8">
        <v>42434.208333333336</v>
      </c>
      <c r="B104" s="40">
        <f t="shared" si="18"/>
        <v>5</v>
      </c>
      <c r="C104" s="87">
        <v>55.467029571533203</v>
      </c>
      <c r="D104" s="85">
        <f t="shared" si="19"/>
        <v>0</v>
      </c>
      <c r="E104">
        <v>81.548118591308594</v>
      </c>
      <c r="F104" s="85">
        <f t="shared" si="20"/>
        <v>5.5847167969034217</v>
      </c>
      <c r="G104">
        <v>166.63244628906301</v>
      </c>
      <c r="H104" s="86">
        <f t="shared" si="21"/>
        <v>13.351440428976957</v>
      </c>
      <c r="I104">
        <v>126.544952392578</v>
      </c>
      <c r="J104" s="86">
        <f t="shared" si="22"/>
        <v>11.688232422002898</v>
      </c>
      <c r="K104">
        <v>190.79219055175801</v>
      </c>
      <c r="L104" s="86">
        <f t="shared" si="23"/>
        <v>15.289306639999722</v>
      </c>
      <c r="M104">
        <v>217.71208190918</v>
      </c>
      <c r="N104" s="86">
        <f t="shared" si="24"/>
        <v>15.213012694999861</v>
      </c>
      <c r="O104">
        <v>1483.73754882813</v>
      </c>
      <c r="P104" s="40">
        <f t="shared" si="15"/>
        <v>110.10742186999778</v>
      </c>
      <c r="Q104">
        <v>1127.14123535156</v>
      </c>
      <c r="R104" s="40">
        <f t="shared" si="16"/>
        <v>0.85449219000111043</v>
      </c>
      <c r="S104">
        <v>2756.96215820313</v>
      </c>
      <c r="T104" s="40">
        <f t="shared" si="17"/>
        <v>0.9765625</v>
      </c>
      <c r="U104">
        <v>33.858329772949197</v>
      </c>
      <c r="V104" s="33">
        <f t="shared" si="25"/>
        <v>3.2196044922017109</v>
      </c>
      <c r="W104">
        <v>226.63670349121099</v>
      </c>
      <c r="X104" s="90">
        <f t="shared" si="26"/>
        <v>19.500732422017109</v>
      </c>
    </row>
    <row r="105" spans="1:24" x14ac:dyDescent="0.25">
      <c r="A105" s="8">
        <v>42434.25</v>
      </c>
      <c r="B105" s="40">
        <f t="shared" si="18"/>
        <v>6</v>
      </c>
      <c r="C105" s="87">
        <v>55.467029571533203</v>
      </c>
      <c r="D105" s="85">
        <f t="shared" si="19"/>
        <v>0</v>
      </c>
      <c r="E105">
        <v>81.553703308105497</v>
      </c>
      <c r="F105" s="85">
        <f t="shared" si="20"/>
        <v>5.5084228515056566</v>
      </c>
      <c r="G105">
        <v>166.64579772949199</v>
      </c>
      <c r="H105" s="86">
        <f t="shared" si="21"/>
        <v>13.641357422017109</v>
      </c>
      <c r="I105">
        <v>126.556640625</v>
      </c>
      <c r="J105" s="86">
        <f t="shared" si="22"/>
        <v>11.894226074005587</v>
      </c>
      <c r="K105">
        <v>190.80747985839801</v>
      </c>
      <c r="L105" s="86">
        <f t="shared" si="23"/>
        <v>15.182495117983308</v>
      </c>
      <c r="M105">
        <v>217.727294921875</v>
      </c>
      <c r="N105" s="86">
        <f t="shared" si="24"/>
        <v>14.938354491988548</v>
      </c>
      <c r="O105">
        <v>1483.84765625</v>
      </c>
      <c r="P105" s="40">
        <f t="shared" si="15"/>
        <v>109.98535155999889</v>
      </c>
      <c r="Q105">
        <v>1127.14208984375</v>
      </c>
      <c r="R105" s="40">
        <f t="shared" si="16"/>
        <v>0.61035155999888957</v>
      </c>
      <c r="S105">
        <v>2756.96313476563</v>
      </c>
      <c r="T105" s="40">
        <f t="shared" si="17"/>
        <v>55.908203119997779</v>
      </c>
      <c r="U105">
        <v>33.861549377441399</v>
      </c>
      <c r="V105" s="33">
        <f t="shared" si="25"/>
        <v>3.2005310059020076</v>
      </c>
      <c r="W105">
        <v>226.65620422363301</v>
      </c>
      <c r="X105" s="90">
        <f t="shared" si="26"/>
        <v>19.287109375</v>
      </c>
    </row>
    <row r="106" spans="1:24" x14ac:dyDescent="0.25">
      <c r="A106" s="8">
        <v>42434.291666666664</v>
      </c>
      <c r="B106" s="40">
        <f t="shared" si="18"/>
        <v>7</v>
      </c>
      <c r="C106" s="87">
        <v>55.467029571533203</v>
      </c>
      <c r="D106" s="85">
        <f t="shared" si="19"/>
        <v>0</v>
      </c>
      <c r="E106">
        <v>81.559211730957003</v>
      </c>
      <c r="F106" s="85">
        <f t="shared" si="20"/>
        <v>5.5389404297017109</v>
      </c>
      <c r="G106">
        <v>166.65943908691401</v>
      </c>
      <c r="H106" s="86">
        <f t="shared" si="21"/>
        <v>13.38195800798303</v>
      </c>
      <c r="I106">
        <v>126.56853485107401</v>
      </c>
      <c r="J106" s="86">
        <f t="shared" si="22"/>
        <v>11.848449706988617</v>
      </c>
      <c r="K106">
        <v>190.82266235351599</v>
      </c>
      <c r="L106" s="86">
        <f t="shared" si="23"/>
        <v>15.13671875</v>
      </c>
      <c r="M106">
        <v>217.74223327636699</v>
      </c>
      <c r="N106" s="86">
        <f t="shared" si="24"/>
        <v>15.18249511701697</v>
      </c>
      <c r="O106">
        <v>1483.95764160156</v>
      </c>
      <c r="P106" s="40">
        <f t="shared" si="15"/>
        <v>111.328125</v>
      </c>
      <c r="Q106">
        <v>1127.14270019531</v>
      </c>
      <c r="R106" s="40">
        <f t="shared" si="16"/>
        <v>0.9765625</v>
      </c>
      <c r="S106">
        <v>2757.01904296875</v>
      </c>
      <c r="T106" s="40">
        <f t="shared" si="17"/>
        <v>106.93359375</v>
      </c>
      <c r="U106">
        <v>33.864749908447301</v>
      </c>
      <c r="V106" s="33">
        <f t="shared" si="25"/>
        <v>3.3798217773011174</v>
      </c>
      <c r="W106">
        <v>226.67549133300801</v>
      </c>
      <c r="X106" s="90">
        <f t="shared" si="26"/>
        <v>19.378662108977096</v>
      </c>
    </row>
    <row r="107" spans="1:24" x14ac:dyDescent="0.25">
      <c r="A107" s="8">
        <v>42434.333333333336</v>
      </c>
      <c r="B107" s="40">
        <f t="shared" si="18"/>
        <v>8</v>
      </c>
      <c r="C107" s="87">
        <v>55.467029571533203</v>
      </c>
      <c r="D107" s="85">
        <f t="shared" si="19"/>
        <v>0</v>
      </c>
      <c r="E107">
        <v>81.564750671386705</v>
      </c>
      <c r="F107" s="85">
        <f t="shared" si="20"/>
        <v>4.7988891601988826</v>
      </c>
      <c r="G107">
        <v>166.67282104492199</v>
      </c>
      <c r="H107" s="86">
        <f t="shared" si="21"/>
        <v>13.549804687016831</v>
      </c>
      <c r="I107">
        <v>126.58038330078099</v>
      </c>
      <c r="J107" s="86">
        <f t="shared" si="22"/>
        <v>11.909484864006004</v>
      </c>
      <c r="K107">
        <v>190.83779907226599</v>
      </c>
      <c r="L107" s="86">
        <f t="shared" si="23"/>
        <v>15.121459961022765</v>
      </c>
      <c r="M107">
        <v>217.75741577148401</v>
      </c>
      <c r="N107" s="86">
        <f t="shared" si="24"/>
        <v>15.014648437983169</v>
      </c>
      <c r="O107">
        <v>1484.06896972656</v>
      </c>
      <c r="P107" s="40">
        <f t="shared" si="15"/>
        <v>110.47363282000333</v>
      </c>
      <c r="Q107">
        <v>1127.14367675781</v>
      </c>
      <c r="R107" s="40">
        <f t="shared" si="16"/>
        <v>0.85449219000111043</v>
      </c>
      <c r="S107">
        <v>2757.1259765625</v>
      </c>
      <c r="T107" s="40">
        <f t="shared" si="17"/>
        <v>98.876953130002221</v>
      </c>
      <c r="U107">
        <v>33.868129730224602</v>
      </c>
      <c r="V107" s="33">
        <f t="shared" si="25"/>
        <v>3.3378601074005587</v>
      </c>
      <c r="W107">
        <v>226.69486999511699</v>
      </c>
      <c r="X107" s="90">
        <f t="shared" si="26"/>
        <v>19.485473633011452</v>
      </c>
    </row>
    <row r="108" spans="1:24" x14ac:dyDescent="0.25">
      <c r="A108" s="8">
        <v>42434.375</v>
      </c>
      <c r="B108" s="40">
        <f t="shared" si="18"/>
        <v>9</v>
      </c>
      <c r="C108" s="87">
        <v>55.467029571533203</v>
      </c>
      <c r="D108" s="85">
        <f t="shared" si="19"/>
        <v>0</v>
      </c>
      <c r="E108">
        <v>81.569549560546903</v>
      </c>
      <c r="F108" s="85">
        <f t="shared" si="20"/>
        <v>0</v>
      </c>
      <c r="G108">
        <v>166.68637084960901</v>
      </c>
      <c r="H108" s="86">
        <f t="shared" si="21"/>
        <v>13.580322265994482</v>
      </c>
      <c r="I108">
        <v>126.592292785645</v>
      </c>
      <c r="J108" s="86">
        <f t="shared" si="22"/>
        <v>11.909484862997033</v>
      </c>
      <c r="K108">
        <f>+K107+(K109-K107)/2</f>
        <v>190.85292053222702</v>
      </c>
      <c r="L108" s="86">
        <f t="shared" si="23"/>
        <v>15.121459960994343</v>
      </c>
      <c r="M108">
        <v>217.77243041992199</v>
      </c>
      <c r="N108" s="86">
        <f t="shared" si="24"/>
        <v>15.167236328011313</v>
      </c>
      <c r="O108">
        <v>1484.17944335938</v>
      </c>
      <c r="P108" s="40">
        <f t="shared" si="15"/>
        <v>110.3515625</v>
      </c>
      <c r="Q108">
        <v>1127.14453125</v>
      </c>
      <c r="R108" s="40">
        <f t="shared" si="16"/>
        <v>0.73242188000222086</v>
      </c>
      <c r="S108">
        <v>2757.22485351563</v>
      </c>
      <c r="T108" s="40">
        <f t="shared" si="17"/>
        <v>0.48828125</v>
      </c>
      <c r="U108">
        <v>33.871467590332003</v>
      </c>
      <c r="V108" s="33">
        <f t="shared" si="25"/>
        <v>3.3149719238991793</v>
      </c>
      <c r="W108">
        <v>226.71435546875</v>
      </c>
      <c r="X108" s="90">
        <f t="shared" si="26"/>
        <v>19.332885741988548</v>
      </c>
    </row>
    <row r="109" spans="1:24" x14ac:dyDescent="0.25">
      <c r="A109" s="8">
        <v>42434.416666666664</v>
      </c>
      <c r="B109" s="40">
        <f t="shared" si="18"/>
        <v>10</v>
      </c>
      <c r="C109" s="87">
        <v>55.467029571533203</v>
      </c>
      <c r="D109" s="85">
        <f t="shared" si="19"/>
        <v>0</v>
      </c>
      <c r="E109">
        <v>81.569549560546903</v>
      </c>
      <c r="F109" s="85">
        <f t="shared" si="20"/>
        <v>0</v>
      </c>
      <c r="G109">
        <v>166.699951171875</v>
      </c>
      <c r="H109" s="86">
        <f t="shared" si="21"/>
        <v>13.534545898011174</v>
      </c>
      <c r="I109">
        <v>126.604202270508</v>
      </c>
      <c r="J109" s="86">
        <f t="shared" si="22"/>
        <v>11.932373047002898</v>
      </c>
      <c r="K109">
        <v>190.86804199218801</v>
      </c>
      <c r="L109" s="86">
        <f t="shared" si="23"/>
        <v>15.243530272982753</v>
      </c>
      <c r="M109">
        <v>217.78759765625</v>
      </c>
      <c r="N109" s="86">
        <f t="shared" si="24"/>
        <v>15.304565430000139</v>
      </c>
      <c r="O109">
        <v>1484.28979492188</v>
      </c>
      <c r="P109" s="40">
        <f t="shared" si="15"/>
        <v>109.61914061999778</v>
      </c>
      <c r="Q109">
        <v>1127.14526367188</v>
      </c>
      <c r="R109" s="40">
        <f t="shared" si="16"/>
        <v>0.73242186999777914</v>
      </c>
      <c r="S109">
        <v>2757.22534179688</v>
      </c>
      <c r="T109" s="40">
        <f t="shared" si="17"/>
        <v>0.9765625</v>
      </c>
      <c r="U109">
        <v>33.874782562255902</v>
      </c>
      <c r="V109" s="33">
        <f t="shared" si="25"/>
        <v>3.2768249511008207</v>
      </c>
      <c r="W109">
        <v>226.73368835449199</v>
      </c>
      <c r="X109" s="90">
        <f t="shared" si="26"/>
        <v>19.378662110000278</v>
      </c>
    </row>
    <row r="110" spans="1:24" x14ac:dyDescent="0.25">
      <c r="A110" s="8">
        <v>42434.458333333336</v>
      </c>
      <c r="B110" s="40">
        <f t="shared" si="18"/>
        <v>11</v>
      </c>
      <c r="C110" s="87">
        <v>55.467029571533203</v>
      </c>
      <c r="D110" s="85">
        <f t="shared" si="19"/>
        <v>0</v>
      </c>
      <c r="E110">
        <v>81.569549560546903</v>
      </c>
      <c r="F110" s="85">
        <f t="shared" si="20"/>
        <v>0</v>
      </c>
      <c r="G110">
        <v>166.71348571777301</v>
      </c>
      <c r="H110" s="86">
        <f t="shared" si="21"/>
        <v>13.595581055000139</v>
      </c>
      <c r="I110">
        <v>126.616134643555</v>
      </c>
      <c r="J110" s="86">
        <f t="shared" si="22"/>
        <v>11.962890625</v>
      </c>
      <c r="K110">
        <v>190.88328552246099</v>
      </c>
      <c r="L110" s="86">
        <f t="shared" si="23"/>
        <v>15.304565430000139</v>
      </c>
      <c r="M110">
        <v>217.80290222168</v>
      </c>
      <c r="N110" s="86">
        <f t="shared" si="24"/>
        <v>15.151977539005657</v>
      </c>
      <c r="O110">
        <v>1484.3994140625</v>
      </c>
      <c r="P110" s="40">
        <f t="shared" si="15"/>
        <v>109.13085938000222</v>
      </c>
      <c r="Q110">
        <v>1127.14599609375</v>
      </c>
      <c r="R110" s="40">
        <f t="shared" si="16"/>
        <v>0.73242188000222086</v>
      </c>
      <c r="S110">
        <v>2757.22631835938</v>
      </c>
      <c r="T110" s="40">
        <f t="shared" si="17"/>
        <v>0.73242186999777914</v>
      </c>
      <c r="U110">
        <v>33.878059387207003</v>
      </c>
      <c r="V110" s="33">
        <f t="shared" si="25"/>
        <v>3.2691955566974684</v>
      </c>
      <c r="W110">
        <v>226.75306701660199</v>
      </c>
      <c r="X110" s="90">
        <f t="shared" si="26"/>
        <v>19.424438476022488</v>
      </c>
    </row>
    <row r="111" spans="1:24" x14ac:dyDescent="0.25">
      <c r="A111" s="8">
        <v>42434.5</v>
      </c>
      <c r="B111" s="40">
        <f t="shared" si="18"/>
        <v>12</v>
      </c>
      <c r="C111" s="87">
        <v>55.467029571533203</v>
      </c>
      <c r="D111" s="85">
        <f t="shared" si="19"/>
        <v>0</v>
      </c>
      <c r="E111">
        <v>81.569549560546903</v>
      </c>
      <c r="F111" s="85">
        <f t="shared" si="20"/>
        <v>3.8452148436931566</v>
      </c>
      <c r="G111">
        <v>166.72708129882801</v>
      </c>
      <c r="H111" s="86">
        <f t="shared" si="21"/>
        <v>13.610839843977374</v>
      </c>
      <c r="I111">
        <v>126.62809753418</v>
      </c>
      <c r="J111" s="86">
        <f t="shared" si="22"/>
        <v>11.962890625</v>
      </c>
      <c r="K111">
        <v>190.89859008789099</v>
      </c>
      <c r="L111" s="86">
        <f t="shared" si="23"/>
        <v>15.045166014999722</v>
      </c>
      <c r="M111">
        <v>217.81805419921901</v>
      </c>
      <c r="N111" s="86">
        <f t="shared" si="24"/>
        <v>14.999389647982753</v>
      </c>
      <c r="O111">
        <v>1484.50854492188</v>
      </c>
      <c r="P111" s="40">
        <f t="shared" si="15"/>
        <v>109.00878905999889</v>
      </c>
      <c r="Q111">
        <v>1127.14672851563</v>
      </c>
      <c r="R111" s="40">
        <f t="shared" si="16"/>
        <v>0.73242186999777914</v>
      </c>
      <c r="S111">
        <v>2757.22705078125</v>
      </c>
      <c r="T111" s="40">
        <f t="shared" si="17"/>
        <v>86.9140625</v>
      </c>
      <c r="U111">
        <v>33.8813285827637</v>
      </c>
      <c r="V111" s="33">
        <f t="shared" si="25"/>
        <v>3.1700134276988479</v>
      </c>
      <c r="W111">
        <v>226.77249145507801</v>
      </c>
      <c r="X111" s="90">
        <f t="shared" si="26"/>
        <v>19.48547363298303</v>
      </c>
    </row>
    <row r="112" spans="1:24" x14ac:dyDescent="0.25">
      <c r="A112" s="8">
        <v>42434.541666666664</v>
      </c>
      <c r="B112" s="40">
        <f t="shared" si="18"/>
        <v>13</v>
      </c>
      <c r="C112" s="87">
        <v>55.467029571533203</v>
      </c>
      <c r="D112" s="85">
        <f t="shared" si="19"/>
        <v>0</v>
      </c>
      <c r="E112">
        <v>81.573394775390597</v>
      </c>
      <c r="F112" s="85">
        <f t="shared" si="20"/>
        <v>5.5847167969034217</v>
      </c>
      <c r="G112">
        <v>166.74069213867199</v>
      </c>
      <c r="H112" s="86">
        <f t="shared" si="21"/>
        <v>13.488769531022626</v>
      </c>
      <c r="I112">
        <v>126.640060424805</v>
      </c>
      <c r="J112" s="86">
        <f t="shared" si="22"/>
        <v>11.901855467996825</v>
      </c>
      <c r="K112">
        <v>190.91363525390599</v>
      </c>
      <c r="L112" s="86">
        <f t="shared" si="23"/>
        <v>15.243530274005934</v>
      </c>
      <c r="M112">
        <v>217.83305358886699</v>
      </c>
      <c r="N112" s="86">
        <f t="shared" si="24"/>
        <v>15.319824219005795</v>
      </c>
      <c r="O112">
        <v>1484.61755371094</v>
      </c>
      <c r="P112" s="40">
        <f t="shared" si="15"/>
        <v>109.49707030999889</v>
      </c>
      <c r="Q112">
        <v>1127.1474609375</v>
      </c>
      <c r="R112" s="40">
        <f t="shared" si="16"/>
        <v>0.85449219000111043</v>
      </c>
      <c r="S112">
        <v>2757.31396484375</v>
      </c>
      <c r="T112" s="40">
        <f t="shared" si="17"/>
        <v>131.10351563000222</v>
      </c>
      <c r="U112">
        <v>33.884498596191399</v>
      </c>
      <c r="V112" s="33">
        <f t="shared" si="25"/>
        <v>3.2920837401988479</v>
      </c>
      <c r="W112">
        <v>226.79197692871099</v>
      </c>
      <c r="X112" s="90">
        <f t="shared" si="26"/>
        <v>19.454956055000139</v>
      </c>
    </row>
    <row r="113" spans="1:24" x14ac:dyDescent="0.25">
      <c r="A113" s="8">
        <v>42434.583333333336</v>
      </c>
      <c r="B113" s="40">
        <f t="shared" si="18"/>
        <v>14</v>
      </c>
      <c r="C113" s="87">
        <v>55.467029571533203</v>
      </c>
      <c r="D113" s="85">
        <f t="shared" si="19"/>
        <v>0</v>
      </c>
      <c r="E113">
        <v>81.5789794921875</v>
      </c>
      <c r="F113" s="85">
        <f t="shared" si="20"/>
        <v>5.5313110351988826</v>
      </c>
      <c r="G113">
        <v>166.75418090820301</v>
      </c>
      <c r="H113" s="86">
        <f t="shared" si="21"/>
        <v>13.473510741988548</v>
      </c>
      <c r="I113">
        <v>126.651962280273</v>
      </c>
      <c r="J113" s="86">
        <f t="shared" si="22"/>
        <v>11.817932129005726</v>
      </c>
      <c r="K113">
        <v>190.92887878418</v>
      </c>
      <c r="L113" s="86">
        <f t="shared" si="23"/>
        <v>15.274047850994066</v>
      </c>
      <c r="M113">
        <v>217.84837341308599</v>
      </c>
      <c r="N113" s="86">
        <f t="shared" si="24"/>
        <v>14.999389648011174</v>
      </c>
      <c r="O113">
        <v>1484.72705078125</v>
      </c>
      <c r="P113" s="40">
        <f t="shared" si="15"/>
        <v>109.375</v>
      </c>
      <c r="Q113">
        <v>1127.14831542969</v>
      </c>
      <c r="R113" s="40">
        <f t="shared" si="16"/>
        <v>0.9765625</v>
      </c>
      <c r="S113">
        <v>2757.44506835938</v>
      </c>
      <c r="T113" s="40">
        <f t="shared" si="17"/>
        <v>132.8125</v>
      </c>
      <c r="U113">
        <v>33.887790679931598</v>
      </c>
      <c r="V113" s="33">
        <f t="shared" si="25"/>
        <v>3.3187866211008554</v>
      </c>
      <c r="W113">
        <v>226.81143188476599</v>
      </c>
      <c r="X113" s="90">
        <f t="shared" si="26"/>
        <v>19.485473632016692</v>
      </c>
    </row>
    <row r="114" spans="1:24" x14ac:dyDescent="0.25">
      <c r="A114" s="8">
        <v>42434.625</v>
      </c>
      <c r="B114" s="40">
        <f t="shared" si="18"/>
        <v>15</v>
      </c>
      <c r="C114" s="87">
        <v>55.467029571533203</v>
      </c>
      <c r="D114" s="85">
        <f t="shared" si="19"/>
        <v>7.6293944957228632E-3</v>
      </c>
      <c r="E114">
        <v>81.584510803222699</v>
      </c>
      <c r="F114" s="85">
        <f t="shared" si="20"/>
        <v>5.5999755858948674</v>
      </c>
      <c r="G114">
        <v>166.767654418945</v>
      </c>
      <c r="H114" s="86">
        <f t="shared" si="21"/>
        <v>13.71765136801173</v>
      </c>
      <c r="I114">
        <v>126.663780212402</v>
      </c>
      <c r="J114" s="86">
        <f t="shared" si="22"/>
        <v>11.894226075000347</v>
      </c>
      <c r="K114">
        <v>190.94415283203099</v>
      </c>
      <c r="L114" s="86">
        <f t="shared" si="23"/>
        <v>15.289306640994482</v>
      </c>
      <c r="M114">
        <v>217.86337280273401</v>
      </c>
      <c r="N114" s="86">
        <f t="shared" si="24"/>
        <v>15.182495117983308</v>
      </c>
      <c r="O114">
        <v>1484.83642578125</v>
      </c>
      <c r="P114" s="40">
        <f t="shared" si="15"/>
        <v>108.27636719000111</v>
      </c>
      <c r="Q114">
        <v>1127.14929199219</v>
      </c>
      <c r="R114" s="40">
        <f t="shared" si="16"/>
        <v>0.85449219000111043</v>
      </c>
      <c r="S114">
        <v>2757.57788085938</v>
      </c>
      <c r="T114" s="40">
        <f t="shared" si="17"/>
        <v>131.59179686999778</v>
      </c>
      <c r="U114">
        <v>33.891109466552699</v>
      </c>
      <c r="V114" s="33">
        <f t="shared" si="25"/>
        <v>3.3721923827982891</v>
      </c>
      <c r="W114">
        <v>226.83091735839801</v>
      </c>
      <c r="X114" s="90">
        <f t="shared" si="26"/>
        <v>19.500732421988687</v>
      </c>
    </row>
    <row r="115" spans="1:24" x14ac:dyDescent="0.25">
      <c r="A115" s="8">
        <v>42434.666666666664</v>
      </c>
      <c r="B115" s="40">
        <f t="shared" si="18"/>
        <v>16</v>
      </c>
      <c r="C115" s="87">
        <v>55.467037200927699</v>
      </c>
      <c r="D115" s="85">
        <f t="shared" si="19"/>
        <v>0</v>
      </c>
      <c r="E115">
        <v>81.590110778808594</v>
      </c>
      <c r="F115" s="85">
        <f t="shared" si="20"/>
        <v>0.23651123051138256</v>
      </c>
      <c r="G115">
        <v>166.78137207031301</v>
      </c>
      <c r="H115" s="86">
        <f t="shared" si="21"/>
        <v>13.427734375</v>
      </c>
      <c r="I115">
        <v>126.675674438477</v>
      </c>
      <c r="J115" s="86">
        <f t="shared" si="22"/>
        <v>12.008666992002759</v>
      </c>
      <c r="K115">
        <v>190.95944213867199</v>
      </c>
      <c r="L115" s="86">
        <f t="shared" si="23"/>
        <v>15.151977539005657</v>
      </c>
      <c r="M115">
        <v>217.87855529785199</v>
      </c>
      <c r="N115" s="86">
        <f t="shared" si="24"/>
        <v>15.18249511701697</v>
      </c>
      <c r="O115">
        <v>1484.94470214844</v>
      </c>
      <c r="P115" s="40">
        <f t="shared" si="15"/>
        <v>112.42675780999889</v>
      </c>
      <c r="Q115">
        <v>1127.15014648438</v>
      </c>
      <c r="R115" s="40">
        <f t="shared" si="16"/>
        <v>0.61035155999888957</v>
      </c>
      <c r="S115">
        <v>2757.70947265625</v>
      </c>
      <c r="T115" s="40">
        <f t="shared" si="17"/>
        <v>8.0566406300022209</v>
      </c>
      <c r="U115">
        <v>33.894481658935497</v>
      </c>
      <c r="V115" s="33">
        <f t="shared" si="25"/>
        <v>3.1204223633025663</v>
      </c>
      <c r="W115">
        <v>226.85041809082</v>
      </c>
      <c r="X115" s="90">
        <f t="shared" si="26"/>
        <v>19.515991210994343</v>
      </c>
    </row>
    <row r="116" spans="1:24" x14ac:dyDescent="0.25">
      <c r="A116" s="8">
        <v>42434.708333333336</v>
      </c>
      <c r="B116" s="40">
        <f t="shared" si="18"/>
        <v>17</v>
      </c>
      <c r="C116" s="87">
        <v>55.467037200927699</v>
      </c>
      <c r="D116" s="85">
        <f t="shared" si="19"/>
        <v>0</v>
      </c>
      <c r="E116">
        <v>81.590347290039105</v>
      </c>
      <c r="F116" s="85">
        <f t="shared" si="20"/>
        <v>2.1514892577982891</v>
      </c>
      <c r="G116">
        <v>166.79479980468801</v>
      </c>
      <c r="H116" s="86">
        <f t="shared" si="21"/>
        <v>13.534545897982753</v>
      </c>
      <c r="I116">
        <v>126.68768310546901</v>
      </c>
      <c r="J116" s="86">
        <f t="shared" si="22"/>
        <v>11.894226073991376</v>
      </c>
      <c r="K116">
        <v>190.97459411621099</v>
      </c>
      <c r="L116" s="86">
        <f t="shared" si="23"/>
        <v>14.923095703011313</v>
      </c>
      <c r="M116">
        <v>217.89373779296901</v>
      </c>
      <c r="N116" s="86">
        <f t="shared" si="24"/>
        <v>14.907836914005657</v>
      </c>
      <c r="O116">
        <v>1485.05712890625</v>
      </c>
      <c r="P116" s="40">
        <f t="shared" si="15"/>
        <v>107.54394530999889</v>
      </c>
      <c r="Q116">
        <v>1127.15075683594</v>
      </c>
      <c r="R116" s="40">
        <f t="shared" si="16"/>
        <v>0.85449219000111043</v>
      </c>
      <c r="S116">
        <v>2757.71752929688</v>
      </c>
      <c r="T116" s="40">
        <f t="shared" si="17"/>
        <v>43.701171869997779</v>
      </c>
      <c r="U116">
        <v>33.8976020812988</v>
      </c>
      <c r="V116" s="33">
        <f t="shared" si="25"/>
        <v>3.2577514649005934</v>
      </c>
      <c r="W116">
        <v>226.86993408203099</v>
      </c>
      <c r="X116" s="90">
        <f t="shared" si="26"/>
        <v>19.149780274005934</v>
      </c>
    </row>
    <row r="117" spans="1:24" x14ac:dyDescent="0.25">
      <c r="A117" s="8">
        <v>42434.75</v>
      </c>
      <c r="B117" s="40">
        <f t="shared" si="18"/>
        <v>18</v>
      </c>
      <c r="C117" s="87">
        <v>55.467037200927699</v>
      </c>
      <c r="D117" s="85">
        <f t="shared" si="19"/>
        <v>0</v>
      </c>
      <c r="E117">
        <v>81.592498779296903</v>
      </c>
      <c r="F117" s="85">
        <f t="shared" si="20"/>
        <v>5.5465698241903283</v>
      </c>
      <c r="G117">
        <v>166.80833435058599</v>
      </c>
      <c r="H117" s="86">
        <f t="shared" si="21"/>
        <v>13.458251953011313</v>
      </c>
      <c r="I117">
        <v>126.699577331543</v>
      </c>
      <c r="J117" s="86">
        <f t="shared" si="22"/>
        <v>11.932373047002898</v>
      </c>
      <c r="K117">
        <v>190.98951721191401</v>
      </c>
      <c r="L117" s="86">
        <f t="shared" si="23"/>
        <v>15.472412109005518</v>
      </c>
      <c r="M117">
        <v>217.90864562988301</v>
      </c>
      <c r="N117" s="86">
        <f t="shared" si="24"/>
        <v>15.33508300798303</v>
      </c>
      <c r="O117">
        <v>1485.16467285156</v>
      </c>
      <c r="P117" s="40">
        <f t="shared" si="15"/>
        <v>109.49707032000333</v>
      </c>
      <c r="Q117">
        <v>1127.15161132813</v>
      </c>
      <c r="R117" s="40">
        <f t="shared" si="16"/>
        <v>0.85449217999666871</v>
      </c>
      <c r="S117">
        <v>2757.76123046875</v>
      </c>
      <c r="T117" s="40">
        <f t="shared" si="17"/>
        <v>131.34765625</v>
      </c>
      <c r="U117">
        <v>33.9008598327637</v>
      </c>
      <c r="V117" s="33">
        <f t="shared" si="25"/>
        <v>3.1890869139985512</v>
      </c>
      <c r="W117">
        <v>226.889083862305</v>
      </c>
      <c r="X117" s="90">
        <f t="shared" si="26"/>
        <v>19.638061523011174</v>
      </c>
    </row>
    <row r="118" spans="1:24" x14ac:dyDescent="0.25">
      <c r="A118" s="8">
        <v>42434.791666666664</v>
      </c>
      <c r="B118" s="40">
        <f t="shared" si="18"/>
        <v>19</v>
      </c>
      <c r="C118" s="87">
        <v>55.467037200927699</v>
      </c>
      <c r="D118" s="85">
        <f t="shared" si="19"/>
        <v>1.5258789098027137E-2</v>
      </c>
      <c r="E118">
        <v>81.598045349121094</v>
      </c>
      <c r="F118" s="85">
        <f t="shared" si="20"/>
        <v>5.4779052734090783</v>
      </c>
      <c r="G118">
        <v>166.82179260253901</v>
      </c>
      <c r="H118" s="86">
        <f t="shared" si="21"/>
        <v>13.427734375</v>
      </c>
      <c r="I118">
        <v>126.71150970459</v>
      </c>
      <c r="J118" s="86">
        <f t="shared" si="22"/>
        <v>11.894226074005587</v>
      </c>
      <c r="K118">
        <v>191.00498962402301</v>
      </c>
      <c r="L118" s="86">
        <f t="shared" si="23"/>
        <v>14.938354492983308</v>
      </c>
      <c r="M118">
        <v>217.92398071289099</v>
      </c>
      <c r="N118" s="86">
        <f t="shared" si="24"/>
        <v>14.892578125</v>
      </c>
      <c r="O118">
        <v>1485.27416992188</v>
      </c>
      <c r="P118" s="40">
        <f t="shared" si="15"/>
        <v>108.52050780999889</v>
      </c>
      <c r="Q118">
        <v>1127.15246582031</v>
      </c>
      <c r="R118" s="40">
        <f t="shared" si="16"/>
        <v>0.73242188000222086</v>
      </c>
      <c r="S118">
        <v>2757.892578125</v>
      </c>
      <c r="T118" s="40">
        <f t="shared" si="17"/>
        <v>129.8828125</v>
      </c>
      <c r="U118">
        <v>33.904048919677699</v>
      </c>
      <c r="V118" s="33">
        <f t="shared" si="25"/>
        <v>3.1433105469034217</v>
      </c>
      <c r="W118">
        <v>226.90872192382801</v>
      </c>
      <c r="X118" s="90">
        <f t="shared" si="26"/>
        <v>19.088745116988548</v>
      </c>
    </row>
    <row r="119" spans="1:24" x14ac:dyDescent="0.25">
      <c r="A119" s="8">
        <v>42434.833333333336</v>
      </c>
      <c r="B119" s="40">
        <f t="shared" si="18"/>
        <v>20</v>
      </c>
      <c r="C119" s="87">
        <v>55.467052459716797</v>
      </c>
      <c r="D119" s="85">
        <f t="shared" si="19"/>
        <v>7.6293945028282906E-3</v>
      </c>
      <c r="E119">
        <v>81.603523254394503</v>
      </c>
      <c r="F119" s="85">
        <f t="shared" si="20"/>
        <v>5.5770874024005934</v>
      </c>
      <c r="G119">
        <v>166.83522033691401</v>
      </c>
      <c r="H119" s="86">
        <f t="shared" si="21"/>
        <v>13.488769530994205</v>
      </c>
      <c r="I119">
        <v>126.72340393066401</v>
      </c>
      <c r="J119" s="86">
        <f t="shared" si="22"/>
        <v>11.917114257997241</v>
      </c>
      <c r="K119">
        <v>191.01992797851599</v>
      </c>
      <c r="L119" s="86">
        <f t="shared" si="23"/>
        <v>15.213012694999861</v>
      </c>
      <c r="M119">
        <v>217.93887329101599</v>
      </c>
      <c r="N119" s="86">
        <f t="shared" si="24"/>
        <v>15.258789062016831</v>
      </c>
      <c r="O119">
        <v>1485.38269042969</v>
      </c>
      <c r="P119" s="40">
        <f t="shared" si="15"/>
        <v>109.13085936999778</v>
      </c>
      <c r="Q119">
        <v>1127.15319824219</v>
      </c>
      <c r="R119" s="40">
        <f t="shared" si="16"/>
        <v>0.9765625</v>
      </c>
      <c r="S119">
        <v>2758.0224609375</v>
      </c>
      <c r="T119" s="40">
        <f t="shared" si="17"/>
        <v>131.10351563000222</v>
      </c>
      <c r="U119">
        <v>33.907192230224602</v>
      </c>
      <c r="V119" s="33">
        <f t="shared" si="25"/>
        <v>3.1471252441974684</v>
      </c>
      <c r="W119">
        <v>226.927810668945</v>
      </c>
      <c r="X119" s="90">
        <f t="shared" si="26"/>
        <v>19.454956055000139</v>
      </c>
    </row>
    <row r="120" spans="1:24" x14ac:dyDescent="0.25">
      <c r="A120" s="8">
        <v>42434.875</v>
      </c>
      <c r="B120" s="40">
        <f t="shared" si="18"/>
        <v>21</v>
      </c>
      <c r="C120" s="87">
        <v>55.4670600891113</v>
      </c>
      <c r="D120" s="85">
        <f t="shared" si="19"/>
        <v>1.1444091796875E-2</v>
      </c>
      <c r="E120">
        <v>81.609100341796903</v>
      </c>
      <c r="F120" s="85">
        <f t="shared" si="20"/>
        <v>5.5389404297017109</v>
      </c>
      <c r="G120">
        <v>166.848709106445</v>
      </c>
      <c r="H120" s="86">
        <f t="shared" si="21"/>
        <v>13.534545899005934</v>
      </c>
      <c r="I120">
        <v>126.735321044922</v>
      </c>
      <c r="J120" s="86">
        <f t="shared" si="22"/>
        <v>11.772155762002967</v>
      </c>
      <c r="K120">
        <v>191.03514099121099</v>
      </c>
      <c r="L120" s="86">
        <f t="shared" si="23"/>
        <v>15.258789062016831</v>
      </c>
      <c r="M120">
        <v>217.95413208007801</v>
      </c>
      <c r="N120" s="86">
        <f t="shared" si="24"/>
        <v>15.228271485000278</v>
      </c>
      <c r="O120">
        <v>1485.49182128906</v>
      </c>
      <c r="P120" s="40">
        <f t="shared" si="15"/>
        <v>108.27636719000111</v>
      </c>
      <c r="Q120">
        <v>1127.15417480469</v>
      </c>
      <c r="R120" s="40">
        <f t="shared" si="16"/>
        <v>0.85449219000111043</v>
      </c>
      <c r="S120">
        <v>2758.15356445313</v>
      </c>
      <c r="T120" s="40">
        <f t="shared" si="17"/>
        <v>234.86328125</v>
      </c>
      <c r="U120">
        <v>33.9103393554688</v>
      </c>
      <c r="V120" s="33">
        <f t="shared" si="25"/>
        <v>3.0899047850994066</v>
      </c>
      <c r="W120">
        <v>226.947265625</v>
      </c>
      <c r="X120" s="90">
        <f t="shared" si="26"/>
        <v>19.454956055000139</v>
      </c>
    </row>
    <row r="121" spans="1:24" x14ac:dyDescent="0.25">
      <c r="A121" s="8">
        <v>42434.916666666664</v>
      </c>
      <c r="B121" s="40">
        <f t="shared" si="18"/>
        <v>22</v>
      </c>
      <c r="C121" s="87">
        <v>55.467071533203097</v>
      </c>
      <c r="D121" s="85">
        <f t="shared" si="19"/>
        <v>0</v>
      </c>
      <c r="E121">
        <v>81.614639282226605</v>
      </c>
      <c r="F121" s="85">
        <f t="shared" si="20"/>
        <v>5.5313110350994066</v>
      </c>
      <c r="G121">
        <v>166.86224365234401</v>
      </c>
      <c r="H121" s="86">
        <f t="shared" si="21"/>
        <v>13.504028319999861</v>
      </c>
      <c r="I121">
        <v>126.74709320068401</v>
      </c>
      <c r="J121" s="86">
        <f t="shared" si="22"/>
        <v>11.91711425698827</v>
      </c>
      <c r="K121">
        <v>191.05039978027301</v>
      </c>
      <c r="L121" s="86">
        <f t="shared" si="23"/>
        <v>15.167236328977651</v>
      </c>
      <c r="M121">
        <v>217.96936035156301</v>
      </c>
      <c r="N121" s="86">
        <f t="shared" si="24"/>
        <v>15.197753905994205</v>
      </c>
      <c r="O121">
        <v>1485.60009765625</v>
      </c>
      <c r="P121" s="40">
        <f t="shared" si="15"/>
        <v>109.49707030999889</v>
      </c>
      <c r="Q121">
        <v>1127.15502929688</v>
      </c>
      <c r="R121" s="40">
        <f t="shared" si="16"/>
        <v>0.85449217999666871</v>
      </c>
      <c r="S121">
        <v>2758.38842773438</v>
      </c>
      <c r="T121" s="40">
        <f t="shared" si="17"/>
        <v>108.64257811999778</v>
      </c>
      <c r="U121">
        <v>33.913429260253899</v>
      </c>
      <c r="V121" s="33">
        <f t="shared" si="25"/>
        <v>3.1394958496022696</v>
      </c>
      <c r="W121">
        <v>226.966720581055</v>
      </c>
      <c r="X121" s="90">
        <f t="shared" si="26"/>
        <v>19.470214843011036</v>
      </c>
    </row>
    <row r="122" spans="1:24" x14ac:dyDescent="0.25">
      <c r="A122" s="8">
        <v>42434.958333333336</v>
      </c>
      <c r="B122" s="40">
        <f t="shared" si="18"/>
        <v>23</v>
      </c>
      <c r="C122" s="87">
        <v>55.467071533203097</v>
      </c>
      <c r="D122" s="85">
        <f t="shared" si="19"/>
        <v>0</v>
      </c>
      <c r="E122">
        <v>81.620170593261705</v>
      </c>
      <c r="F122" s="85">
        <f t="shared" si="20"/>
        <v>5.5847167968892109</v>
      </c>
      <c r="G122">
        <v>166.87574768066401</v>
      </c>
      <c r="H122" s="86">
        <f t="shared" si="21"/>
        <v>13.412475585994343</v>
      </c>
      <c r="I122">
        <v>126.75901031494099</v>
      </c>
      <c r="J122" s="86">
        <f t="shared" si="22"/>
        <v>11.92474365301166</v>
      </c>
      <c r="K122">
        <v>191.06556701660199</v>
      </c>
      <c r="L122" s="86">
        <f t="shared" si="23"/>
        <v>15.289306639999722</v>
      </c>
      <c r="M122">
        <v>217.98455810546901</v>
      </c>
      <c r="N122" s="86">
        <f t="shared" si="24"/>
        <v>15.228271484005518</v>
      </c>
      <c r="O122">
        <v>1485.70959472656</v>
      </c>
      <c r="P122" s="40">
        <f t="shared" si="15"/>
        <v>109.61914063000222</v>
      </c>
      <c r="Q122">
        <v>1127.15588378906</v>
      </c>
      <c r="R122" s="40">
        <f t="shared" si="16"/>
        <v>0.73242188000222086</v>
      </c>
      <c r="S122">
        <v>2758.4970703125</v>
      </c>
      <c r="T122" s="40">
        <f t="shared" si="17"/>
        <v>105.46875</v>
      </c>
      <c r="U122">
        <v>33.916568756103501</v>
      </c>
      <c r="V122" s="33">
        <f t="shared" si="25"/>
        <v>3.1623840331960196</v>
      </c>
      <c r="W122">
        <v>226.98619079589801</v>
      </c>
      <c r="X122" s="90">
        <f t="shared" si="26"/>
        <v>19.500732421988687</v>
      </c>
    </row>
    <row r="123" spans="1:24" x14ac:dyDescent="0.25">
      <c r="A123" s="8">
        <v>42435</v>
      </c>
      <c r="B123" s="40">
        <f t="shared" si="18"/>
        <v>0</v>
      </c>
      <c r="C123" s="87">
        <v>55.467071533203097</v>
      </c>
      <c r="D123" s="85">
        <f t="shared" si="19"/>
        <v>0</v>
      </c>
      <c r="E123">
        <v>81.625755310058594</v>
      </c>
      <c r="F123" s="85">
        <f t="shared" si="20"/>
        <v>5.5313110352130934</v>
      </c>
      <c r="G123">
        <v>166.88916015625</v>
      </c>
      <c r="H123" s="86">
        <f t="shared" si="21"/>
        <v>13.519287109005518</v>
      </c>
      <c r="I123">
        <v>126.77093505859401</v>
      </c>
      <c r="J123" s="86">
        <f t="shared" si="22"/>
        <v>11.878967284999931</v>
      </c>
      <c r="K123">
        <v>191.08085632324199</v>
      </c>
      <c r="L123" s="86">
        <f t="shared" si="23"/>
        <v>15.228271485000278</v>
      </c>
      <c r="M123">
        <v>217.99978637695301</v>
      </c>
      <c r="N123" s="86">
        <f t="shared" si="24"/>
        <v>14.907836913977235</v>
      </c>
      <c r="O123">
        <v>1485.81921386719</v>
      </c>
      <c r="P123" s="40">
        <f t="shared" si="15"/>
        <v>109.49707030999889</v>
      </c>
      <c r="Q123">
        <v>1127.15661621094</v>
      </c>
      <c r="R123" s="40">
        <f t="shared" si="16"/>
        <v>0.85449219000111043</v>
      </c>
      <c r="S123">
        <v>2758.6025390625</v>
      </c>
      <c r="T123" s="40">
        <f t="shared" si="17"/>
        <v>104.73632813000222</v>
      </c>
      <c r="U123">
        <v>33.919731140136697</v>
      </c>
      <c r="V123" s="33">
        <f t="shared" si="25"/>
        <v>3.2196044922017109</v>
      </c>
      <c r="W123">
        <v>227.00569152832</v>
      </c>
      <c r="X123" s="90">
        <f t="shared" si="26"/>
        <v>19.348144531988964</v>
      </c>
    </row>
    <row r="124" spans="1:24" x14ac:dyDescent="0.25">
      <c r="A124" s="8">
        <v>42435.041666666664</v>
      </c>
      <c r="B124" s="40">
        <f t="shared" si="18"/>
        <v>1</v>
      </c>
      <c r="C124" s="87">
        <v>55.467071533203097</v>
      </c>
      <c r="D124" s="85">
        <f t="shared" si="19"/>
        <v>7.6293946023042736E-3</v>
      </c>
      <c r="E124">
        <v>81.631286621093807</v>
      </c>
      <c r="F124" s="85">
        <f t="shared" si="20"/>
        <v>5.5618286131959849</v>
      </c>
      <c r="G124">
        <v>166.90267944335901</v>
      </c>
      <c r="H124" s="86">
        <f t="shared" si="21"/>
        <v>13.366699219005795</v>
      </c>
      <c r="I124">
        <v>126.78281402587901</v>
      </c>
      <c r="J124" s="86">
        <f t="shared" si="22"/>
        <v>11.901855468991585</v>
      </c>
      <c r="K124">
        <v>191.09608459472699</v>
      </c>
      <c r="L124" s="86">
        <f t="shared" si="23"/>
        <v>15.228271484005518</v>
      </c>
      <c r="M124">
        <v>218.01469421386699</v>
      </c>
      <c r="N124" s="86">
        <f t="shared" si="24"/>
        <v>15.151977539005657</v>
      </c>
      <c r="O124">
        <v>1485.9287109375</v>
      </c>
      <c r="P124" s="40">
        <f t="shared" si="15"/>
        <v>109.375</v>
      </c>
      <c r="Q124">
        <v>1127.15747070313</v>
      </c>
      <c r="R124" s="40">
        <f t="shared" si="16"/>
        <v>0.85449217999666871</v>
      </c>
      <c r="S124">
        <v>2758.70727539063</v>
      </c>
      <c r="T124" s="40">
        <f t="shared" si="17"/>
        <v>104.00390625</v>
      </c>
      <c r="U124">
        <v>33.922950744628899</v>
      </c>
      <c r="V124" s="33">
        <f t="shared" si="25"/>
        <v>3.2501220702982891</v>
      </c>
      <c r="W124">
        <v>227.02503967285199</v>
      </c>
      <c r="X124" s="90">
        <f t="shared" si="26"/>
        <v>19.393920898011174</v>
      </c>
    </row>
    <row r="125" spans="1:24" x14ac:dyDescent="0.25">
      <c r="A125" s="8">
        <v>42435.083333333336</v>
      </c>
      <c r="B125" s="40">
        <f t="shared" si="18"/>
        <v>2</v>
      </c>
      <c r="C125" s="87">
        <v>55.467079162597699</v>
      </c>
      <c r="D125" s="85">
        <f t="shared" si="19"/>
        <v>0</v>
      </c>
      <c r="E125">
        <v>81.636848449707003</v>
      </c>
      <c r="F125" s="85">
        <f t="shared" si="20"/>
        <v>4.3106079101988826</v>
      </c>
      <c r="G125">
        <v>166.91604614257801</v>
      </c>
      <c r="H125" s="86">
        <f t="shared" si="21"/>
        <v>13.504028319999861</v>
      </c>
      <c r="I125">
        <v>126.794715881348</v>
      </c>
      <c r="J125" s="86">
        <f t="shared" si="22"/>
        <v>11.940002441008346</v>
      </c>
      <c r="K125">
        <v>191.11131286621099</v>
      </c>
      <c r="L125" s="86">
        <f t="shared" si="23"/>
        <v>15.121459960994343</v>
      </c>
      <c r="M125">
        <v>218.02984619140599</v>
      </c>
      <c r="N125" s="86">
        <f t="shared" si="24"/>
        <v>15.151977539005657</v>
      </c>
      <c r="O125">
        <v>1486.0380859375</v>
      </c>
      <c r="P125" s="40">
        <f t="shared" si="15"/>
        <v>109.86328125</v>
      </c>
      <c r="Q125">
        <v>1127.15832519531</v>
      </c>
      <c r="R125" s="40">
        <f t="shared" si="16"/>
        <v>0.85449219000111043</v>
      </c>
      <c r="S125">
        <v>2758.81127929688</v>
      </c>
      <c r="T125" s="40">
        <f t="shared" si="17"/>
        <v>76.416015619997779</v>
      </c>
      <c r="U125">
        <v>33.926200866699197</v>
      </c>
      <c r="V125" s="33">
        <f t="shared" si="25"/>
        <v>3.2997131348011521</v>
      </c>
      <c r="W125">
        <v>227.04443359375</v>
      </c>
      <c r="X125" s="90">
        <f t="shared" si="26"/>
        <v>19.470214844005795</v>
      </c>
    </row>
    <row r="126" spans="1:24" x14ac:dyDescent="0.25">
      <c r="A126" s="8">
        <v>42435.125</v>
      </c>
      <c r="B126" s="40">
        <f t="shared" si="18"/>
        <v>3</v>
      </c>
      <c r="C126" s="87">
        <v>55.467079162597699</v>
      </c>
      <c r="D126" s="85">
        <f t="shared" si="19"/>
        <v>0</v>
      </c>
      <c r="E126">
        <v>81.641159057617202</v>
      </c>
      <c r="F126" s="85">
        <f t="shared" si="20"/>
        <v>0</v>
      </c>
      <c r="G126">
        <v>166.92955017089801</v>
      </c>
      <c r="H126" s="86">
        <f t="shared" si="21"/>
        <v>13.641357421988687</v>
      </c>
      <c r="I126">
        <v>126.80665588378901</v>
      </c>
      <c r="J126" s="86">
        <f t="shared" si="22"/>
        <v>11.940002440994135</v>
      </c>
      <c r="K126">
        <v>191.12643432617199</v>
      </c>
      <c r="L126" s="86">
        <f t="shared" si="23"/>
        <v>15.151977539005657</v>
      </c>
      <c r="M126">
        <v>218.044998168945</v>
      </c>
      <c r="N126" s="86">
        <f t="shared" si="24"/>
        <v>15.151977539005657</v>
      </c>
      <c r="O126">
        <v>1486.14794921875</v>
      </c>
      <c r="P126" s="40">
        <f t="shared" si="15"/>
        <v>109.61914063000222</v>
      </c>
      <c r="Q126">
        <v>1127.1591796875</v>
      </c>
      <c r="R126" s="40">
        <f t="shared" si="16"/>
        <v>0.73242188000222086</v>
      </c>
      <c r="S126">
        <v>2758.8876953125</v>
      </c>
      <c r="T126" s="40">
        <f t="shared" si="17"/>
        <v>0.48828125</v>
      </c>
      <c r="U126">
        <v>33.929500579833999</v>
      </c>
      <c r="V126" s="33">
        <f t="shared" si="25"/>
        <v>3.0708312987997033</v>
      </c>
      <c r="W126">
        <v>227.06390380859401</v>
      </c>
      <c r="X126" s="90">
        <f t="shared" si="26"/>
        <v>19.226074219005795</v>
      </c>
    </row>
    <row r="127" spans="1:24" x14ac:dyDescent="0.25">
      <c r="A127" s="8">
        <v>42435.166666666664</v>
      </c>
      <c r="B127" s="40">
        <f t="shared" si="18"/>
        <v>4</v>
      </c>
      <c r="C127" s="87">
        <v>55.467079162597699</v>
      </c>
      <c r="D127" s="85">
        <f t="shared" si="19"/>
        <v>0</v>
      </c>
      <c r="E127">
        <v>81.641159057617202</v>
      </c>
      <c r="F127" s="85">
        <f t="shared" si="20"/>
        <v>0</v>
      </c>
      <c r="G127">
        <v>166.94319152832</v>
      </c>
      <c r="H127" s="86">
        <f t="shared" si="21"/>
        <v>13.626098633011452</v>
      </c>
      <c r="I127">
        <v>126.81859588623</v>
      </c>
      <c r="J127" s="86">
        <f t="shared" si="22"/>
        <v>12.023925782003175</v>
      </c>
      <c r="K127">
        <v>191.14158630371099</v>
      </c>
      <c r="L127" s="86">
        <f t="shared" si="23"/>
        <v>15.335083008011452</v>
      </c>
      <c r="M127">
        <v>218.06015014648401</v>
      </c>
      <c r="N127" s="86">
        <f t="shared" si="24"/>
        <v>15.289306640994482</v>
      </c>
      <c r="O127">
        <v>1486.25756835938</v>
      </c>
      <c r="P127" s="40">
        <f t="shared" si="15"/>
        <v>108.64257811999778</v>
      </c>
      <c r="Q127">
        <v>1127.15991210938</v>
      </c>
      <c r="R127" s="40">
        <f t="shared" si="16"/>
        <v>0.73242186999777914</v>
      </c>
      <c r="S127">
        <v>2758.88818359375</v>
      </c>
      <c r="T127" s="40">
        <f t="shared" si="17"/>
        <v>0.73242188000222086</v>
      </c>
      <c r="U127">
        <v>33.932571411132798</v>
      </c>
      <c r="V127" s="33">
        <f t="shared" si="25"/>
        <v>3.0059814452982891</v>
      </c>
      <c r="W127">
        <v>227.08312988281301</v>
      </c>
      <c r="X127" s="90">
        <f t="shared" si="26"/>
        <v>19.470214842982614</v>
      </c>
    </row>
    <row r="128" spans="1:24" x14ac:dyDescent="0.25">
      <c r="A128" s="8">
        <v>42435.208333333336</v>
      </c>
      <c r="B128" s="40">
        <f t="shared" si="18"/>
        <v>5</v>
      </c>
      <c r="C128" s="87">
        <v>55.467079162597699</v>
      </c>
      <c r="D128" s="85">
        <f t="shared" si="19"/>
        <v>0</v>
      </c>
      <c r="E128">
        <v>81.641159057617202</v>
      </c>
      <c r="F128" s="85">
        <f t="shared" si="20"/>
        <v>2.6016235350994066</v>
      </c>
      <c r="G128">
        <v>166.95681762695301</v>
      </c>
      <c r="H128" s="86">
        <f t="shared" si="21"/>
        <v>13.549804687983169</v>
      </c>
      <c r="I128">
        <v>126.830619812012</v>
      </c>
      <c r="J128" s="86">
        <f t="shared" si="22"/>
        <v>11.940002440994135</v>
      </c>
      <c r="K128">
        <v>191.15692138671901</v>
      </c>
      <c r="L128" s="86">
        <f t="shared" si="23"/>
        <v>15.228271484005518</v>
      </c>
      <c r="M128">
        <v>218.075439453125</v>
      </c>
      <c r="N128" s="86">
        <f t="shared" si="24"/>
        <v>15.197753905994205</v>
      </c>
      <c r="O128">
        <v>1486.3662109375</v>
      </c>
      <c r="P128" s="40">
        <f t="shared" si="15"/>
        <v>108.15429688000222</v>
      </c>
      <c r="Q128">
        <v>1127.16064453125</v>
      </c>
      <c r="R128" s="40">
        <f t="shared" si="16"/>
        <v>0.85449219000111043</v>
      </c>
      <c r="S128">
        <v>2758.88891601563</v>
      </c>
      <c r="T128" s="40">
        <f t="shared" si="17"/>
        <v>35.888671869997779</v>
      </c>
      <c r="U128">
        <v>33.935577392578097</v>
      </c>
      <c r="V128" s="33">
        <f t="shared" si="25"/>
        <v>2.9716491699005587</v>
      </c>
      <c r="W128">
        <v>227.10260009765599</v>
      </c>
      <c r="X128" s="90">
        <f t="shared" si="26"/>
        <v>19.317626953011313</v>
      </c>
    </row>
    <row r="129" spans="1:24" x14ac:dyDescent="0.25">
      <c r="A129" s="8">
        <v>42435.25</v>
      </c>
      <c r="B129" s="40">
        <f t="shared" si="18"/>
        <v>6</v>
      </c>
      <c r="C129" s="87">
        <v>55.467079162597699</v>
      </c>
      <c r="D129" s="85">
        <f t="shared" si="19"/>
        <v>0</v>
      </c>
      <c r="E129">
        <v>81.643760681152301</v>
      </c>
      <c r="F129" s="85">
        <f t="shared" si="20"/>
        <v>5.5694580078977651</v>
      </c>
      <c r="G129">
        <v>166.97036743164099</v>
      </c>
      <c r="H129" s="86">
        <f t="shared" si="21"/>
        <v>13.47351074201697</v>
      </c>
      <c r="I129">
        <v>126.842559814453</v>
      </c>
      <c r="J129" s="86">
        <f t="shared" si="22"/>
        <v>11.894226074005587</v>
      </c>
      <c r="K129">
        <v>191.17214965820301</v>
      </c>
      <c r="L129" s="86">
        <f t="shared" si="23"/>
        <v>15.09094238298303</v>
      </c>
      <c r="M129">
        <v>218.09063720703099</v>
      </c>
      <c r="N129" s="86">
        <f t="shared" si="24"/>
        <v>15.167236328011313</v>
      </c>
      <c r="O129">
        <v>1486.47436523438</v>
      </c>
      <c r="P129" s="40">
        <f t="shared" si="15"/>
        <v>107.17773436999778</v>
      </c>
      <c r="Q129">
        <v>1127.16149902344</v>
      </c>
      <c r="R129" s="40">
        <f t="shared" si="16"/>
        <v>0.73242186999777914</v>
      </c>
      <c r="S129">
        <v>2758.9248046875</v>
      </c>
      <c r="T129" s="40">
        <f t="shared" si="17"/>
        <v>110.59570313000222</v>
      </c>
      <c r="U129">
        <v>33.938549041747997</v>
      </c>
      <c r="V129" s="33">
        <f t="shared" si="25"/>
        <v>3.1890869141051326</v>
      </c>
      <c r="W129">
        <v>227.12191772460901</v>
      </c>
      <c r="X129" s="90">
        <f t="shared" si="26"/>
        <v>19.424438476988826</v>
      </c>
    </row>
    <row r="130" spans="1:24" x14ac:dyDescent="0.25">
      <c r="A130" s="8">
        <v>42435.291666666664</v>
      </c>
      <c r="B130" s="40">
        <f t="shared" si="18"/>
        <v>7</v>
      </c>
      <c r="C130" s="87">
        <v>55.467079162597699</v>
      </c>
      <c r="D130" s="85">
        <f t="shared" si="19"/>
        <v>0</v>
      </c>
      <c r="E130">
        <v>81.649330139160199</v>
      </c>
      <c r="F130" s="85">
        <f t="shared" si="20"/>
        <v>5.5770874023011174</v>
      </c>
      <c r="G130">
        <v>166.98384094238301</v>
      </c>
      <c r="H130" s="86">
        <f t="shared" si="21"/>
        <v>13.397216796988687</v>
      </c>
      <c r="I130">
        <v>126.854454040527</v>
      </c>
      <c r="J130" s="86">
        <f t="shared" si="22"/>
        <v>11.71875</v>
      </c>
      <c r="K130">
        <v>191.18724060058599</v>
      </c>
      <c r="L130" s="86">
        <f t="shared" si="23"/>
        <v>15.243530273011174</v>
      </c>
      <c r="M130">
        <v>218.10580444335901</v>
      </c>
      <c r="N130" s="86">
        <f t="shared" si="24"/>
        <v>15.13671875</v>
      </c>
      <c r="O130">
        <v>1486.58154296875</v>
      </c>
      <c r="P130" s="40">
        <f t="shared" si="15"/>
        <v>109.98535155999889</v>
      </c>
      <c r="Q130">
        <v>1127.16223144531</v>
      </c>
      <c r="R130" s="40">
        <f t="shared" si="16"/>
        <v>0.73242188000222086</v>
      </c>
      <c r="S130">
        <v>2759.03540039063</v>
      </c>
      <c r="T130" s="40">
        <f t="shared" si="17"/>
        <v>110.10742186999778</v>
      </c>
      <c r="U130">
        <v>33.941738128662102</v>
      </c>
      <c r="V130" s="33">
        <f t="shared" si="25"/>
        <v>3.3340454101988826</v>
      </c>
      <c r="W130">
        <v>227.14134216308599</v>
      </c>
      <c r="X130" s="90">
        <f t="shared" si="26"/>
        <v>19.424438477017247</v>
      </c>
    </row>
    <row r="131" spans="1:24" x14ac:dyDescent="0.25">
      <c r="A131" s="8">
        <v>42435.333333333336</v>
      </c>
      <c r="B131" s="40">
        <f t="shared" si="18"/>
        <v>8</v>
      </c>
      <c r="C131" s="87">
        <v>55.467079162597699</v>
      </c>
      <c r="D131" s="85">
        <f t="shared" si="19"/>
        <v>0</v>
      </c>
      <c r="E131">
        <v>81.6549072265625</v>
      </c>
      <c r="F131" s="85">
        <f t="shared" si="20"/>
        <v>0.57220458980111744</v>
      </c>
      <c r="G131">
        <v>166.99723815918</v>
      </c>
      <c r="H131" s="86">
        <f t="shared" si="21"/>
        <v>13.580322264999722</v>
      </c>
      <c r="I131">
        <v>126.866172790527</v>
      </c>
      <c r="J131" s="86">
        <f t="shared" si="22"/>
        <v>12.138366700000347</v>
      </c>
      <c r="K131">
        <v>191.20248413085901</v>
      </c>
      <c r="L131" s="86">
        <f t="shared" si="23"/>
        <v>15.243530274005934</v>
      </c>
      <c r="M131">
        <v>218.12094116210901</v>
      </c>
      <c r="N131" s="86">
        <f t="shared" si="24"/>
        <v>15.258789062983169</v>
      </c>
      <c r="O131">
        <v>1486.69152832031</v>
      </c>
      <c r="P131" s="40">
        <f t="shared" ref="P131:P194" si="27">+(O132-O131)*1000</f>
        <v>110.96191407000333</v>
      </c>
      <c r="Q131">
        <v>1127.16296386719</v>
      </c>
      <c r="R131" s="40">
        <f t="shared" ref="R131:R194" si="28">+(Q132-Q131)*1000</f>
        <v>0.73242186999777914</v>
      </c>
      <c r="S131">
        <v>2759.1455078125</v>
      </c>
      <c r="T131" s="40">
        <f t="shared" ref="T131:T194" si="29">+(S132-S131)*1000</f>
        <v>7.5683593800022209</v>
      </c>
      <c r="U131">
        <v>33.945072174072301</v>
      </c>
      <c r="V131" s="33">
        <f t="shared" si="25"/>
        <v>3.307342529296875</v>
      </c>
      <c r="W131">
        <v>227.16076660156301</v>
      </c>
      <c r="X131" s="90">
        <f t="shared" si="26"/>
        <v>19.088745116988548</v>
      </c>
    </row>
    <row r="132" spans="1:24" x14ac:dyDescent="0.25">
      <c r="A132" s="8">
        <v>42435.375</v>
      </c>
      <c r="B132" s="40">
        <f t="shared" ref="B132:B195" si="30">+HOUR(A132)</f>
        <v>9</v>
      </c>
      <c r="C132" s="87">
        <v>55.467079162597699</v>
      </c>
      <c r="D132" s="85">
        <f t="shared" ref="D132:D195" si="31">+(C133-C132)*1000</f>
        <v>0</v>
      </c>
      <c r="E132">
        <v>81.655479431152301</v>
      </c>
      <c r="F132" s="85">
        <f t="shared" ref="F132:F195" si="32">+(E133-E132)*1000</f>
        <v>0</v>
      </c>
      <c r="G132">
        <v>167.010818481445</v>
      </c>
      <c r="H132" s="86">
        <f t="shared" ref="H132:H195" si="33">+(G133-G132)*1000</f>
        <v>13.641357421988687</v>
      </c>
      <c r="I132">
        <v>126.878311157227</v>
      </c>
      <c r="J132" s="86">
        <f t="shared" ref="J132:J195" si="34">+(I133-I132)*1000</f>
        <v>11.970520018991238</v>
      </c>
      <c r="K132">
        <v>191.21772766113301</v>
      </c>
      <c r="L132" s="86">
        <f t="shared" ref="L132:L195" si="35">+(K133-K132)*1000</f>
        <v>15.289306639999722</v>
      </c>
      <c r="M132">
        <v>218.13619995117199</v>
      </c>
      <c r="N132" s="86">
        <f t="shared" ref="N132:N195" si="36">+(M133-M132)*1000</f>
        <v>15.151977539005657</v>
      </c>
      <c r="O132">
        <v>1486.80249023438</v>
      </c>
      <c r="P132" s="40">
        <f t="shared" si="27"/>
        <v>108.03222655999889</v>
      </c>
      <c r="Q132">
        <v>1127.16369628906</v>
      </c>
      <c r="R132" s="40">
        <f t="shared" si="28"/>
        <v>0.85449219000111043</v>
      </c>
      <c r="S132">
        <v>2759.15307617188</v>
      </c>
      <c r="T132" s="40">
        <f t="shared" si="29"/>
        <v>0.48828125</v>
      </c>
      <c r="U132">
        <v>33.948379516601598</v>
      </c>
      <c r="V132" s="33">
        <f t="shared" ref="V132:V195" si="37">+(U133-U132)*1000</f>
        <v>3.2310485838991099</v>
      </c>
      <c r="W132">
        <v>227.17985534668</v>
      </c>
      <c r="X132" s="90">
        <f t="shared" ref="X132:X195" si="38">+(W133-W132)*1000</f>
        <v>19.653320311988409</v>
      </c>
    </row>
    <row r="133" spans="1:24" x14ac:dyDescent="0.25">
      <c r="A133" s="8">
        <v>42435.416666666664</v>
      </c>
      <c r="B133" s="40">
        <f t="shared" si="30"/>
        <v>10</v>
      </c>
      <c r="C133" s="87">
        <v>55.467079162597699</v>
      </c>
      <c r="D133" s="85">
        <f t="shared" si="31"/>
        <v>0</v>
      </c>
      <c r="E133">
        <v>81.655479431152301</v>
      </c>
      <c r="F133" s="85">
        <f t="shared" si="32"/>
        <v>0</v>
      </c>
      <c r="G133">
        <v>167.02445983886699</v>
      </c>
      <c r="H133" s="86">
        <f t="shared" si="33"/>
        <v>13.565063477017247</v>
      </c>
      <c r="I133">
        <v>126.89028167724599</v>
      </c>
      <c r="J133" s="86">
        <f t="shared" si="34"/>
        <v>11.947631836008554</v>
      </c>
      <c r="K133">
        <v>191.23301696777301</v>
      </c>
      <c r="L133" s="86">
        <f t="shared" si="35"/>
        <v>15.258789062983169</v>
      </c>
      <c r="M133">
        <v>218.15135192871099</v>
      </c>
      <c r="N133" s="86">
        <f t="shared" si="36"/>
        <v>15.167236328011313</v>
      </c>
      <c r="O133">
        <v>1486.91052246094</v>
      </c>
      <c r="P133" s="40">
        <f t="shared" si="27"/>
        <v>109.13085936999778</v>
      </c>
      <c r="Q133">
        <v>1127.16455078125</v>
      </c>
      <c r="R133" s="40">
        <f t="shared" si="28"/>
        <v>0.73242188000222086</v>
      </c>
      <c r="S133">
        <v>2759.15356445313</v>
      </c>
      <c r="T133" s="40">
        <f t="shared" si="29"/>
        <v>0.9765625</v>
      </c>
      <c r="U133">
        <v>33.951610565185497</v>
      </c>
      <c r="V133" s="33">
        <f t="shared" si="37"/>
        <v>3.1890869141051326</v>
      </c>
      <c r="W133">
        <v>227.19950866699199</v>
      </c>
      <c r="X133" s="90">
        <f t="shared" si="38"/>
        <v>19.210815430000139</v>
      </c>
    </row>
    <row r="134" spans="1:24" x14ac:dyDescent="0.25">
      <c r="A134" s="8">
        <v>42435.458333333336</v>
      </c>
      <c r="B134" s="40">
        <f t="shared" si="30"/>
        <v>11</v>
      </c>
      <c r="C134" s="87">
        <v>55.467079162597699</v>
      </c>
      <c r="D134" s="85">
        <f t="shared" si="31"/>
        <v>0</v>
      </c>
      <c r="E134">
        <v>81.655479431152301</v>
      </c>
      <c r="F134" s="85">
        <f t="shared" si="32"/>
        <v>0</v>
      </c>
      <c r="G134">
        <v>167.03802490234401</v>
      </c>
      <c r="H134" s="86">
        <f t="shared" si="33"/>
        <v>13.595581054005379</v>
      </c>
      <c r="I134">
        <v>126.902229309082</v>
      </c>
      <c r="J134" s="86">
        <f t="shared" si="34"/>
        <v>11.947631835994343</v>
      </c>
      <c r="K134">
        <v>191.24827575683599</v>
      </c>
      <c r="L134" s="86">
        <f t="shared" si="35"/>
        <v>15.167236328011313</v>
      </c>
      <c r="M134">
        <v>218.16651916503901</v>
      </c>
      <c r="N134" s="86">
        <f t="shared" si="36"/>
        <v>14.968872069999861</v>
      </c>
      <c r="O134">
        <v>1487.01965332031</v>
      </c>
      <c r="P134" s="40">
        <f t="shared" si="27"/>
        <v>109.49707032000333</v>
      </c>
      <c r="Q134">
        <v>1127.16528320313</v>
      </c>
      <c r="R134" s="40">
        <f t="shared" si="28"/>
        <v>0.85449217999666871</v>
      </c>
      <c r="S134">
        <v>2759.15454101563</v>
      </c>
      <c r="T134" s="40">
        <f t="shared" si="29"/>
        <v>0.73242186999777914</v>
      </c>
      <c r="U134">
        <v>33.954799652099602</v>
      </c>
      <c r="V134" s="33">
        <f t="shared" si="37"/>
        <v>3.1700134276988479</v>
      </c>
      <c r="W134">
        <v>227.21871948242199</v>
      </c>
      <c r="X134" s="90">
        <f t="shared" si="38"/>
        <v>19.683837891022904</v>
      </c>
    </row>
    <row r="135" spans="1:24" x14ac:dyDescent="0.25">
      <c r="A135" s="8">
        <v>42435.5</v>
      </c>
      <c r="B135" s="40">
        <f t="shared" si="30"/>
        <v>12</v>
      </c>
      <c r="C135" s="87">
        <v>55.467079162597699</v>
      </c>
      <c r="D135" s="85">
        <f t="shared" si="31"/>
        <v>0</v>
      </c>
      <c r="E135">
        <v>81.655479431152301</v>
      </c>
      <c r="F135" s="85">
        <f t="shared" si="32"/>
        <v>2.5100708007954609</v>
      </c>
      <c r="G135">
        <v>167.05162048339801</v>
      </c>
      <c r="H135" s="86">
        <f t="shared" si="33"/>
        <v>13.580322265994482</v>
      </c>
      <c r="I135">
        <v>126.914176940918</v>
      </c>
      <c r="J135" s="86">
        <f t="shared" si="34"/>
        <v>12.023925781008415</v>
      </c>
      <c r="K135">
        <v>191.26344299316401</v>
      </c>
      <c r="L135" s="86">
        <f t="shared" si="35"/>
        <v>15.274047851988826</v>
      </c>
      <c r="M135">
        <v>218.18148803710901</v>
      </c>
      <c r="N135" s="86">
        <f t="shared" si="36"/>
        <v>15.426635742983308</v>
      </c>
      <c r="O135">
        <v>1487.12915039063</v>
      </c>
      <c r="P135" s="40">
        <f t="shared" si="27"/>
        <v>96.923828119997779</v>
      </c>
      <c r="Q135">
        <v>1127.16613769531</v>
      </c>
      <c r="R135" s="40">
        <f t="shared" si="28"/>
        <v>0.61035157000333129</v>
      </c>
      <c r="S135">
        <v>2759.1552734375</v>
      </c>
      <c r="T135" s="40">
        <f t="shared" si="29"/>
        <v>50.29296875</v>
      </c>
      <c r="U135">
        <v>33.957969665527301</v>
      </c>
      <c r="V135" s="33">
        <f t="shared" si="37"/>
        <v>2.4986267089985859</v>
      </c>
      <c r="W135">
        <v>227.23840332031301</v>
      </c>
      <c r="X135" s="90">
        <f t="shared" si="38"/>
        <v>18.310546875</v>
      </c>
    </row>
    <row r="136" spans="1:24" x14ac:dyDescent="0.25">
      <c r="A136" s="8">
        <v>42435.541666666664</v>
      </c>
      <c r="B136" s="40">
        <f t="shared" si="30"/>
        <v>13</v>
      </c>
      <c r="C136" s="87">
        <v>55.467079162597699</v>
      </c>
      <c r="D136" s="85">
        <f t="shared" si="31"/>
        <v>0</v>
      </c>
      <c r="E136">
        <v>81.657989501953097</v>
      </c>
      <c r="F136" s="85">
        <f t="shared" si="32"/>
        <v>4.4174194336079609</v>
      </c>
      <c r="G136">
        <v>167.06520080566401</v>
      </c>
      <c r="H136" s="86">
        <f t="shared" si="33"/>
        <v>13.259887694999861</v>
      </c>
      <c r="I136">
        <v>126.92620086669901</v>
      </c>
      <c r="J136" s="86">
        <f t="shared" si="34"/>
        <v>11.909484863991793</v>
      </c>
      <c r="K136">
        <v>191.27871704101599</v>
      </c>
      <c r="L136" s="86">
        <f t="shared" si="35"/>
        <v>15.075683593011036</v>
      </c>
      <c r="M136">
        <v>218.19691467285199</v>
      </c>
      <c r="N136" s="86">
        <f t="shared" si="36"/>
        <v>14.923095703011313</v>
      </c>
      <c r="O136">
        <v>1487.22607421875</v>
      </c>
      <c r="P136" s="40">
        <f t="shared" si="27"/>
        <v>96.19140625</v>
      </c>
      <c r="Q136">
        <v>1127.16674804688</v>
      </c>
      <c r="R136" s="40">
        <f t="shared" si="28"/>
        <v>0.85449217999666871</v>
      </c>
      <c r="S136">
        <v>2759.20556640625</v>
      </c>
      <c r="T136" s="40">
        <f t="shared" si="29"/>
        <v>104.24804688000222</v>
      </c>
      <c r="U136">
        <v>33.9604682922363</v>
      </c>
      <c r="V136" s="33">
        <f t="shared" si="37"/>
        <v>1.7242431640980271</v>
      </c>
      <c r="W136">
        <v>227.25671386718801</v>
      </c>
      <c r="X136" s="90">
        <f t="shared" si="38"/>
        <v>17.990112303976957</v>
      </c>
    </row>
    <row r="137" spans="1:24" x14ac:dyDescent="0.25">
      <c r="A137" s="8">
        <v>42435.583333333336</v>
      </c>
      <c r="B137" s="40">
        <f t="shared" si="30"/>
        <v>14</v>
      </c>
      <c r="C137" s="87">
        <v>55.467079162597699</v>
      </c>
      <c r="D137" s="85">
        <f t="shared" si="31"/>
        <v>0</v>
      </c>
      <c r="E137">
        <v>81.662406921386705</v>
      </c>
      <c r="F137" s="85">
        <f t="shared" si="32"/>
        <v>5.4931640625</v>
      </c>
      <c r="G137">
        <v>167.07846069335901</v>
      </c>
      <c r="H137" s="86">
        <f t="shared" si="33"/>
        <v>13.412475585994343</v>
      </c>
      <c r="I137">
        <v>126.938110351563</v>
      </c>
      <c r="J137" s="86">
        <f t="shared" si="34"/>
        <v>11.734008789005657</v>
      </c>
      <c r="K137">
        <v>191.29379272460901</v>
      </c>
      <c r="L137" s="86">
        <f t="shared" si="35"/>
        <v>15.167236329006073</v>
      </c>
      <c r="M137">
        <v>218.211837768555</v>
      </c>
      <c r="N137" s="86">
        <f t="shared" si="36"/>
        <v>15.213012694999861</v>
      </c>
      <c r="O137">
        <v>1487.322265625</v>
      </c>
      <c r="P137" s="40">
        <f t="shared" si="27"/>
        <v>107.91015625</v>
      </c>
      <c r="Q137">
        <v>1127.16760253906</v>
      </c>
      <c r="R137" s="40">
        <f t="shared" si="28"/>
        <v>0.85449219000111043</v>
      </c>
      <c r="S137">
        <v>2759.30981445313</v>
      </c>
      <c r="T137" s="40">
        <f t="shared" si="29"/>
        <v>122.31445311999778</v>
      </c>
      <c r="U137">
        <v>33.962192535400398</v>
      </c>
      <c r="V137" s="33">
        <f t="shared" si="37"/>
        <v>2.8762817383025663</v>
      </c>
      <c r="W137">
        <v>227.27470397949199</v>
      </c>
      <c r="X137" s="90">
        <f t="shared" si="38"/>
        <v>19.424438477017247</v>
      </c>
    </row>
    <row r="138" spans="1:24" x14ac:dyDescent="0.25">
      <c r="A138" s="8">
        <v>42435.625</v>
      </c>
      <c r="B138" s="40">
        <f t="shared" si="30"/>
        <v>15</v>
      </c>
      <c r="C138" s="87">
        <v>55.467079162597699</v>
      </c>
      <c r="D138" s="85">
        <f t="shared" si="31"/>
        <v>0</v>
      </c>
      <c r="E138">
        <v>81.667900085449205</v>
      </c>
      <c r="F138" s="85">
        <f t="shared" si="32"/>
        <v>5.5541992187926326</v>
      </c>
      <c r="G138">
        <v>167.091873168945</v>
      </c>
      <c r="H138" s="86">
        <f t="shared" si="33"/>
        <v>13.47351074301173</v>
      </c>
      <c r="I138">
        <v>126.949844360352</v>
      </c>
      <c r="J138" s="86">
        <f t="shared" si="34"/>
        <v>11.932373045993927</v>
      </c>
      <c r="K138">
        <v>191.30895996093801</v>
      </c>
      <c r="L138" s="86">
        <f t="shared" si="35"/>
        <v>15.182495116988548</v>
      </c>
      <c r="M138">
        <v>218.22705078125</v>
      </c>
      <c r="N138" s="86">
        <f t="shared" si="36"/>
        <v>15.182495116988548</v>
      </c>
      <c r="O138">
        <v>1487.43017578125</v>
      </c>
      <c r="P138" s="40">
        <f t="shared" si="27"/>
        <v>110.59570313000222</v>
      </c>
      <c r="Q138">
        <v>1127.16845703125</v>
      </c>
      <c r="R138" s="40">
        <f t="shared" si="28"/>
        <v>0.73242188000222086</v>
      </c>
      <c r="S138">
        <v>2759.43212890625</v>
      </c>
      <c r="T138" s="40">
        <f t="shared" si="29"/>
        <v>125.48828125</v>
      </c>
      <c r="U138">
        <v>33.9650688171387</v>
      </c>
      <c r="V138" s="33">
        <f t="shared" si="37"/>
        <v>3.162384033203125</v>
      </c>
      <c r="W138">
        <v>227.29412841796901</v>
      </c>
      <c r="X138" s="90">
        <f t="shared" si="38"/>
        <v>19.271850585994343</v>
      </c>
    </row>
    <row r="139" spans="1:24" x14ac:dyDescent="0.25">
      <c r="A139" s="8">
        <v>42435.666666666664</v>
      </c>
      <c r="B139" s="40">
        <f t="shared" si="30"/>
        <v>16</v>
      </c>
      <c r="C139" s="87">
        <v>55.467079162597699</v>
      </c>
      <c r="D139" s="85">
        <f t="shared" si="31"/>
        <v>0</v>
      </c>
      <c r="E139">
        <v>81.673454284667997</v>
      </c>
      <c r="F139" s="85">
        <f t="shared" si="32"/>
        <v>2.05230712890625</v>
      </c>
      <c r="G139">
        <v>167.10534667968801</v>
      </c>
      <c r="H139" s="86">
        <f t="shared" si="33"/>
        <v>13.763427733977096</v>
      </c>
      <c r="I139">
        <v>126.961776733398</v>
      </c>
      <c r="J139" s="86">
        <f t="shared" si="34"/>
        <v>11.947631836008554</v>
      </c>
      <c r="K139">
        <v>191.324142456055</v>
      </c>
      <c r="L139" s="86">
        <f t="shared" si="35"/>
        <v>15.213012694999861</v>
      </c>
      <c r="M139">
        <v>218.24223327636699</v>
      </c>
      <c r="N139" s="86">
        <f t="shared" si="36"/>
        <v>15.289306641022904</v>
      </c>
      <c r="O139">
        <v>1487.54077148438</v>
      </c>
      <c r="P139" s="40">
        <f t="shared" si="27"/>
        <v>110.10742186999778</v>
      </c>
      <c r="Q139">
        <v>1127.16918945313</v>
      </c>
      <c r="R139" s="40">
        <f t="shared" si="28"/>
        <v>0.9765625</v>
      </c>
      <c r="S139">
        <v>2759.5576171875</v>
      </c>
      <c r="T139" s="40">
        <f t="shared" si="29"/>
        <v>35.15625</v>
      </c>
      <c r="U139">
        <v>33.968231201171903</v>
      </c>
      <c r="V139" s="33">
        <f t="shared" si="37"/>
        <v>3.2386779784943087</v>
      </c>
      <c r="W139">
        <v>227.313400268555</v>
      </c>
      <c r="X139" s="90">
        <f t="shared" si="38"/>
        <v>19.409179686988409</v>
      </c>
    </row>
    <row r="140" spans="1:24" x14ac:dyDescent="0.25">
      <c r="A140" s="8">
        <v>42435.708333333336</v>
      </c>
      <c r="B140" s="40">
        <f t="shared" si="30"/>
        <v>17</v>
      </c>
      <c r="C140" s="87">
        <v>55.467079162597699</v>
      </c>
      <c r="D140" s="85">
        <f t="shared" si="31"/>
        <v>1.1444091803980427E-2</v>
      </c>
      <c r="E140">
        <v>81.675506591796903</v>
      </c>
      <c r="F140" s="85">
        <f t="shared" si="32"/>
        <v>5.5618286132954609</v>
      </c>
      <c r="G140">
        <v>167.11911010742199</v>
      </c>
      <c r="H140" s="86">
        <f t="shared" si="33"/>
        <v>13.137817383011452</v>
      </c>
      <c r="I140">
        <v>126.97372436523401</v>
      </c>
      <c r="J140" s="86">
        <f t="shared" si="34"/>
        <v>11.87896728599469</v>
      </c>
      <c r="K140">
        <v>191.33935546875</v>
      </c>
      <c r="L140" s="86">
        <f t="shared" si="35"/>
        <v>15.121459960994343</v>
      </c>
      <c r="M140">
        <v>218.25752258300801</v>
      </c>
      <c r="N140" s="86">
        <f t="shared" si="36"/>
        <v>14.785766600994066</v>
      </c>
      <c r="O140">
        <v>1487.65087890625</v>
      </c>
      <c r="P140" s="40">
        <f t="shared" si="27"/>
        <v>109.13085938000222</v>
      </c>
      <c r="Q140">
        <v>1127.17016601563</v>
      </c>
      <c r="R140" s="40">
        <f t="shared" si="28"/>
        <v>0.73242186999777914</v>
      </c>
      <c r="S140">
        <v>2759.5927734375</v>
      </c>
      <c r="T140" s="40">
        <f t="shared" si="29"/>
        <v>124.26757813000222</v>
      </c>
      <c r="U140">
        <v>33.971469879150398</v>
      </c>
      <c r="V140" s="33">
        <f t="shared" si="37"/>
        <v>3.3378601074005587</v>
      </c>
      <c r="W140">
        <v>227.33280944824199</v>
      </c>
      <c r="X140" s="90">
        <f t="shared" si="38"/>
        <v>19.317626953011313</v>
      </c>
    </row>
    <row r="141" spans="1:24" x14ac:dyDescent="0.25">
      <c r="A141" s="8">
        <v>42435.75</v>
      </c>
      <c r="B141" s="40">
        <f t="shared" si="30"/>
        <v>18</v>
      </c>
      <c r="C141" s="87">
        <v>55.467090606689503</v>
      </c>
      <c r="D141" s="85">
        <f t="shared" si="31"/>
        <v>0</v>
      </c>
      <c r="E141">
        <v>81.681068420410199</v>
      </c>
      <c r="F141" s="85">
        <f t="shared" si="32"/>
        <v>5.5618286131959849</v>
      </c>
      <c r="G141">
        <v>167.132247924805</v>
      </c>
      <c r="H141" s="86">
        <f t="shared" si="33"/>
        <v>13.519287109005518</v>
      </c>
      <c r="I141">
        <v>126.98560333252</v>
      </c>
      <c r="J141" s="86">
        <f t="shared" si="34"/>
        <v>11.848449707002828</v>
      </c>
      <c r="K141">
        <v>191.35447692871099</v>
      </c>
      <c r="L141" s="86">
        <f t="shared" si="35"/>
        <v>14.877319335994343</v>
      </c>
      <c r="M141">
        <v>218.27230834960901</v>
      </c>
      <c r="N141" s="86">
        <f t="shared" si="36"/>
        <v>15.213012695994621</v>
      </c>
      <c r="O141">
        <v>1487.76000976563</v>
      </c>
      <c r="P141" s="40">
        <f t="shared" si="27"/>
        <v>109.74121092999667</v>
      </c>
      <c r="Q141">
        <v>1127.1708984375</v>
      </c>
      <c r="R141" s="40">
        <f t="shared" si="28"/>
        <v>0.85449219000111043</v>
      </c>
      <c r="S141">
        <v>2759.71704101563</v>
      </c>
      <c r="T141" s="40">
        <f t="shared" si="29"/>
        <v>124.26757811999778</v>
      </c>
      <c r="U141">
        <v>33.974807739257798</v>
      </c>
      <c r="V141" s="33">
        <f t="shared" si="37"/>
        <v>3.2691955567045738</v>
      </c>
      <c r="W141">
        <v>227.352127075195</v>
      </c>
      <c r="X141" s="90">
        <f t="shared" si="38"/>
        <v>19.363403320994621</v>
      </c>
    </row>
    <row r="142" spans="1:24" x14ac:dyDescent="0.25">
      <c r="A142" s="8">
        <v>42435.791666666664</v>
      </c>
      <c r="B142" s="40">
        <f t="shared" si="30"/>
        <v>19</v>
      </c>
      <c r="C142" s="87">
        <v>55.467090606689503</v>
      </c>
      <c r="D142" s="85">
        <f t="shared" si="31"/>
        <v>0</v>
      </c>
      <c r="E142">
        <v>81.686630249023395</v>
      </c>
      <c r="F142" s="85">
        <f t="shared" si="32"/>
        <v>5.569458007911976</v>
      </c>
      <c r="G142">
        <v>167.14576721191401</v>
      </c>
      <c r="H142" s="86">
        <f t="shared" si="33"/>
        <v>13.38195800798303</v>
      </c>
      <c r="I142">
        <v>126.997451782227</v>
      </c>
      <c r="J142" s="86">
        <f t="shared" si="34"/>
        <v>11.901855467996825</v>
      </c>
      <c r="K142">
        <v>191.36935424804699</v>
      </c>
      <c r="L142" s="86">
        <f t="shared" si="35"/>
        <v>15.167236328011313</v>
      </c>
      <c r="M142">
        <v>218.287521362305</v>
      </c>
      <c r="N142" s="86">
        <f t="shared" si="36"/>
        <v>15.167236328011313</v>
      </c>
      <c r="O142">
        <v>1487.86975097656</v>
      </c>
      <c r="P142" s="40">
        <f t="shared" si="27"/>
        <v>109.49707032000333</v>
      </c>
      <c r="Q142">
        <v>1127.17175292969</v>
      </c>
      <c r="R142" s="40">
        <f t="shared" si="28"/>
        <v>0.73242186999777914</v>
      </c>
      <c r="S142">
        <v>2759.84130859375</v>
      </c>
      <c r="T142" s="40">
        <f t="shared" si="29"/>
        <v>121.58203125</v>
      </c>
      <c r="U142">
        <v>33.978076934814503</v>
      </c>
      <c r="V142" s="33">
        <f t="shared" si="37"/>
        <v>3.2310485838991099</v>
      </c>
      <c r="W142">
        <v>227.37149047851599</v>
      </c>
      <c r="X142" s="90">
        <f t="shared" si="38"/>
        <v>19.271850585994343</v>
      </c>
    </row>
    <row r="143" spans="1:24" x14ac:dyDescent="0.25">
      <c r="A143" s="8">
        <v>42435.833333333336</v>
      </c>
      <c r="B143" s="40">
        <f t="shared" si="30"/>
        <v>20</v>
      </c>
      <c r="C143" s="87">
        <v>55.467090606689503</v>
      </c>
      <c r="D143" s="85">
        <f t="shared" si="31"/>
        <v>0</v>
      </c>
      <c r="E143">
        <v>81.692199707031307</v>
      </c>
      <c r="F143" s="85">
        <f t="shared" si="32"/>
        <v>5.5999755858948674</v>
      </c>
      <c r="G143">
        <v>167.15914916992199</v>
      </c>
      <c r="H143" s="86">
        <f t="shared" si="33"/>
        <v>13.504028319999861</v>
      </c>
      <c r="I143">
        <v>127.009353637695</v>
      </c>
      <c r="J143" s="86">
        <f t="shared" si="34"/>
        <v>11.894226075000347</v>
      </c>
      <c r="K143">
        <v>191.384521484375</v>
      </c>
      <c r="L143" s="86">
        <f t="shared" si="35"/>
        <v>15.274047851988826</v>
      </c>
      <c r="M143">
        <v>218.30268859863301</v>
      </c>
      <c r="N143" s="86">
        <f t="shared" si="36"/>
        <v>15.121459960994343</v>
      </c>
      <c r="O143">
        <v>1487.97924804688</v>
      </c>
      <c r="P143" s="40">
        <f t="shared" si="27"/>
        <v>108.3984375</v>
      </c>
      <c r="Q143">
        <v>1127.17248535156</v>
      </c>
      <c r="R143" s="40">
        <f t="shared" si="28"/>
        <v>0.9765625</v>
      </c>
      <c r="S143">
        <v>2759.962890625</v>
      </c>
      <c r="T143" s="40">
        <f t="shared" si="29"/>
        <v>116.94335938000222</v>
      </c>
      <c r="U143">
        <v>33.981307983398402</v>
      </c>
      <c r="V143" s="33">
        <f t="shared" si="37"/>
        <v>3.173828125</v>
      </c>
      <c r="W143">
        <v>227.39076232910199</v>
      </c>
      <c r="X143" s="90">
        <f t="shared" si="38"/>
        <v>19.393920898011174</v>
      </c>
    </row>
    <row r="144" spans="1:24" x14ac:dyDescent="0.25">
      <c r="A144" s="8">
        <v>42435.875</v>
      </c>
      <c r="B144" s="40">
        <f t="shared" si="30"/>
        <v>21</v>
      </c>
      <c r="C144" s="87">
        <v>55.467090606689503</v>
      </c>
      <c r="D144" s="85">
        <f t="shared" si="31"/>
        <v>0</v>
      </c>
      <c r="E144">
        <v>81.697799682617202</v>
      </c>
      <c r="F144" s="85">
        <f t="shared" si="32"/>
        <v>5.5618286132954609</v>
      </c>
      <c r="G144">
        <v>167.17265319824199</v>
      </c>
      <c r="H144" s="86">
        <f t="shared" si="33"/>
        <v>13.427734375</v>
      </c>
      <c r="I144">
        <v>127.02124786377</v>
      </c>
      <c r="J144" s="86">
        <f t="shared" si="34"/>
        <v>11.80267333900531</v>
      </c>
      <c r="K144">
        <v>191.39979553222699</v>
      </c>
      <c r="L144" s="86">
        <f t="shared" si="35"/>
        <v>15.075683593011036</v>
      </c>
      <c r="M144">
        <v>218.31781005859401</v>
      </c>
      <c r="N144" s="86">
        <f t="shared" si="36"/>
        <v>15.121459960994343</v>
      </c>
      <c r="O144">
        <v>1488.08764648438</v>
      </c>
      <c r="P144" s="40">
        <f t="shared" si="27"/>
        <v>107.05566405999889</v>
      </c>
      <c r="Q144">
        <v>1127.17346191406</v>
      </c>
      <c r="R144" s="40">
        <f t="shared" si="28"/>
        <v>0.73242188000222086</v>
      </c>
      <c r="S144">
        <v>2760.07983398438</v>
      </c>
      <c r="T144" s="40">
        <f t="shared" si="29"/>
        <v>117.1875</v>
      </c>
      <c r="U144">
        <v>33.984481811523402</v>
      </c>
      <c r="V144" s="33">
        <f t="shared" si="37"/>
        <v>3.1471252441974684</v>
      </c>
      <c r="W144">
        <v>227.41015625</v>
      </c>
      <c r="X144" s="90">
        <f t="shared" si="38"/>
        <v>19.409179688011591</v>
      </c>
    </row>
    <row r="145" spans="1:24" x14ac:dyDescent="0.25">
      <c r="A145" s="8">
        <v>42435.916666666664</v>
      </c>
      <c r="B145" s="40">
        <f t="shared" si="30"/>
        <v>22</v>
      </c>
      <c r="C145" s="87">
        <v>55.467090606689503</v>
      </c>
      <c r="D145" s="85">
        <f t="shared" si="31"/>
        <v>0</v>
      </c>
      <c r="E145">
        <v>81.703361511230497</v>
      </c>
      <c r="F145" s="85">
        <f t="shared" si="32"/>
        <v>5.4855346678976957</v>
      </c>
      <c r="G145">
        <v>167.18608093261699</v>
      </c>
      <c r="H145" s="86">
        <f t="shared" si="33"/>
        <v>13.397216797017109</v>
      </c>
      <c r="I145">
        <v>127.03305053710901</v>
      </c>
      <c r="J145" s="86">
        <f t="shared" si="34"/>
        <v>11.940002441988895</v>
      </c>
      <c r="K145">
        <v>191.41487121582</v>
      </c>
      <c r="L145" s="86">
        <f t="shared" si="35"/>
        <v>15.197753906988964</v>
      </c>
      <c r="M145">
        <v>218.332931518555</v>
      </c>
      <c r="N145" s="86">
        <f t="shared" si="36"/>
        <v>15.274047850994066</v>
      </c>
      <c r="O145">
        <v>1488.19470214844</v>
      </c>
      <c r="P145" s="40">
        <f t="shared" si="27"/>
        <v>109.86328125</v>
      </c>
      <c r="Q145">
        <v>1127.17419433594</v>
      </c>
      <c r="R145" s="40">
        <f t="shared" si="28"/>
        <v>0.9765625</v>
      </c>
      <c r="S145">
        <v>2760.19702148438</v>
      </c>
      <c r="T145" s="40">
        <f t="shared" si="29"/>
        <v>116.94335936999778</v>
      </c>
      <c r="U145">
        <v>33.987628936767599</v>
      </c>
      <c r="V145" s="33">
        <f t="shared" si="37"/>
        <v>3.1585693359019729</v>
      </c>
      <c r="W145">
        <v>227.42956542968801</v>
      </c>
      <c r="X145" s="90">
        <f t="shared" si="38"/>
        <v>19.134521483977096</v>
      </c>
    </row>
    <row r="146" spans="1:24" x14ac:dyDescent="0.25">
      <c r="A146" s="8">
        <v>42435.958333333336</v>
      </c>
      <c r="B146" s="40">
        <f t="shared" si="30"/>
        <v>23</v>
      </c>
      <c r="C146" s="87">
        <v>55.467090606689503</v>
      </c>
      <c r="D146" s="85">
        <f t="shared" si="31"/>
        <v>1.1444091796875E-2</v>
      </c>
      <c r="E146">
        <v>81.708847045898395</v>
      </c>
      <c r="F146" s="85">
        <f t="shared" si="32"/>
        <v>5.3939819336079609</v>
      </c>
      <c r="G146">
        <v>167.19947814941401</v>
      </c>
      <c r="H146" s="86">
        <f t="shared" si="33"/>
        <v>13.412475585994343</v>
      </c>
      <c r="I146">
        <v>127.04499053955099</v>
      </c>
      <c r="J146" s="86">
        <f t="shared" si="34"/>
        <v>11.901855469005795</v>
      </c>
      <c r="K146">
        <v>191.43006896972699</v>
      </c>
      <c r="L146" s="86">
        <f t="shared" si="35"/>
        <v>15.243530273011174</v>
      </c>
      <c r="M146">
        <v>218.34820556640599</v>
      </c>
      <c r="N146" s="86">
        <f t="shared" si="36"/>
        <v>15.075683594005795</v>
      </c>
      <c r="O146">
        <v>1488.30456542969</v>
      </c>
      <c r="P146" s="40">
        <f t="shared" si="27"/>
        <v>110.22949219000111</v>
      </c>
      <c r="Q146">
        <v>1127.17517089844</v>
      </c>
      <c r="R146" s="40">
        <f t="shared" si="28"/>
        <v>0.73242186999777914</v>
      </c>
      <c r="S146">
        <v>2760.31396484375</v>
      </c>
      <c r="T146" s="40">
        <f t="shared" si="29"/>
        <v>102.78320313000222</v>
      </c>
      <c r="U146">
        <v>33.990787506103501</v>
      </c>
      <c r="V146" s="33">
        <f t="shared" si="37"/>
        <v>3.2310485839985859</v>
      </c>
      <c r="W146">
        <v>227.44869995117199</v>
      </c>
      <c r="X146" s="90">
        <f t="shared" si="38"/>
        <v>19.653320312016831</v>
      </c>
    </row>
    <row r="147" spans="1:24" x14ac:dyDescent="0.25">
      <c r="A147" s="8">
        <v>42436</v>
      </c>
      <c r="B147" s="40">
        <f t="shared" si="30"/>
        <v>0</v>
      </c>
      <c r="C147" s="87">
        <v>55.4671020507813</v>
      </c>
      <c r="D147" s="85">
        <f t="shared" si="31"/>
        <v>0</v>
      </c>
      <c r="E147">
        <v>81.714241027832003</v>
      </c>
      <c r="F147" s="85">
        <f t="shared" si="32"/>
        <v>0</v>
      </c>
      <c r="G147">
        <v>167.212890625</v>
      </c>
      <c r="H147" s="86">
        <f t="shared" si="33"/>
        <v>13.626098633011452</v>
      </c>
      <c r="I147">
        <v>127.05689239502</v>
      </c>
      <c r="J147" s="86">
        <f t="shared" si="34"/>
        <v>11.978149414005657</v>
      </c>
      <c r="K147">
        <v>191.4453125</v>
      </c>
      <c r="L147" s="86">
        <f t="shared" si="35"/>
        <v>15.319824219005795</v>
      </c>
      <c r="M147">
        <v>218.36328125</v>
      </c>
      <c r="N147" s="86">
        <f t="shared" si="36"/>
        <v>15.197753905994205</v>
      </c>
      <c r="O147">
        <v>1488.41479492188</v>
      </c>
      <c r="P147" s="40">
        <f t="shared" si="27"/>
        <v>109.74121092999667</v>
      </c>
      <c r="Q147">
        <v>1127.17590332031</v>
      </c>
      <c r="R147" s="40">
        <f t="shared" si="28"/>
        <v>0.73242188000222086</v>
      </c>
      <c r="S147">
        <v>2760.41674804688</v>
      </c>
      <c r="T147" s="40">
        <f t="shared" si="29"/>
        <v>0.48828125</v>
      </c>
      <c r="U147">
        <v>33.9940185546875</v>
      </c>
      <c r="V147" s="33">
        <f t="shared" si="37"/>
        <v>3.1929016112997033</v>
      </c>
      <c r="W147">
        <v>227.46835327148401</v>
      </c>
      <c r="X147" s="90">
        <f t="shared" si="38"/>
        <v>19.210815430000139</v>
      </c>
    </row>
    <row r="148" spans="1:24" x14ac:dyDescent="0.25">
      <c r="A148" s="8">
        <v>42436.041666666664</v>
      </c>
      <c r="B148" s="40">
        <f t="shared" si="30"/>
        <v>1</v>
      </c>
      <c r="C148" s="87">
        <v>55.4671020507813</v>
      </c>
      <c r="D148" s="85">
        <f t="shared" si="31"/>
        <v>0</v>
      </c>
      <c r="E148">
        <v>81.714241027832003</v>
      </c>
      <c r="F148" s="85">
        <f t="shared" si="32"/>
        <v>0</v>
      </c>
      <c r="G148">
        <v>167.22651672363301</v>
      </c>
      <c r="H148" s="86">
        <f t="shared" si="33"/>
        <v>13.549804686988409</v>
      </c>
      <c r="I148">
        <v>127.06887054443401</v>
      </c>
      <c r="J148" s="86">
        <f t="shared" si="34"/>
        <v>11.871337889999722</v>
      </c>
      <c r="K148">
        <v>191.46063232421901</v>
      </c>
      <c r="L148" s="86">
        <f t="shared" si="35"/>
        <v>15.243530272982753</v>
      </c>
      <c r="M148">
        <v>218.37847900390599</v>
      </c>
      <c r="N148" s="86">
        <f t="shared" si="36"/>
        <v>15.167236328011313</v>
      </c>
      <c r="O148">
        <v>1488.52453613281</v>
      </c>
      <c r="P148" s="40">
        <f t="shared" si="27"/>
        <v>109.00878907000333</v>
      </c>
      <c r="Q148">
        <v>1127.17663574219</v>
      </c>
      <c r="R148" s="40">
        <f t="shared" si="28"/>
        <v>0.85449219000111043</v>
      </c>
      <c r="S148">
        <v>2760.41723632813</v>
      </c>
      <c r="T148" s="40">
        <f t="shared" si="29"/>
        <v>0.9765625</v>
      </c>
      <c r="U148">
        <v>33.9972114562988</v>
      </c>
      <c r="V148" s="33">
        <f t="shared" si="37"/>
        <v>3.0517578125</v>
      </c>
      <c r="W148">
        <v>227.48756408691401</v>
      </c>
      <c r="X148" s="90">
        <f t="shared" si="38"/>
        <v>19.515991210994343</v>
      </c>
    </row>
    <row r="149" spans="1:24" x14ac:dyDescent="0.25">
      <c r="A149" s="8">
        <v>42436.083333333336</v>
      </c>
      <c r="B149" s="40">
        <f t="shared" si="30"/>
        <v>2</v>
      </c>
      <c r="C149" s="87">
        <v>55.4671020507813</v>
      </c>
      <c r="D149" s="85">
        <f t="shared" si="31"/>
        <v>0</v>
      </c>
      <c r="E149">
        <v>81.714241027832003</v>
      </c>
      <c r="F149" s="85">
        <f t="shared" si="32"/>
        <v>0</v>
      </c>
      <c r="G149">
        <v>167.24006652832</v>
      </c>
      <c r="H149" s="86">
        <f t="shared" si="33"/>
        <v>13.732910156988964</v>
      </c>
      <c r="I149">
        <v>127.08074188232401</v>
      </c>
      <c r="J149" s="86">
        <f t="shared" si="34"/>
        <v>11.932373046988687</v>
      </c>
      <c r="K149">
        <v>191.47587585449199</v>
      </c>
      <c r="L149" s="86">
        <f t="shared" si="35"/>
        <v>15.243530274005934</v>
      </c>
      <c r="M149">
        <v>218.39364624023401</v>
      </c>
      <c r="N149" s="86">
        <f t="shared" si="36"/>
        <v>14.938354492983308</v>
      </c>
      <c r="O149">
        <v>1488.63354492188</v>
      </c>
      <c r="P149" s="40">
        <f t="shared" si="27"/>
        <v>109.25292967999667</v>
      </c>
      <c r="Q149">
        <v>1127.17749023438</v>
      </c>
      <c r="R149" s="40">
        <f t="shared" si="28"/>
        <v>0.61035155999888957</v>
      </c>
      <c r="S149">
        <v>2760.41821289063</v>
      </c>
      <c r="T149" s="40">
        <f t="shared" si="29"/>
        <v>0.73242186999777914</v>
      </c>
      <c r="U149">
        <v>34.0002632141113</v>
      </c>
      <c r="V149" s="33">
        <f t="shared" si="37"/>
        <v>2.9869079589985859</v>
      </c>
      <c r="W149">
        <v>227.507080078125</v>
      </c>
      <c r="X149" s="90">
        <f t="shared" si="38"/>
        <v>19.470214844005795</v>
      </c>
    </row>
    <row r="150" spans="1:24" x14ac:dyDescent="0.25">
      <c r="A150" s="8">
        <v>42436.125</v>
      </c>
      <c r="B150" s="40">
        <f t="shared" si="30"/>
        <v>3</v>
      </c>
      <c r="C150" s="87">
        <v>55.4671020507813</v>
      </c>
      <c r="D150" s="85">
        <f t="shared" si="31"/>
        <v>0</v>
      </c>
      <c r="E150">
        <v>81.714241027832003</v>
      </c>
      <c r="F150" s="85">
        <f t="shared" si="32"/>
        <v>0</v>
      </c>
      <c r="G150">
        <v>167.25379943847699</v>
      </c>
      <c r="H150" s="86">
        <f t="shared" si="33"/>
        <v>13.626098632016692</v>
      </c>
      <c r="I150">
        <v>127.09267425537099</v>
      </c>
      <c r="J150" s="86">
        <f t="shared" si="34"/>
        <v>11.886596680000139</v>
      </c>
      <c r="K150">
        <v>191.49111938476599</v>
      </c>
      <c r="L150" s="86">
        <f t="shared" si="35"/>
        <v>15.167236328011313</v>
      </c>
      <c r="M150">
        <v>218.40858459472699</v>
      </c>
      <c r="N150" s="86">
        <f t="shared" si="36"/>
        <v>15.13671875</v>
      </c>
      <c r="O150">
        <v>1488.74279785156</v>
      </c>
      <c r="P150" s="40">
        <f t="shared" si="27"/>
        <v>109.13085938000222</v>
      </c>
      <c r="Q150">
        <v>1127.17810058594</v>
      </c>
      <c r="R150" s="40">
        <f t="shared" si="28"/>
        <v>0.85449219000111043</v>
      </c>
      <c r="S150">
        <v>2760.4189453125</v>
      </c>
      <c r="T150" s="40">
        <f t="shared" si="29"/>
        <v>0.73242188000222086</v>
      </c>
      <c r="U150">
        <v>34.003250122070298</v>
      </c>
      <c r="V150" s="33">
        <f t="shared" si="37"/>
        <v>3.0097961425994413</v>
      </c>
      <c r="W150">
        <v>227.52655029296901</v>
      </c>
      <c r="X150" s="90">
        <f t="shared" si="38"/>
        <v>19.317626952982891</v>
      </c>
    </row>
    <row r="151" spans="1:24" x14ac:dyDescent="0.25">
      <c r="A151" s="8">
        <v>42436.166666666664</v>
      </c>
      <c r="B151" s="40">
        <f t="shared" si="30"/>
        <v>4</v>
      </c>
      <c r="C151" s="87">
        <v>55.4671020507813</v>
      </c>
      <c r="D151" s="85">
        <f t="shared" si="31"/>
        <v>0</v>
      </c>
      <c r="E151">
        <v>81.714241027832003</v>
      </c>
      <c r="F151" s="85">
        <f t="shared" si="32"/>
        <v>0</v>
      </c>
      <c r="G151">
        <v>167.26742553710901</v>
      </c>
      <c r="H151" s="86">
        <f t="shared" si="33"/>
        <v>13.549804687983169</v>
      </c>
      <c r="I151">
        <v>127.10456085205099</v>
      </c>
      <c r="J151" s="86">
        <f t="shared" si="34"/>
        <v>12.08496093700262</v>
      </c>
      <c r="K151">
        <v>191.50628662109401</v>
      </c>
      <c r="L151" s="86">
        <f t="shared" si="35"/>
        <v>11.23046875</v>
      </c>
      <c r="M151">
        <v>218.42372131347699</v>
      </c>
      <c r="N151" s="86">
        <f t="shared" si="36"/>
        <v>11.199951171022349</v>
      </c>
      <c r="O151">
        <v>1488.85192871094</v>
      </c>
      <c r="P151" s="40">
        <f t="shared" si="27"/>
        <v>79.46777344000111</v>
      </c>
      <c r="Q151">
        <v>1127.17895507813</v>
      </c>
      <c r="R151" s="40">
        <f t="shared" si="28"/>
        <v>0.61035155999888957</v>
      </c>
      <c r="S151">
        <v>2760.41967773438</v>
      </c>
      <c r="T151" s="40">
        <f t="shared" si="29"/>
        <v>0.73242186999777914</v>
      </c>
      <c r="U151">
        <v>34.006259918212898</v>
      </c>
      <c r="V151" s="33">
        <f t="shared" si="37"/>
        <v>2.8800964355042424</v>
      </c>
      <c r="W151">
        <v>227.54586791992199</v>
      </c>
      <c r="X151" s="90">
        <f t="shared" si="38"/>
        <v>19.33288574201697</v>
      </c>
    </row>
    <row r="152" spans="1:24" x14ac:dyDescent="0.25">
      <c r="A152" s="8">
        <v>42436.208333333336</v>
      </c>
      <c r="B152" s="40">
        <f t="shared" si="30"/>
        <v>5</v>
      </c>
      <c r="C152" s="87">
        <v>55.4671020507813</v>
      </c>
      <c r="D152" s="85">
        <f t="shared" si="31"/>
        <v>3.2577514648011174</v>
      </c>
      <c r="E152">
        <v>81.714241027832003</v>
      </c>
      <c r="F152" s="85">
        <f t="shared" si="32"/>
        <v>4.6539306640909217</v>
      </c>
      <c r="G152">
        <v>167.28097534179699</v>
      </c>
      <c r="H152" s="86">
        <f t="shared" si="33"/>
        <v>13.214111328011313</v>
      </c>
      <c r="I152">
        <v>127.116645812988</v>
      </c>
      <c r="J152" s="86">
        <f t="shared" si="34"/>
        <v>11.695861817003106</v>
      </c>
      <c r="K152">
        <v>191.51751708984401</v>
      </c>
      <c r="L152" s="86">
        <f t="shared" si="35"/>
        <v>3.9215087890056566</v>
      </c>
      <c r="M152">
        <v>218.43492126464801</v>
      </c>
      <c r="N152" s="86">
        <f t="shared" si="36"/>
        <v>1.8615722659944822</v>
      </c>
      <c r="O152">
        <v>1488.93139648438</v>
      </c>
      <c r="P152" s="40">
        <f t="shared" si="27"/>
        <v>17.70019530999889</v>
      </c>
      <c r="Q152">
        <v>1127.17956542969</v>
      </c>
      <c r="R152" s="40">
        <f t="shared" si="28"/>
        <v>47.119140619997779</v>
      </c>
      <c r="S152">
        <v>2760.42041015625</v>
      </c>
      <c r="T152" s="40">
        <f t="shared" si="29"/>
        <v>174.07226563000222</v>
      </c>
      <c r="U152">
        <v>34.009140014648402</v>
      </c>
      <c r="V152" s="33">
        <f t="shared" si="37"/>
        <v>2.6702880860014488</v>
      </c>
      <c r="W152">
        <v>227.56520080566401</v>
      </c>
      <c r="X152" s="90">
        <f t="shared" si="38"/>
        <v>9.6588134769888256</v>
      </c>
    </row>
    <row r="153" spans="1:24" x14ac:dyDescent="0.25">
      <c r="A153" s="8">
        <v>42436.25</v>
      </c>
      <c r="B153" s="40">
        <f t="shared" si="30"/>
        <v>6</v>
      </c>
      <c r="C153" s="87">
        <v>55.470359802246101</v>
      </c>
      <c r="D153" s="85">
        <f t="shared" si="31"/>
        <v>0.14114379879970329</v>
      </c>
      <c r="E153">
        <v>81.718894958496094</v>
      </c>
      <c r="F153" s="85">
        <f t="shared" si="32"/>
        <v>5.5694580078125</v>
      </c>
      <c r="G153">
        <v>167.294189453125</v>
      </c>
      <c r="H153" s="86">
        <f t="shared" si="33"/>
        <v>13.244628905994205</v>
      </c>
      <c r="I153">
        <v>127.128341674805</v>
      </c>
      <c r="J153" s="86">
        <f t="shared" si="34"/>
        <v>11.726379394005448</v>
      </c>
      <c r="K153">
        <v>191.52143859863301</v>
      </c>
      <c r="L153" s="86">
        <f t="shared" si="35"/>
        <v>16.082763671988687</v>
      </c>
      <c r="M153">
        <v>218.43678283691401</v>
      </c>
      <c r="N153" s="86">
        <f t="shared" si="36"/>
        <v>7.7362060550001388</v>
      </c>
      <c r="O153">
        <v>1488.94909667969</v>
      </c>
      <c r="P153" s="40">
        <f t="shared" si="27"/>
        <v>110.10742186999778</v>
      </c>
      <c r="Q153">
        <v>1127.22668457031</v>
      </c>
      <c r="R153" s="40">
        <f t="shared" si="28"/>
        <v>3.7841796900011104</v>
      </c>
      <c r="S153">
        <v>2760.59448242188</v>
      </c>
      <c r="T153" s="40">
        <f t="shared" si="29"/>
        <v>186.03515625</v>
      </c>
      <c r="U153">
        <v>34.011810302734403</v>
      </c>
      <c r="V153" s="33">
        <f t="shared" si="37"/>
        <v>3.0593872069957229</v>
      </c>
      <c r="W153">
        <v>227.57485961914099</v>
      </c>
      <c r="X153" s="90">
        <f t="shared" si="38"/>
        <v>14.068603514999722</v>
      </c>
    </row>
    <row r="154" spans="1:24" x14ac:dyDescent="0.25">
      <c r="A154" s="8">
        <v>42436.291666666664</v>
      </c>
      <c r="B154" s="40">
        <f t="shared" si="30"/>
        <v>7</v>
      </c>
      <c r="C154" s="87">
        <v>55.470500946044901</v>
      </c>
      <c r="D154" s="85">
        <f t="shared" si="31"/>
        <v>0</v>
      </c>
      <c r="E154">
        <v>81.724464416503906</v>
      </c>
      <c r="F154" s="85">
        <f t="shared" si="32"/>
        <v>0.33569335938921085</v>
      </c>
      <c r="G154">
        <v>167.30743408203099</v>
      </c>
      <c r="H154" s="86">
        <f t="shared" si="33"/>
        <v>13.549804688011591</v>
      </c>
      <c r="I154">
        <v>127.14006805419901</v>
      </c>
      <c r="J154" s="86">
        <f t="shared" si="34"/>
        <v>11.909484863991793</v>
      </c>
      <c r="K154">
        <v>191.537521362305</v>
      </c>
      <c r="L154" s="86">
        <f t="shared" si="35"/>
        <v>16.11328125</v>
      </c>
      <c r="M154">
        <v>218.44451904296901</v>
      </c>
      <c r="N154" s="86">
        <f t="shared" si="36"/>
        <v>7.7667236329830303</v>
      </c>
      <c r="O154">
        <v>1489.05920410156</v>
      </c>
      <c r="P154" s="40">
        <f t="shared" si="27"/>
        <v>110.59570313000222</v>
      </c>
      <c r="Q154">
        <v>1127.23046875</v>
      </c>
      <c r="R154" s="40">
        <f t="shared" si="28"/>
        <v>0.73242188000222086</v>
      </c>
      <c r="S154">
        <v>2760.78051757813</v>
      </c>
      <c r="T154" s="40">
        <f t="shared" si="29"/>
        <v>7.32421875</v>
      </c>
      <c r="U154">
        <v>34.014869689941399</v>
      </c>
      <c r="V154" s="33">
        <f t="shared" si="37"/>
        <v>3.2005310059020076</v>
      </c>
      <c r="W154">
        <v>227.58892822265599</v>
      </c>
      <c r="X154" s="90">
        <f t="shared" si="38"/>
        <v>14.190673828011313</v>
      </c>
    </row>
    <row r="155" spans="1:24" x14ac:dyDescent="0.25">
      <c r="A155" s="8">
        <v>42436.333333333336</v>
      </c>
      <c r="B155" s="40">
        <f t="shared" si="30"/>
        <v>8</v>
      </c>
      <c r="C155" s="87">
        <v>55.470500946044901</v>
      </c>
      <c r="D155" s="85">
        <f t="shared" si="31"/>
        <v>0</v>
      </c>
      <c r="E155">
        <v>81.724800109863295</v>
      </c>
      <c r="F155" s="85">
        <f t="shared" si="32"/>
        <v>0</v>
      </c>
      <c r="G155">
        <v>167.32098388671901</v>
      </c>
      <c r="H155" s="86">
        <f t="shared" si="33"/>
        <v>13.534545897982753</v>
      </c>
      <c r="I155">
        <v>127.151977539063</v>
      </c>
      <c r="J155" s="86">
        <f t="shared" si="34"/>
        <v>11.901855467996825</v>
      </c>
      <c r="K155">
        <v>191.553634643555</v>
      </c>
      <c r="L155" s="86">
        <f t="shared" si="35"/>
        <v>15.960693359005518</v>
      </c>
      <c r="M155">
        <v>218.45228576660199</v>
      </c>
      <c r="N155" s="86">
        <f t="shared" si="36"/>
        <v>7.8430175780113132</v>
      </c>
      <c r="O155">
        <v>1489.16979980469</v>
      </c>
      <c r="P155" s="40">
        <f t="shared" si="27"/>
        <v>108.03222655999889</v>
      </c>
      <c r="Q155">
        <v>1127.23120117188</v>
      </c>
      <c r="R155" s="40">
        <f t="shared" si="28"/>
        <v>0.85449217999666871</v>
      </c>
      <c r="S155">
        <v>2760.78784179688</v>
      </c>
      <c r="T155" s="40">
        <f t="shared" si="29"/>
        <v>0.9765625</v>
      </c>
      <c r="U155">
        <v>34.018070220947301</v>
      </c>
      <c r="V155" s="33">
        <f t="shared" si="37"/>
        <v>3.2691955565979924</v>
      </c>
      <c r="W155">
        <v>227.60311889648401</v>
      </c>
      <c r="X155" s="90">
        <f t="shared" si="38"/>
        <v>14.190673829006073</v>
      </c>
    </row>
    <row r="156" spans="1:24" x14ac:dyDescent="0.25">
      <c r="A156" s="8">
        <v>42436.375</v>
      </c>
      <c r="B156" s="40">
        <f t="shared" si="30"/>
        <v>9</v>
      </c>
      <c r="C156" s="87">
        <v>55.470500946044901</v>
      </c>
      <c r="D156" s="85">
        <f t="shared" si="31"/>
        <v>0</v>
      </c>
      <c r="E156">
        <v>81.724800109863295</v>
      </c>
      <c r="F156" s="85">
        <f t="shared" si="32"/>
        <v>0</v>
      </c>
      <c r="G156">
        <v>167.33451843261699</v>
      </c>
      <c r="H156" s="86">
        <f t="shared" si="33"/>
        <v>13.549804688011591</v>
      </c>
      <c r="I156">
        <v>127.16387939453099</v>
      </c>
      <c r="J156" s="86">
        <f t="shared" si="34"/>
        <v>11.917114258011452</v>
      </c>
      <c r="K156">
        <v>191.56959533691401</v>
      </c>
      <c r="L156" s="86">
        <f t="shared" si="35"/>
        <v>13.549804687983169</v>
      </c>
      <c r="M156">
        <v>218.46012878418</v>
      </c>
      <c r="N156" s="86">
        <f t="shared" si="36"/>
        <v>11.154174804005379</v>
      </c>
      <c r="O156">
        <v>1489.27783203125</v>
      </c>
      <c r="P156" s="40">
        <f t="shared" si="27"/>
        <v>94.23828125</v>
      </c>
      <c r="Q156">
        <v>1127.23205566406</v>
      </c>
      <c r="R156" s="40">
        <f t="shared" si="28"/>
        <v>0.73242188000222086</v>
      </c>
      <c r="S156">
        <v>2760.78881835938</v>
      </c>
      <c r="T156" s="40">
        <f t="shared" si="29"/>
        <v>0.73242186999777914</v>
      </c>
      <c r="U156">
        <v>34.021339416503899</v>
      </c>
      <c r="V156" s="33">
        <f t="shared" si="37"/>
        <v>3.1929016112997033</v>
      </c>
      <c r="W156">
        <v>227.61730957031301</v>
      </c>
      <c r="X156" s="90">
        <f t="shared" si="38"/>
        <v>18.920898436988409</v>
      </c>
    </row>
    <row r="157" spans="1:24" x14ac:dyDescent="0.25">
      <c r="A157" s="8">
        <v>42436.416666666664</v>
      </c>
      <c r="B157" s="40">
        <f t="shared" si="30"/>
        <v>10</v>
      </c>
      <c r="C157" s="87">
        <v>55.470500946044901</v>
      </c>
      <c r="D157" s="85">
        <f t="shared" si="31"/>
        <v>0</v>
      </c>
      <c r="E157">
        <v>81.724800109863295</v>
      </c>
      <c r="F157" s="85">
        <f t="shared" si="32"/>
        <v>0</v>
      </c>
      <c r="G157">
        <v>167.348068237305</v>
      </c>
      <c r="H157" s="86">
        <f t="shared" si="33"/>
        <v>13.381958008011452</v>
      </c>
      <c r="I157">
        <v>127.17579650878901</v>
      </c>
      <c r="J157" s="86">
        <f t="shared" si="34"/>
        <v>11.856079101988826</v>
      </c>
      <c r="K157">
        <v>191.58314514160199</v>
      </c>
      <c r="L157" s="86">
        <f t="shared" si="35"/>
        <v>14.45007324201697</v>
      </c>
      <c r="M157">
        <v>218.47128295898401</v>
      </c>
      <c r="N157" s="86">
        <f t="shared" si="36"/>
        <v>13.061523437983169</v>
      </c>
      <c r="O157">
        <v>1489.3720703125</v>
      </c>
      <c r="P157" s="40">
        <f t="shared" si="27"/>
        <v>110.10742188000222</v>
      </c>
      <c r="Q157">
        <v>1127.23278808594</v>
      </c>
      <c r="R157" s="40">
        <f t="shared" si="28"/>
        <v>0.73242186999777914</v>
      </c>
      <c r="S157">
        <v>2760.78955078125</v>
      </c>
      <c r="T157" s="40">
        <f t="shared" si="29"/>
        <v>0.9765625</v>
      </c>
      <c r="U157">
        <v>34.024532318115199</v>
      </c>
      <c r="V157" s="33">
        <f t="shared" si="37"/>
        <v>3.2157897950000347</v>
      </c>
      <c r="W157">
        <v>227.63623046875</v>
      </c>
      <c r="X157" s="90">
        <f t="shared" si="38"/>
        <v>19.500732421988687</v>
      </c>
    </row>
    <row r="158" spans="1:24" x14ac:dyDescent="0.25">
      <c r="A158" s="8">
        <v>42436.458333333336</v>
      </c>
      <c r="B158" s="40">
        <f t="shared" si="30"/>
        <v>11</v>
      </c>
      <c r="C158" s="87">
        <v>55.470500946044901</v>
      </c>
      <c r="D158" s="85">
        <f t="shared" si="31"/>
        <v>0</v>
      </c>
      <c r="E158">
        <v>81.724800109863295</v>
      </c>
      <c r="F158" s="85">
        <f t="shared" si="32"/>
        <v>5.4931640625</v>
      </c>
      <c r="G158">
        <v>167.36145019531301</v>
      </c>
      <c r="H158" s="86">
        <f t="shared" si="33"/>
        <v>13.504028319999861</v>
      </c>
      <c r="I158">
        <v>127.18765258789099</v>
      </c>
      <c r="J158" s="86">
        <f t="shared" si="34"/>
        <v>11.871337889999722</v>
      </c>
      <c r="K158">
        <v>191.59759521484401</v>
      </c>
      <c r="L158" s="86">
        <f t="shared" si="35"/>
        <v>14.633178710994343</v>
      </c>
      <c r="M158">
        <v>218.48434448242199</v>
      </c>
      <c r="N158" s="86">
        <f t="shared" si="36"/>
        <v>12.863159180000139</v>
      </c>
      <c r="O158">
        <v>1489.48217773438</v>
      </c>
      <c r="P158" s="40">
        <f t="shared" si="27"/>
        <v>109.13085936999778</v>
      </c>
      <c r="Q158">
        <v>1127.23352050781</v>
      </c>
      <c r="R158" s="40">
        <f t="shared" si="28"/>
        <v>0.85449219000111043</v>
      </c>
      <c r="S158">
        <v>2760.79052734375</v>
      </c>
      <c r="T158" s="40">
        <f t="shared" si="29"/>
        <v>102.05078125</v>
      </c>
      <c r="U158">
        <v>34.027748107910199</v>
      </c>
      <c r="V158" s="33">
        <f t="shared" si="37"/>
        <v>3.1814575195028283</v>
      </c>
      <c r="W158">
        <v>227.65573120117199</v>
      </c>
      <c r="X158" s="90">
        <f t="shared" si="38"/>
        <v>19.348144531022626</v>
      </c>
    </row>
    <row r="159" spans="1:24" x14ac:dyDescent="0.25">
      <c r="A159" s="8">
        <v>42436.5</v>
      </c>
      <c r="B159" s="40">
        <f t="shared" si="30"/>
        <v>12</v>
      </c>
      <c r="C159" s="87">
        <v>55.470500946044901</v>
      </c>
      <c r="D159" s="85">
        <f t="shared" si="31"/>
        <v>0</v>
      </c>
      <c r="E159">
        <v>81.730293273925795</v>
      </c>
      <c r="F159" s="85">
        <f t="shared" si="32"/>
        <v>5.5770874023011174</v>
      </c>
      <c r="G159">
        <v>167.37495422363301</v>
      </c>
      <c r="H159" s="86">
        <f t="shared" si="33"/>
        <v>13.275146483977096</v>
      </c>
      <c r="I159">
        <v>127.19952392578099</v>
      </c>
      <c r="J159" s="86">
        <f t="shared" si="34"/>
        <v>11.825561524005934</v>
      </c>
      <c r="K159">
        <v>191.612228393555</v>
      </c>
      <c r="L159" s="86">
        <f t="shared" si="35"/>
        <v>14.724731444999861</v>
      </c>
      <c r="M159">
        <v>218.49720764160199</v>
      </c>
      <c r="N159" s="86">
        <f t="shared" si="36"/>
        <v>13.107299804005379</v>
      </c>
      <c r="O159">
        <v>1489.59130859375</v>
      </c>
      <c r="P159" s="40">
        <f t="shared" si="27"/>
        <v>111.08398438000222</v>
      </c>
      <c r="Q159">
        <v>1127.234375</v>
      </c>
      <c r="R159" s="40">
        <f t="shared" si="28"/>
        <v>0.85449219000111043</v>
      </c>
      <c r="S159">
        <v>2760.892578125</v>
      </c>
      <c r="T159" s="40">
        <f t="shared" si="29"/>
        <v>110.59570313000222</v>
      </c>
      <c r="U159">
        <v>34.030929565429702</v>
      </c>
      <c r="V159" s="33">
        <f t="shared" si="37"/>
        <v>3.3607482910014141</v>
      </c>
      <c r="W159">
        <v>227.67507934570301</v>
      </c>
      <c r="X159" s="90">
        <f t="shared" si="38"/>
        <v>19.48547363298303</v>
      </c>
    </row>
    <row r="160" spans="1:24" x14ac:dyDescent="0.25">
      <c r="A160" s="8">
        <v>42436.541666666664</v>
      </c>
      <c r="B160" s="40">
        <f t="shared" si="30"/>
        <v>13</v>
      </c>
      <c r="C160" s="87">
        <v>55.470500946044901</v>
      </c>
      <c r="D160" s="85">
        <f t="shared" si="31"/>
        <v>0</v>
      </c>
      <c r="E160">
        <v>81.735870361328097</v>
      </c>
      <c r="F160" s="85">
        <f t="shared" si="32"/>
        <v>0.70953369140625</v>
      </c>
      <c r="G160">
        <v>167.38822937011699</v>
      </c>
      <c r="H160" s="86">
        <f t="shared" si="33"/>
        <v>13.580322266022904</v>
      </c>
      <c r="I160">
        <v>127.211349487305</v>
      </c>
      <c r="J160" s="86">
        <f t="shared" si="34"/>
        <v>11.978149414005657</v>
      </c>
      <c r="K160">
        <v>191.626953125</v>
      </c>
      <c r="L160" s="86">
        <f t="shared" si="35"/>
        <v>14.633178710994343</v>
      </c>
      <c r="M160">
        <v>218.51031494140599</v>
      </c>
      <c r="N160" s="86">
        <f t="shared" si="36"/>
        <v>13.046264649005934</v>
      </c>
      <c r="O160">
        <v>1489.70239257813</v>
      </c>
      <c r="P160" s="40">
        <f t="shared" si="27"/>
        <v>110.59570311999778</v>
      </c>
      <c r="Q160">
        <v>1127.23522949219</v>
      </c>
      <c r="R160" s="40">
        <f t="shared" si="28"/>
        <v>0.61035155999888957</v>
      </c>
      <c r="S160">
        <v>2761.00317382813</v>
      </c>
      <c r="T160" s="40">
        <f t="shared" si="29"/>
        <v>11.474609369997779</v>
      </c>
      <c r="U160">
        <v>34.034290313720703</v>
      </c>
      <c r="V160" s="33">
        <f t="shared" si="37"/>
        <v>3.379821777294012</v>
      </c>
      <c r="W160">
        <v>227.69456481933599</v>
      </c>
      <c r="X160" s="90">
        <f t="shared" si="38"/>
        <v>19.515991210994343</v>
      </c>
    </row>
    <row r="161" spans="1:24" x14ac:dyDescent="0.25">
      <c r="A161" s="8">
        <v>42436.583333333336</v>
      </c>
      <c r="B161" s="40">
        <f t="shared" si="30"/>
        <v>14</v>
      </c>
      <c r="C161" s="87">
        <v>55.470500946044901</v>
      </c>
      <c r="D161" s="85">
        <f t="shared" si="31"/>
        <v>0</v>
      </c>
      <c r="E161">
        <v>81.736579895019503</v>
      </c>
      <c r="F161" s="85">
        <f t="shared" si="32"/>
        <v>0</v>
      </c>
      <c r="G161">
        <v>167.40180969238301</v>
      </c>
      <c r="H161" s="86">
        <f t="shared" si="33"/>
        <v>13.580322264999722</v>
      </c>
      <c r="I161">
        <v>127.22332763671901</v>
      </c>
      <c r="J161" s="86">
        <f t="shared" si="34"/>
        <v>11.71875</v>
      </c>
      <c r="K161">
        <v>191.64158630371099</v>
      </c>
      <c r="L161" s="86">
        <f t="shared" si="35"/>
        <v>14.6484375</v>
      </c>
      <c r="M161">
        <v>218.523361206055</v>
      </c>
      <c r="N161" s="86">
        <f t="shared" si="36"/>
        <v>12.924194335994343</v>
      </c>
      <c r="O161">
        <v>1489.81298828125</v>
      </c>
      <c r="P161" s="40">
        <f t="shared" si="27"/>
        <v>110.3515625</v>
      </c>
      <c r="Q161">
        <v>1127.23583984375</v>
      </c>
      <c r="R161" s="40">
        <f t="shared" si="28"/>
        <v>0.85449219000111043</v>
      </c>
      <c r="S161">
        <v>2761.0146484375</v>
      </c>
      <c r="T161" s="40">
        <f t="shared" si="29"/>
        <v>0.48828125</v>
      </c>
      <c r="U161">
        <v>34.037670135497997</v>
      </c>
      <c r="V161" s="33">
        <f t="shared" si="37"/>
        <v>3.273010254005726</v>
      </c>
      <c r="W161">
        <v>227.71408081054699</v>
      </c>
      <c r="X161" s="90">
        <f t="shared" si="38"/>
        <v>19.180297851022488</v>
      </c>
    </row>
    <row r="162" spans="1:24" x14ac:dyDescent="0.25">
      <c r="A162" s="8">
        <v>42436.625</v>
      </c>
      <c r="B162" s="40">
        <f t="shared" si="30"/>
        <v>15</v>
      </c>
      <c r="C162" s="87">
        <v>55.470500946044901</v>
      </c>
      <c r="D162" s="85">
        <f t="shared" si="31"/>
        <v>0</v>
      </c>
      <c r="E162">
        <v>81.736579895019503</v>
      </c>
      <c r="F162" s="85">
        <f t="shared" si="32"/>
        <v>0</v>
      </c>
      <c r="G162">
        <v>167.41539001464801</v>
      </c>
      <c r="H162" s="86">
        <f t="shared" si="33"/>
        <v>13.275146485000278</v>
      </c>
      <c r="I162">
        <v>127.23504638671901</v>
      </c>
      <c r="J162" s="86">
        <f t="shared" si="34"/>
        <v>11.924743651988479</v>
      </c>
      <c r="K162">
        <v>191.65623474121099</v>
      </c>
      <c r="L162" s="86">
        <f t="shared" si="35"/>
        <v>13.412475585994343</v>
      </c>
      <c r="M162">
        <v>218.53628540039099</v>
      </c>
      <c r="N162" s="86">
        <f t="shared" si="36"/>
        <v>12.161254882016692</v>
      </c>
      <c r="O162">
        <v>1489.92333984375</v>
      </c>
      <c r="P162" s="40">
        <f t="shared" si="27"/>
        <v>96.80175780999889</v>
      </c>
      <c r="Q162">
        <v>1127.23669433594</v>
      </c>
      <c r="R162" s="40">
        <f t="shared" si="28"/>
        <v>0.85449219000111043</v>
      </c>
      <c r="S162">
        <v>2761.01513671875</v>
      </c>
      <c r="T162" s="40">
        <f t="shared" si="29"/>
        <v>0.9765625</v>
      </c>
      <c r="U162">
        <v>34.040943145752003</v>
      </c>
      <c r="V162" s="33">
        <f t="shared" si="37"/>
        <v>3.1585693358948674</v>
      </c>
      <c r="W162">
        <v>227.73326110839801</v>
      </c>
      <c r="X162" s="90">
        <f t="shared" si="38"/>
        <v>19.546508790000416</v>
      </c>
    </row>
    <row r="163" spans="1:24" x14ac:dyDescent="0.25">
      <c r="A163" s="8">
        <v>42436.666666666664</v>
      </c>
      <c r="B163" s="40">
        <f t="shared" si="30"/>
        <v>16</v>
      </c>
      <c r="C163" s="87">
        <v>55.470500946044901</v>
      </c>
      <c r="D163" s="85">
        <f t="shared" si="31"/>
        <v>0</v>
      </c>
      <c r="E163">
        <v>81.736579895019503</v>
      </c>
      <c r="F163" s="85">
        <f t="shared" si="32"/>
        <v>1.8920898437926326</v>
      </c>
      <c r="G163">
        <v>167.42866516113301</v>
      </c>
      <c r="H163" s="86">
        <f t="shared" si="33"/>
        <v>13.534545897982753</v>
      </c>
      <c r="I163">
        <v>127.24697113037099</v>
      </c>
      <c r="J163" s="86">
        <f t="shared" si="34"/>
        <v>11.947631836008554</v>
      </c>
      <c r="K163">
        <v>191.66964721679699</v>
      </c>
      <c r="L163" s="86">
        <f t="shared" si="35"/>
        <v>14.633178711022765</v>
      </c>
      <c r="M163">
        <v>218.54844665527301</v>
      </c>
      <c r="N163" s="86">
        <f t="shared" si="36"/>
        <v>13.153076171988687</v>
      </c>
      <c r="O163">
        <v>1490.02014160156</v>
      </c>
      <c r="P163" s="40">
        <f t="shared" si="27"/>
        <v>110.10742188000222</v>
      </c>
      <c r="Q163">
        <v>1127.23754882813</v>
      </c>
      <c r="R163" s="40">
        <f t="shared" si="28"/>
        <v>0.73242186999777914</v>
      </c>
      <c r="S163">
        <v>2761.01611328125</v>
      </c>
      <c r="T163" s="40">
        <f t="shared" si="29"/>
        <v>36.376953130002221</v>
      </c>
      <c r="U163">
        <v>34.044101715087898</v>
      </c>
      <c r="V163" s="33">
        <f t="shared" si="37"/>
        <v>3.1471252441050979</v>
      </c>
      <c r="W163">
        <v>227.75280761718801</v>
      </c>
      <c r="X163" s="90">
        <f t="shared" si="38"/>
        <v>19.500732420993927</v>
      </c>
    </row>
    <row r="164" spans="1:24" x14ac:dyDescent="0.25">
      <c r="A164" s="8">
        <v>42436.708333333336</v>
      </c>
      <c r="B164" s="40">
        <f t="shared" si="30"/>
        <v>17</v>
      </c>
      <c r="C164" s="87">
        <v>55.470500946044901</v>
      </c>
      <c r="D164" s="85">
        <f t="shared" si="31"/>
        <v>0</v>
      </c>
      <c r="E164">
        <v>81.738471984863295</v>
      </c>
      <c r="F164" s="85">
        <f t="shared" si="32"/>
        <v>5.5770874023011174</v>
      </c>
      <c r="G164">
        <v>167.44219970703099</v>
      </c>
      <c r="H164" s="86">
        <f t="shared" si="33"/>
        <v>13.275146485000278</v>
      </c>
      <c r="I164">
        <v>127.258918762207</v>
      </c>
      <c r="J164" s="86">
        <f t="shared" si="34"/>
        <v>11.772155762002967</v>
      </c>
      <c r="K164">
        <v>191.68428039550801</v>
      </c>
      <c r="L164" s="86">
        <f t="shared" si="35"/>
        <v>14.6484375</v>
      </c>
      <c r="M164">
        <v>218.561599731445</v>
      </c>
      <c r="N164" s="86">
        <f t="shared" si="36"/>
        <v>13.092041015994482</v>
      </c>
      <c r="O164">
        <v>1490.13024902344</v>
      </c>
      <c r="P164" s="40">
        <f t="shared" si="27"/>
        <v>109.25292969000111</v>
      </c>
      <c r="Q164">
        <v>1127.23828125</v>
      </c>
      <c r="R164" s="40">
        <f t="shared" si="28"/>
        <v>0.85449219000111043</v>
      </c>
      <c r="S164">
        <v>2761.05249023438</v>
      </c>
      <c r="T164" s="40">
        <f t="shared" si="29"/>
        <v>128.41796875</v>
      </c>
      <c r="U164">
        <v>34.047248840332003</v>
      </c>
      <c r="V164" s="33">
        <f t="shared" si="37"/>
        <v>3.3226013183949021</v>
      </c>
      <c r="W164">
        <v>227.77230834960901</v>
      </c>
      <c r="X164" s="90">
        <f t="shared" si="38"/>
        <v>19.470214844005795</v>
      </c>
    </row>
    <row r="165" spans="1:24" x14ac:dyDescent="0.25">
      <c r="A165" s="8">
        <v>42436.75</v>
      </c>
      <c r="B165" s="40">
        <f t="shared" si="30"/>
        <v>18</v>
      </c>
      <c r="C165" s="87">
        <v>55.470500946044901</v>
      </c>
      <c r="D165" s="85">
        <f t="shared" si="31"/>
        <v>1.1444091796875E-2</v>
      </c>
      <c r="E165">
        <v>81.744049072265597</v>
      </c>
      <c r="F165" s="85">
        <f t="shared" si="32"/>
        <v>5.5618286133096717</v>
      </c>
      <c r="G165">
        <v>167.45547485351599</v>
      </c>
      <c r="H165" s="86">
        <f t="shared" si="33"/>
        <v>13.214111328011313</v>
      </c>
      <c r="I165">
        <v>127.27069091796901</v>
      </c>
      <c r="J165" s="86">
        <f t="shared" si="34"/>
        <v>11.840820311988409</v>
      </c>
      <c r="K165">
        <v>191.69892883300801</v>
      </c>
      <c r="L165" s="86">
        <f t="shared" si="35"/>
        <v>14.755249022982753</v>
      </c>
      <c r="M165">
        <v>218.57469177246099</v>
      </c>
      <c r="N165" s="86">
        <f t="shared" si="36"/>
        <v>12.954711914005657</v>
      </c>
      <c r="O165">
        <v>1490.23950195313</v>
      </c>
      <c r="P165" s="40">
        <f t="shared" si="27"/>
        <v>110.71777342999667</v>
      </c>
      <c r="Q165">
        <v>1127.23913574219</v>
      </c>
      <c r="R165" s="40">
        <f t="shared" si="28"/>
        <v>0.73242186999777914</v>
      </c>
      <c r="S165">
        <v>2761.18090820313</v>
      </c>
      <c r="T165" s="40">
        <f t="shared" si="29"/>
        <v>127.9296875</v>
      </c>
      <c r="U165">
        <v>34.050571441650398</v>
      </c>
      <c r="V165" s="33">
        <f t="shared" si="37"/>
        <v>3.2882690430042771</v>
      </c>
      <c r="W165">
        <v>227.79177856445301</v>
      </c>
      <c r="X165" s="90">
        <f t="shared" si="38"/>
        <v>19.378662110000278</v>
      </c>
    </row>
    <row r="166" spans="1:24" x14ac:dyDescent="0.25">
      <c r="A166" s="8">
        <v>42436.791666666664</v>
      </c>
      <c r="B166" s="40">
        <f t="shared" si="30"/>
        <v>19</v>
      </c>
      <c r="C166" s="87">
        <v>55.470512390136697</v>
      </c>
      <c r="D166" s="85">
        <f t="shared" si="31"/>
        <v>0</v>
      </c>
      <c r="E166">
        <v>81.749610900878906</v>
      </c>
      <c r="F166" s="85">
        <f t="shared" si="32"/>
        <v>5.5694580077982891</v>
      </c>
      <c r="G166">
        <v>167.46868896484401</v>
      </c>
      <c r="H166" s="86">
        <f t="shared" si="33"/>
        <v>13.259887694999861</v>
      </c>
      <c r="I166">
        <v>127.28253173828099</v>
      </c>
      <c r="J166" s="86">
        <f t="shared" si="34"/>
        <v>11.833190918011383</v>
      </c>
      <c r="K166">
        <v>191.71368408203099</v>
      </c>
      <c r="L166" s="86">
        <f t="shared" si="35"/>
        <v>14.663696289005657</v>
      </c>
      <c r="M166">
        <v>218.587646484375</v>
      </c>
      <c r="N166" s="86">
        <f t="shared" si="36"/>
        <v>13.137817383011452</v>
      </c>
      <c r="O166">
        <v>1490.35021972656</v>
      </c>
      <c r="P166" s="40">
        <f t="shared" si="27"/>
        <v>110.3515625</v>
      </c>
      <c r="Q166">
        <v>1127.23986816406</v>
      </c>
      <c r="R166" s="40">
        <f t="shared" si="28"/>
        <v>0.85449219000111043</v>
      </c>
      <c r="S166">
        <v>2761.30883789063</v>
      </c>
      <c r="T166" s="40">
        <f t="shared" si="29"/>
        <v>127.68554686999778</v>
      </c>
      <c r="U166">
        <v>34.053859710693402</v>
      </c>
      <c r="V166" s="33">
        <f t="shared" si="37"/>
        <v>3.2882690428976957</v>
      </c>
      <c r="W166">
        <v>227.81115722656301</v>
      </c>
      <c r="X166" s="90">
        <f t="shared" si="38"/>
        <v>19.363403319999861</v>
      </c>
    </row>
    <row r="167" spans="1:24" x14ac:dyDescent="0.25">
      <c r="A167" s="8">
        <v>42436.833333333336</v>
      </c>
      <c r="B167" s="40">
        <f t="shared" si="30"/>
        <v>20</v>
      </c>
      <c r="C167" s="87">
        <v>55.470512390136697</v>
      </c>
      <c r="D167" s="85">
        <f t="shared" si="31"/>
        <v>7.6293946023042736E-3</v>
      </c>
      <c r="E167">
        <v>81.755180358886705</v>
      </c>
      <c r="F167" s="85">
        <f t="shared" si="32"/>
        <v>5.5465698241903283</v>
      </c>
      <c r="G167">
        <v>167.48194885253901</v>
      </c>
      <c r="H167" s="86">
        <f t="shared" si="33"/>
        <v>13.198852539005657</v>
      </c>
      <c r="I167">
        <v>127.29436492919901</v>
      </c>
      <c r="J167" s="86">
        <f t="shared" si="34"/>
        <v>11.848449706988617</v>
      </c>
      <c r="K167">
        <v>191.72834777832</v>
      </c>
      <c r="L167" s="86">
        <f t="shared" si="35"/>
        <v>14.495849610000278</v>
      </c>
      <c r="M167">
        <v>218.60078430175801</v>
      </c>
      <c r="N167" s="86">
        <f t="shared" si="36"/>
        <v>12.924194335994343</v>
      </c>
      <c r="O167">
        <v>1490.46057128906</v>
      </c>
      <c r="P167" s="40">
        <f t="shared" si="27"/>
        <v>111.45019532000333</v>
      </c>
      <c r="Q167">
        <v>1127.24072265625</v>
      </c>
      <c r="R167" s="40">
        <f t="shared" si="28"/>
        <v>0.85449219000111043</v>
      </c>
      <c r="S167">
        <v>2761.4365234375</v>
      </c>
      <c r="T167" s="40">
        <f t="shared" si="29"/>
        <v>127.19726563000222</v>
      </c>
      <c r="U167">
        <v>34.0571479797363</v>
      </c>
      <c r="V167" s="33">
        <f t="shared" si="37"/>
        <v>3.2615661621022696</v>
      </c>
      <c r="W167">
        <v>227.83052062988301</v>
      </c>
      <c r="X167" s="90">
        <f t="shared" si="38"/>
        <v>19.48547363298303</v>
      </c>
    </row>
    <row r="168" spans="1:24" x14ac:dyDescent="0.25">
      <c r="A168" s="8">
        <v>42436.875</v>
      </c>
      <c r="B168" s="40">
        <f t="shared" si="30"/>
        <v>21</v>
      </c>
      <c r="C168" s="87">
        <v>55.4705200195313</v>
      </c>
      <c r="D168" s="85">
        <f t="shared" si="31"/>
        <v>0</v>
      </c>
      <c r="E168">
        <v>81.760726928710895</v>
      </c>
      <c r="F168" s="85">
        <f t="shared" si="32"/>
        <v>5.5847167969034217</v>
      </c>
      <c r="G168">
        <v>167.49514770507801</v>
      </c>
      <c r="H168" s="86">
        <f t="shared" si="33"/>
        <v>13.336181640994482</v>
      </c>
      <c r="I168">
        <v>127.30621337890599</v>
      </c>
      <c r="J168" s="86">
        <f t="shared" si="34"/>
        <v>11.833190918011383</v>
      </c>
      <c r="K168">
        <v>191.74284362793</v>
      </c>
      <c r="L168" s="86">
        <f t="shared" si="35"/>
        <v>14.678955078011313</v>
      </c>
      <c r="M168">
        <v>218.61370849609401</v>
      </c>
      <c r="N168" s="86">
        <f t="shared" si="36"/>
        <v>13.061523436988409</v>
      </c>
      <c r="O168">
        <v>1490.57202148438</v>
      </c>
      <c r="P168" s="40">
        <f t="shared" si="27"/>
        <v>109.25292967999667</v>
      </c>
      <c r="Q168">
        <v>1127.24157714844</v>
      </c>
      <c r="R168" s="40">
        <f t="shared" si="28"/>
        <v>0.85449219000111043</v>
      </c>
      <c r="S168">
        <v>2761.56372070313</v>
      </c>
      <c r="T168" s="40">
        <f t="shared" si="29"/>
        <v>125</v>
      </c>
      <c r="U168">
        <v>34.060409545898402</v>
      </c>
      <c r="V168" s="33">
        <f t="shared" si="37"/>
        <v>3.2386779786008901</v>
      </c>
      <c r="W168">
        <v>227.85000610351599</v>
      </c>
      <c r="X168" s="90">
        <f t="shared" si="38"/>
        <v>19.226074218011036</v>
      </c>
    </row>
    <row r="169" spans="1:24" x14ac:dyDescent="0.25">
      <c r="A169" s="8">
        <v>42436.916666666664</v>
      </c>
      <c r="B169" s="40">
        <f t="shared" si="30"/>
        <v>22</v>
      </c>
      <c r="C169" s="87">
        <v>55.4705200195313</v>
      </c>
      <c r="D169" s="85">
        <f t="shared" si="31"/>
        <v>0</v>
      </c>
      <c r="E169">
        <v>81.766311645507798</v>
      </c>
      <c r="F169" s="85">
        <f t="shared" si="32"/>
        <v>5.4779052735085543</v>
      </c>
      <c r="G169">
        <v>167.50848388671901</v>
      </c>
      <c r="H169" s="86">
        <f t="shared" si="33"/>
        <v>13.458251952982891</v>
      </c>
      <c r="I169">
        <v>127.31804656982401</v>
      </c>
      <c r="J169" s="86">
        <f t="shared" si="34"/>
        <v>11.657714843991585</v>
      </c>
      <c r="K169">
        <v>191.75752258300801</v>
      </c>
      <c r="L169" s="86">
        <f t="shared" si="35"/>
        <v>14.663696288977235</v>
      </c>
      <c r="M169">
        <v>218.62677001953099</v>
      </c>
      <c r="N169" s="86">
        <f t="shared" si="36"/>
        <v>13.076782227017247</v>
      </c>
      <c r="O169">
        <v>1490.68127441406</v>
      </c>
      <c r="P169" s="40">
        <f t="shared" si="27"/>
        <v>111.20605469000111</v>
      </c>
      <c r="Q169">
        <v>1127.24243164063</v>
      </c>
      <c r="R169" s="40">
        <f t="shared" si="28"/>
        <v>0.85449217999666871</v>
      </c>
      <c r="S169">
        <v>2761.68872070313</v>
      </c>
      <c r="T169" s="40">
        <f t="shared" si="29"/>
        <v>126.46484375</v>
      </c>
      <c r="U169">
        <v>34.063648223877003</v>
      </c>
      <c r="V169" s="33">
        <f t="shared" si="37"/>
        <v>3.2730102538991446</v>
      </c>
      <c r="W169">
        <v>227.86923217773401</v>
      </c>
      <c r="X169" s="90">
        <f t="shared" si="38"/>
        <v>19.561767579006073</v>
      </c>
    </row>
    <row r="170" spans="1:24" x14ac:dyDescent="0.25">
      <c r="A170" s="8">
        <v>42436.958333333336</v>
      </c>
      <c r="B170" s="40">
        <f t="shared" si="30"/>
        <v>23</v>
      </c>
      <c r="C170" s="87">
        <v>55.4705200195313</v>
      </c>
      <c r="D170" s="85">
        <f t="shared" si="31"/>
        <v>1.1444091697399017E-2</v>
      </c>
      <c r="E170">
        <v>81.771789550781307</v>
      </c>
      <c r="F170" s="85">
        <f t="shared" si="32"/>
        <v>4.8675537108948674</v>
      </c>
      <c r="G170">
        <v>167.52194213867199</v>
      </c>
      <c r="H170" s="86">
        <f t="shared" si="33"/>
        <v>13.397216797017109</v>
      </c>
      <c r="I170">
        <v>127.329704284668</v>
      </c>
      <c r="J170" s="86">
        <f t="shared" si="34"/>
        <v>11.894226074005587</v>
      </c>
      <c r="K170">
        <v>191.77218627929699</v>
      </c>
      <c r="L170" s="86">
        <f t="shared" si="35"/>
        <v>14.663696289005657</v>
      </c>
      <c r="M170">
        <v>218.63984680175801</v>
      </c>
      <c r="N170" s="86">
        <f t="shared" si="36"/>
        <v>12.924194335994343</v>
      </c>
      <c r="O170">
        <v>1490.79248046875</v>
      </c>
      <c r="P170" s="40">
        <f t="shared" si="27"/>
        <v>112.18261719000111</v>
      </c>
      <c r="Q170">
        <v>1127.24328613281</v>
      </c>
      <c r="R170" s="40">
        <f t="shared" si="28"/>
        <v>0.85449219000111043</v>
      </c>
      <c r="S170">
        <v>2761.81518554688</v>
      </c>
      <c r="T170" s="40">
        <f t="shared" si="29"/>
        <v>104.73632811999778</v>
      </c>
      <c r="U170">
        <v>34.066921234130902</v>
      </c>
      <c r="V170" s="33">
        <f t="shared" si="37"/>
        <v>3.3416748045951294</v>
      </c>
      <c r="W170">
        <v>227.88879394531301</v>
      </c>
      <c r="X170" s="90">
        <f t="shared" si="38"/>
        <v>18.356323241988548</v>
      </c>
    </row>
    <row r="171" spans="1:24" x14ac:dyDescent="0.25">
      <c r="A171" s="8">
        <v>42437</v>
      </c>
      <c r="B171" s="40">
        <f t="shared" si="30"/>
        <v>0</v>
      </c>
      <c r="C171" s="87">
        <v>55.470531463622997</v>
      </c>
      <c r="D171" s="85">
        <f t="shared" si="31"/>
        <v>0</v>
      </c>
      <c r="E171">
        <v>81.776657104492202</v>
      </c>
      <c r="F171" s="85">
        <f t="shared" si="32"/>
        <v>0</v>
      </c>
      <c r="G171">
        <v>167.53533935546901</v>
      </c>
      <c r="H171" s="86">
        <f t="shared" si="33"/>
        <v>13.519287109005518</v>
      </c>
      <c r="I171">
        <v>127.341598510742</v>
      </c>
      <c r="J171" s="86">
        <f t="shared" si="34"/>
        <v>11.924743652997449</v>
      </c>
      <c r="K171">
        <v>191.78684997558599</v>
      </c>
      <c r="L171" s="86">
        <f t="shared" si="35"/>
        <v>14.6484375</v>
      </c>
      <c r="M171">
        <v>218.65277099609401</v>
      </c>
      <c r="N171" s="86">
        <f t="shared" si="36"/>
        <v>13.031005859005518</v>
      </c>
      <c r="O171">
        <v>1490.90466308594</v>
      </c>
      <c r="P171" s="40">
        <f t="shared" si="27"/>
        <v>110.71777344000111</v>
      </c>
      <c r="Q171">
        <v>1127.244140625</v>
      </c>
      <c r="R171" s="40">
        <f t="shared" si="28"/>
        <v>0.61035155999888957</v>
      </c>
      <c r="S171">
        <v>2761.919921875</v>
      </c>
      <c r="T171" s="40">
        <f t="shared" si="29"/>
        <v>0.73242188000222086</v>
      </c>
      <c r="U171">
        <v>34.070262908935497</v>
      </c>
      <c r="V171" s="33">
        <f t="shared" si="37"/>
        <v>3.2882690430042771</v>
      </c>
      <c r="W171">
        <v>227.907150268555</v>
      </c>
      <c r="X171" s="90">
        <f t="shared" si="38"/>
        <v>17.364501953011313</v>
      </c>
    </row>
    <row r="172" spans="1:24" x14ac:dyDescent="0.25">
      <c r="A172" s="8">
        <v>42437.041666666664</v>
      </c>
      <c r="B172" s="40">
        <f t="shared" si="30"/>
        <v>1</v>
      </c>
      <c r="C172" s="87">
        <v>55.470531463622997</v>
      </c>
      <c r="D172" s="85">
        <f t="shared" si="31"/>
        <v>0</v>
      </c>
      <c r="E172">
        <v>81.776657104492202</v>
      </c>
      <c r="F172" s="85">
        <f t="shared" si="32"/>
        <v>0</v>
      </c>
      <c r="G172">
        <v>167.54885864257801</v>
      </c>
      <c r="H172" s="86">
        <f t="shared" si="33"/>
        <v>13.38195800798303</v>
      </c>
      <c r="I172">
        <v>127.353523254395</v>
      </c>
      <c r="J172" s="86">
        <f t="shared" si="34"/>
        <v>11.917114257002481</v>
      </c>
      <c r="K172">
        <v>191.80149841308599</v>
      </c>
      <c r="L172" s="86">
        <f t="shared" si="35"/>
        <v>14.419555664005657</v>
      </c>
      <c r="M172">
        <v>218.66580200195301</v>
      </c>
      <c r="N172" s="86">
        <f t="shared" si="36"/>
        <v>13.061523437983169</v>
      </c>
      <c r="O172">
        <v>1491.01538085938</v>
      </c>
      <c r="P172" s="40">
        <f t="shared" si="27"/>
        <v>111.08398436999778</v>
      </c>
      <c r="Q172">
        <v>1127.24475097656</v>
      </c>
      <c r="R172" s="40">
        <f t="shared" si="28"/>
        <v>0.85449219000111043</v>
      </c>
      <c r="S172">
        <v>2761.92065429688</v>
      </c>
      <c r="T172" s="40">
        <f t="shared" si="29"/>
        <v>0.73242186999777914</v>
      </c>
      <c r="U172">
        <v>34.073551177978501</v>
      </c>
      <c r="V172" s="33">
        <f t="shared" si="37"/>
        <v>3.1585693360014488</v>
      </c>
      <c r="W172">
        <v>227.92451477050801</v>
      </c>
      <c r="X172" s="90">
        <f t="shared" si="38"/>
        <v>14.053344725994066</v>
      </c>
    </row>
    <row r="173" spans="1:24" x14ac:dyDescent="0.25">
      <c r="A173" s="8">
        <v>42437.083333333336</v>
      </c>
      <c r="B173" s="40">
        <f t="shared" si="30"/>
        <v>2</v>
      </c>
      <c r="C173" s="87">
        <v>55.470531463622997</v>
      </c>
      <c r="D173" s="85">
        <f t="shared" si="31"/>
        <v>0</v>
      </c>
      <c r="E173">
        <v>81.776657104492202</v>
      </c>
      <c r="F173" s="85">
        <f t="shared" si="32"/>
        <v>0</v>
      </c>
      <c r="G173">
        <v>167.56224060058599</v>
      </c>
      <c r="H173" s="86">
        <f t="shared" si="33"/>
        <v>13.47351074201697</v>
      </c>
      <c r="I173">
        <v>127.365440368652</v>
      </c>
      <c r="J173" s="86">
        <f t="shared" si="34"/>
        <v>11.917114257997241</v>
      </c>
      <c r="K173">
        <v>191.81591796875</v>
      </c>
      <c r="L173" s="86">
        <f t="shared" si="35"/>
        <v>14.6484375</v>
      </c>
      <c r="M173">
        <v>218.67886352539099</v>
      </c>
      <c r="N173" s="86">
        <f t="shared" si="36"/>
        <v>13.046264648011174</v>
      </c>
      <c r="O173">
        <v>1491.12646484375</v>
      </c>
      <c r="P173" s="40">
        <f t="shared" si="27"/>
        <v>111.93847655999889</v>
      </c>
      <c r="Q173">
        <v>1127.24560546875</v>
      </c>
      <c r="R173" s="40">
        <f t="shared" si="28"/>
        <v>0.73242188000222086</v>
      </c>
      <c r="S173">
        <v>2761.92138671875</v>
      </c>
      <c r="T173" s="40">
        <f t="shared" si="29"/>
        <v>0.9765625</v>
      </c>
      <c r="U173">
        <v>34.076709747314503</v>
      </c>
      <c r="V173" s="33">
        <f t="shared" si="37"/>
        <v>3.1700134276988479</v>
      </c>
      <c r="W173">
        <v>227.93856811523401</v>
      </c>
      <c r="X173" s="90">
        <f t="shared" si="38"/>
        <v>13.015747070994621</v>
      </c>
    </row>
    <row r="174" spans="1:24" x14ac:dyDescent="0.25">
      <c r="A174" s="8">
        <v>42437.125</v>
      </c>
      <c r="B174" s="40">
        <f t="shared" si="30"/>
        <v>3</v>
      </c>
      <c r="C174" s="87">
        <v>55.470531463622997</v>
      </c>
      <c r="D174" s="85">
        <f t="shared" si="31"/>
        <v>0</v>
      </c>
      <c r="E174">
        <v>81.776657104492202</v>
      </c>
      <c r="F174" s="85">
        <f t="shared" si="32"/>
        <v>0</v>
      </c>
      <c r="G174">
        <v>167.57571411132801</v>
      </c>
      <c r="H174" s="86">
        <f t="shared" si="33"/>
        <v>13.488769530994205</v>
      </c>
      <c r="I174">
        <v>127.37735748291</v>
      </c>
      <c r="J174" s="86">
        <f t="shared" si="34"/>
        <v>11.787414550994413</v>
      </c>
      <c r="K174">
        <v>191.83056640625</v>
      </c>
      <c r="L174" s="86">
        <f t="shared" si="35"/>
        <v>14.663696289005657</v>
      </c>
      <c r="M174">
        <v>218.69190979003901</v>
      </c>
      <c r="N174" s="86">
        <f t="shared" si="36"/>
        <v>13.031005859005518</v>
      </c>
      <c r="O174">
        <v>1491.23840332031</v>
      </c>
      <c r="P174" s="40">
        <f t="shared" si="27"/>
        <v>111.328125</v>
      </c>
      <c r="Q174">
        <v>1127.24633789063</v>
      </c>
      <c r="R174" s="40">
        <f t="shared" si="28"/>
        <v>0.73242186999777914</v>
      </c>
      <c r="S174">
        <v>2761.92236328125</v>
      </c>
      <c r="T174" s="40">
        <f t="shared" si="29"/>
        <v>0.73242188000222086</v>
      </c>
      <c r="U174">
        <v>34.079879760742202</v>
      </c>
      <c r="V174" s="33">
        <f t="shared" si="37"/>
        <v>3.2234191893962816</v>
      </c>
      <c r="W174">
        <v>227.951583862305</v>
      </c>
      <c r="X174" s="90">
        <f t="shared" si="38"/>
        <v>12.344360350994066</v>
      </c>
    </row>
    <row r="175" spans="1:24" x14ac:dyDescent="0.25">
      <c r="A175" s="8">
        <v>42437.166666666664</v>
      </c>
      <c r="B175" s="40">
        <f t="shared" si="30"/>
        <v>4</v>
      </c>
      <c r="C175" s="87">
        <v>55.470531463622997</v>
      </c>
      <c r="D175" s="85">
        <f t="shared" si="31"/>
        <v>0</v>
      </c>
      <c r="E175">
        <v>81.776657104492202</v>
      </c>
      <c r="F175" s="85">
        <f t="shared" si="32"/>
        <v>0</v>
      </c>
      <c r="G175">
        <v>167.58920288085901</v>
      </c>
      <c r="H175" s="86">
        <f t="shared" si="33"/>
        <v>13.488769531988964</v>
      </c>
      <c r="I175">
        <v>127.38914489746099</v>
      </c>
      <c r="J175" s="86">
        <f t="shared" si="34"/>
        <v>11.924743652002689</v>
      </c>
      <c r="K175">
        <v>191.84523010253901</v>
      </c>
      <c r="L175" s="86">
        <f t="shared" si="35"/>
        <v>14.724731444999861</v>
      </c>
      <c r="M175">
        <v>218.70494079589801</v>
      </c>
      <c r="N175" s="86">
        <f t="shared" si="36"/>
        <v>12.908935546988687</v>
      </c>
      <c r="O175">
        <v>1491.34973144531</v>
      </c>
      <c r="P175" s="40">
        <f t="shared" si="27"/>
        <v>111.45019532000333</v>
      </c>
      <c r="Q175">
        <v>1127.2470703125</v>
      </c>
      <c r="R175" s="40">
        <f t="shared" si="28"/>
        <v>0.85449219000111043</v>
      </c>
      <c r="S175">
        <v>2761.92309570313</v>
      </c>
      <c r="T175" s="40">
        <f t="shared" si="29"/>
        <v>0.73242186999777914</v>
      </c>
      <c r="U175">
        <v>34.083103179931598</v>
      </c>
      <c r="V175" s="33">
        <f t="shared" si="37"/>
        <v>3.1776428223011521</v>
      </c>
      <c r="W175">
        <v>227.96392822265599</v>
      </c>
      <c r="X175" s="90">
        <f t="shared" si="38"/>
        <v>12.832641602017247</v>
      </c>
    </row>
    <row r="176" spans="1:24" x14ac:dyDescent="0.25">
      <c r="A176" s="8">
        <v>42437.208333333336</v>
      </c>
      <c r="B176" s="40">
        <f t="shared" si="30"/>
        <v>5</v>
      </c>
      <c r="C176" s="87">
        <v>55.470531463622997</v>
      </c>
      <c r="D176" s="85">
        <f t="shared" si="31"/>
        <v>0</v>
      </c>
      <c r="E176">
        <v>81.776657104492202</v>
      </c>
      <c r="F176" s="85">
        <f t="shared" si="32"/>
        <v>0</v>
      </c>
      <c r="G176">
        <v>167.60269165039099</v>
      </c>
      <c r="H176" s="86">
        <f t="shared" si="33"/>
        <v>13.488769530994205</v>
      </c>
      <c r="I176">
        <v>127.401069641113</v>
      </c>
      <c r="J176" s="86">
        <f t="shared" si="34"/>
        <v>11.940002442003106</v>
      </c>
      <c r="K176">
        <v>191.85995483398401</v>
      </c>
      <c r="L176" s="86">
        <f t="shared" si="35"/>
        <v>14.663696289005657</v>
      </c>
      <c r="M176">
        <v>218.717849731445</v>
      </c>
      <c r="N176" s="86">
        <f t="shared" si="36"/>
        <v>13.168334960994343</v>
      </c>
      <c r="O176">
        <v>1491.46118164063</v>
      </c>
      <c r="P176" s="40">
        <f t="shared" si="27"/>
        <v>108.88671875</v>
      </c>
      <c r="Q176">
        <v>1127.24792480469</v>
      </c>
      <c r="R176" s="40">
        <f t="shared" si="28"/>
        <v>0.73242186999777914</v>
      </c>
      <c r="S176">
        <v>2761.923828125</v>
      </c>
      <c r="T176" s="40">
        <f t="shared" si="29"/>
        <v>0.73242188000222086</v>
      </c>
      <c r="U176">
        <v>34.086280822753899</v>
      </c>
      <c r="V176" s="33">
        <f t="shared" si="37"/>
        <v>3.2196044922017109</v>
      </c>
      <c r="W176">
        <v>227.97676086425801</v>
      </c>
      <c r="X176" s="90">
        <f t="shared" si="38"/>
        <v>11.596679686988409</v>
      </c>
    </row>
    <row r="177" spans="1:24" x14ac:dyDescent="0.25">
      <c r="A177" s="8">
        <v>42437.25</v>
      </c>
      <c r="B177" s="40">
        <f t="shared" si="30"/>
        <v>6</v>
      </c>
      <c r="C177" s="87">
        <v>55.470531463622997</v>
      </c>
      <c r="D177" s="85">
        <f t="shared" si="31"/>
        <v>0</v>
      </c>
      <c r="E177">
        <v>81.776657104492202</v>
      </c>
      <c r="F177" s="85">
        <f t="shared" si="32"/>
        <v>0</v>
      </c>
      <c r="G177">
        <v>167.61618041992199</v>
      </c>
      <c r="H177" s="86">
        <f t="shared" si="33"/>
        <v>13.47351074201697</v>
      </c>
      <c r="I177">
        <v>127.413009643555</v>
      </c>
      <c r="J177" s="86">
        <f t="shared" si="34"/>
        <v>11.909484862997033</v>
      </c>
      <c r="K177">
        <v>191.87461853027301</v>
      </c>
      <c r="L177" s="86">
        <f t="shared" si="35"/>
        <v>14.511108398977512</v>
      </c>
      <c r="M177">
        <v>218.73101806640599</v>
      </c>
      <c r="N177" s="86">
        <f t="shared" si="36"/>
        <v>12.832641602017247</v>
      </c>
      <c r="O177">
        <v>1491.57006835938</v>
      </c>
      <c r="P177" s="40">
        <f t="shared" si="27"/>
        <v>110.59570311999778</v>
      </c>
      <c r="Q177">
        <v>1127.24865722656</v>
      </c>
      <c r="R177" s="40">
        <f t="shared" si="28"/>
        <v>0.85449219000111043</v>
      </c>
      <c r="S177">
        <v>2761.92456054688</v>
      </c>
      <c r="T177" s="40">
        <f t="shared" si="29"/>
        <v>0.48828125</v>
      </c>
      <c r="U177">
        <v>34.089500427246101</v>
      </c>
      <c r="V177" s="33">
        <f t="shared" si="37"/>
        <v>3.2005310059020076</v>
      </c>
      <c r="W177">
        <v>227.988357543945</v>
      </c>
      <c r="X177" s="90">
        <f t="shared" si="38"/>
        <v>10.955810546988687</v>
      </c>
    </row>
    <row r="178" spans="1:24" x14ac:dyDescent="0.25">
      <c r="A178" s="8">
        <v>42437.291666666664</v>
      </c>
      <c r="B178" s="40">
        <f t="shared" si="30"/>
        <v>7</v>
      </c>
      <c r="C178" s="87">
        <v>55.470531463622997</v>
      </c>
      <c r="D178" s="85">
        <f t="shared" si="31"/>
        <v>0</v>
      </c>
      <c r="E178">
        <v>81.776657104492202</v>
      </c>
      <c r="F178" s="85">
        <f t="shared" si="32"/>
        <v>0</v>
      </c>
      <c r="G178">
        <v>167.62965393066401</v>
      </c>
      <c r="H178" s="86">
        <f t="shared" si="33"/>
        <v>13.366699219005795</v>
      </c>
      <c r="I178">
        <v>127.424919128418</v>
      </c>
      <c r="J178" s="86">
        <f t="shared" si="34"/>
        <v>11.802673340000069</v>
      </c>
      <c r="K178">
        <v>191.88912963867199</v>
      </c>
      <c r="L178" s="86">
        <f t="shared" si="35"/>
        <v>14.724731444999861</v>
      </c>
      <c r="M178">
        <v>218.74385070800801</v>
      </c>
      <c r="N178" s="86">
        <f t="shared" si="36"/>
        <v>13.031005858977096</v>
      </c>
      <c r="O178">
        <v>1491.6806640625</v>
      </c>
      <c r="P178" s="40">
        <f t="shared" si="27"/>
        <v>111.69433594000111</v>
      </c>
      <c r="Q178">
        <v>1127.24951171875</v>
      </c>
      <c r="R178" s="40">
        <f t="shared" si="28"/>
        <v>0.61035155999888957</v>
      </c>
      <c r="S178">
        <v>2761.92504882813</v>
      </c>
      <c r="T178" s="40">
        <f t="shared" si="29"/>
        <v>0.9765625</v>
      </c>
      <c r="U178">
        <v>34.092700958252003</v>
      </c>
      <c r="V178" s="33">
        <f t="shared" si="37"/>
        <v>3.356933593700262</v>
      </c>
      <c r="W178">
        <v>227.99931335449199</v>
      </c>
      <c r="X178" s="90">
        <f t="shared" si="38"/>
        <v>13.092041016022904</v>
      </c>
    </row>
    <row r="179" spans="1:24" x14ac:dyDescent="0.25">
      <c r="A179" s="8">
        <v>42437.333333333336</v>
      </c>
      <c r="B179" s="40">
        <f t="shared" si="30"/>
        <v>8</v>
      </c>
      <c r="C179" s="87">
        <v>55.470531463622997</v>
      </c>
      <c r="D179" s="85">
        <f t="shared" si="31"/>
        <v>0</v>
      </c>
      <c r="E179">
        <v>81.776657104492202</v>
      </c>
      <c r="F179" s="85">
        <f t="shared" si="32"/>
        <v>0</v>
      </c>
      <c r="G179">
        <v>167.64302062988301</v>
      </c>
      <c r="H179" s="86">
        <f t="shared" si="33"/>
        <v>13.504028319999861</v>
      </c>
      <c r="I179">
        <v>127.436721801758</v>
      </c>
      <c r="J179" s="86">
        <f t="shared" si="34"/>
        <v>12.023925781008415</v>
      </c>
      <c r="K179">
        <v>191.90385437011699</v>
      </c>
      <c r="L179" s="86">
        <f t="shared" si="35"/>
        <v>14.663696289005657</v>
      </c>
      <c r="M179">
        <v>218.75688171386699</v>
      </c>
      <c r="N179" s="86">
        <f t="shared" si="36"/>
        <v>13.046264649005934</v>
      </c>
      <c r="O179">
        <v>1491.79235839844</v>
      </c>
      <c r="P179" s="40">
        <f t="shared" si="27"/>
        <v>111.69433594000111</v>
      </c>
      <c r="Q179">
        <v>1127.25012207031</v>
      </c>
      <c r="R179" s="40">
        <f t="shared" si="28"/>
        <v>0.85449219000111043</v>
      </c>
      <c r="S179">
        <v>2761.92602539063</v>
      </c>
      <c r="T179" s="40">
        <f t="shared" si="29"/>
        <v>0.73242186999777914</v>
      </c>
      <c r="U179">
        <v>34.096057891845703</v>
      </c>
      <c r="V179" s="33">
        <f t="shared" si="37"/>
        <v>3.3721923827982891</v>
      </c>
      <c r="W179">
        <v>228.01240539550801</v>
      </c>
      <c r="X179" s="90">
        <f t="shared" si="38"/>
        <v>14.877319335994343</v>
      </c>
    </row>
    <row r="180" spans="1:24" x14ac:dyDescent="0.25">
      <c r="A180" s="8">
        <v>42437.375</v>
      </c>
      <c r="B180" s="40">
        <f t="shared" si="30"/>
        <v>9</v>
      </c>
      <c r="C180" s="87">
        <v>55.470531463622997</v>
      </c>
      <c r="D180" s="85">
        <f t="shared" si="31"/>
        <v>0</v>
      </c>
      <c r="E180">
        <v>81.776657104492202</v>
      </c>
      <c r="F180" s="85">
        <f t="shared" si="32"/>
        <v>0</v>
      </c>
      <c r="G180">
        <v>167.65652465820301</v>
      </c>
      <c r="H180" s="86">
        <f t="shared" si="33"/>
        <v>13.504028319999861</v>
      </c>
      <c r="I180">
        <v>127.44874572753901</v>
      </c>
      <c r="J180" s="86">
        <f t="shared" si="34"/>
        <v>11.932373046988687</v>
      </c>
      <c r="K180">
        <v>191.91851806640599</v>
      </c>
      <c r="L180" s="86">
        <f t="shared" si="35"/>
        <v>14.480590820994621</v>
      </c>
      <c r="M180">
        <v>218.76992797851599</v>
      </c>
      <c r="N180" s="86">
        <f t="shared" si="36"/>
        <v>13.092041014999722</v>
      </c>
      <c r="O180">
        <v>1491.90405273438</v>
      </c>
      <c r="P180" s="40">
        <f t="shared" si="27"/>
        <v>111.93847655999889</v>
      </c>
      <c r="Q180">
        <v>1127.2509765625</v>
      </c>
      <c r="R180" s="40">
        <f t="shared" si="28"/>
        <v>0.61035155999888957</v>
      </c>
      <c r="S180">
        <v>2761.9267578125</v>
      </c>
      <c r="T180" s="40">
        <f t="shared" si="29"/>
        <v>0.9765625</v>
      </c>
      <c r="U180">
        <v>34.099430084228501</v>
      </c>
      <c r="V180" s="33">
        <f t="shared" si="37"/>
        <v>3.429412841796875</v>
      </c>
      <c r="W180">
        <v>228.02728271484401</v>
      </c>
      <c r="X180" s="90">
        <f t="shared" si="38"/>
        <v>12.771606444999861</v>
      </c>
    </row>
    <row r="181" spans="1:24" x14ac:dyDescent="0.25">
      <c r="A181" s="8">
        <v>42437.416666666664</v>
      </c>
      <c r="B181" s="40">
        <f t="shared" si="30"/>
        <v>10</v>
      </c>
      <c r="C181" s="87">
        <v>55.470531463622997</v>
      </c>
      <c r="D181" s="85">
        <f t="shared" si="31"/>
        <v>0</v>
      </c>
      <c r="E181">
        <v>81.776657104492202</v>
      </c>
      <c r="F181" s="85">
        <f t="shared" si="32"/>
        <v>0</v>
      </c>
      <c r="G181">
        <v>167.67002868652301</v>
      </c>
      <c r="H181" s="86">
        <f t="shared" si="33"/>
        <v>13.519287110000278</v>
      </c>
      <c r="I181">
        <v>127.46067810058599</v>
      </c>
      <c r="J181" s="86">
        <f t="shared" si="34"/>
        <v>11.940002441008346</v>
      </c>
      <c r="K181">
        <v>191.93299865722699</v>
      </c>
      <c r="L181" s="86">
        <f t="shared" si="35"/>
        <v>14.572143554005379</v>
      </c>
      <c r="M181">
        <v>218.78302001953099</v>
      </c>
      <c r="N181" s="86">
        <f t="shared" si="36"/>
        <v>13.046264649005934</v>
      </c>
      <c r="O181">
        <v>1492.01599121094</v>
      </c>
      <c r="P181" s="40">
        <f t="shared" si="27"/>
        <v>112.06054686999778</v>
      </c>
      <c r="Q181">
        <v>1127.25158691406</v>
      </c>
      <c r="R181" s="40">
        <f t="shared" si="28"/>
        <v>0.85449219000111043</v>
      </c>
      <c r="S181">
        <v>2761.927734375</v>
      </c>
      <c r="T181" s="40">
        <f t="shared" si="29"/>
        <v>0.48828125</v>
      </c>
      <c r="U181">
        <v>34.102859497070298</v>
      </c>
      <c r="V181" s="33">
        <f t="shared" si="37"/>
        <v>3.479003906299738</v>
      </c>
      <c r="W181">
        <v>228.04005432128901</v>
      </c>
      <c r="X181" s="90">
        <f t="shared" si="38"/>
        <v>12.298583984005518</v>
      </c>
    </row>
    <row r="182" spans="1:24" x14ac:dyDescent="0.25">
      <c r="A182" s="8">
        <v>42437.458333333336</v>
      </c>
      <c r="B182" s="40">
        <f t="shared" si="30"/>
        <v>11</v>
      </c>
      <c r="C182" s="87">
        <v>55.470531463622997</v>
      </c>
      <c r="D182" s="85">
        <f t="shared" si="31"/>
        <v>0</v>
      </c>
      <c r="E182">
        <v>81.776657104492202</v>
      </c>
      <c r="F182" s="85">
        <f t="shared" si="32"/>
        <v>0</v>
      </c>
      <c r="G182">
        <v>167.68354797363301</v>
      </c>
      <c r="H182" s="86">
        <f t="shared" si="33"/>
        <v>13.504028319999861</v>
      </c>
      <c r="I182">
        <v>127.472618103027</v>
      </c>
      <c r="J182" s="86">
        <f t="shared" si="34"/>
        <v>11.764526367997519</v>
      </c>
      <c r="K182">
        <v>191.94757080078099</v>
      </c>
      <c r="L182" s="86">
        <f t="shared" si="35"/>
        <v>14.785766602017247</v>
      </c>
      <c r="M182">
        <v>218.79606628418</v>
      </c>
      <c r="N182" s="86">
        <f t="shared" si="36"/>
        <v>12.985229491988548</v>
      </c>
      <c r="O182">
        <v>1492.12805175781</v>
      </c>
      <c r="P182" s="40">
        <f t="shared" si="27"/>
        <v>110.96191407000333</v>
      </c>
      <c r="Q182">
        <v>1127.25244140625</v>
      </c>
      <c r="R182" s="40">
        <f t="shared" si="28"/>
        <v>0.85449219000111043</v>
      </c>
      <c r="S182">
        <v>2761.92822265625</v>
      </c>
      <c r="T182" s="40">
        <f t="shared" si="29"/>
        <v>0.73242188000222086</v>
      </c>
      <c r="U182">
        <v>34.106338500976598</v>
      </c>
      <c r="V182" s="33">
        <f t="shared" si="37"/>
        <v>3.0326843261008207</v>
      </c>
      <c r="W182">
        <v>228.05235290527301</v>
      </c>
      <c r="X182" s="90">
        <f t="shared" si="38"/>
        <v>12.573242187983169</v>
      </c>
    </row>
    <row r="183" spans="1:24" x14ac:dyDescent="0.25">
      <c r="A183" s="8">
        <v>42437.5</v>
      </c>
      <c r="B183" s="40">
        <f t="shared" si="30"/>
        <v>12</v>
      </c>
      <c r="C183" s="87">
        <v>55.470531463622997</v>
      </c>
      <c r="D183" s="85">
        <f t="shared" si="31"/>
        <v>0</v>
      </c>
      <c r="E183">
        <v>81.776657104492202</v>
      </c>
      <c r="F183" s="85">
        <f t="shared" si="32"/>
        <v>0</v>
      </c>
      <c r="G183">
        <v>167.69705200195301</v>
      </c>
      <c r="H183" s="86">
        <f t="shared" si="33"/>
        <v>12.344360351988826</v>
      </c>
      <c r="I183">
        <v>127.484382629395</v>
      </c>
      <c r="J183" s="86">
        <f t="shared" si="34"/>
        <v>10.871887207002828</v>
      </c>
      <c r="K183">
        <v>191.96235656738301</v>
      </c>
      <c r="L183" s="86">
        <f t="shared" si="35"/>
        <v>15.213012694999861</v>
      </c>
      <c r="M183">
        <v>218.80905151367199</v>
      </c>
      <c r="N183" s="86">
        <f t="shared" si="36"/>
        <v>15.106201172017109</v>
      </c>
      <c r="O183">
        <v>1492.23901367188</v>
      </c>
      <c r="P183" s="40">
        <f t="shared" si="27"/>
        <v>111.08398436999778</v>
      </c>
      <c r="Q183">
        <v>1127.25329589844</v>
      </c>
      <c r="R183" s="40">
        <f t="shared" si="28"/>
        <v>0.73242186999777914</v>
      </c>
      <c r="S183">
        <v>2761.92895507813</v>
      </c>
      <c r="T183" s="40">
        <f t="shared" si="29"/>
        <v>0.9765625</v>
      </c>
      <c r="U183">
        <v>34.109371185302699</v>
      </c>
      <c r="V183" s="33">
        <f t="shared" si="37"/>
        <v>3.2310485839985859</v>
      </c>
      <c r="W183">
        <v>228.06492614746099</v>
      </c>
      <c r="X183" s="90">
        <f t="shared" si="38"/>
        <v>16.998291015994482</v>
      </c>
    </row>
    <row r="184" spans="1:24" x14ac:dyDescent="0.25">
      <c r="A184" s="8">
        <v>42437.541666666664</v>
      </c>
      <c r="B184" s="40">
        <f t="shared" si="30"/>
        <v>13</v>
      </c>
      <c r="C184" s="87">
        <v>55.470531463622997</v>
      </c>
      <c r="D184" s="85">
        <f t="shared" si="31"/>
        <v>0</v>
      </c>
      <c r="E184">
        <v>81.776657104492202</v>
      </c>
      <c r="F184" s="85">
        <f t="shared" si="32"/>
        <v>0</v>
      </c>
      <c r="G184">
        <v>167.709396362305</v>
      </c>
      <c r="H184" s="86">
        <f t="shared" si="33"/>
        <v>13.320922850994066</v>
      </c>
      <c r="I184">
        <v>127.495254516602</v>
      </c>
      <c r="J184" s="86">
        <f t="shared" si="34"/>
        <v>12.001037597002551</v>
      </c>
      <c r="K184">
        <v>191.97756958007801</v>
      </c>
      <c r="L184" s="86">
        <f t="shared" si="35"/>
        <v>15.274047851988826</v>
      </c>
      <c r="M184">
        <v>218.82415771484401</v>
      </c>
      <c r="N184" s="86">
        <f t="shared" si="36"/>
        <v>15.197753905994205</v>
      </c>
      <c r="O184">
        <v>1492.35009765625</v>
      </c>
      <c r="P184" s="40">
        <f t="shared" si="27"/>
        <v>112.91503905999889</v>
      </c>
      <c r="Q184">
        <v>1127.25402832031</v>
      </c>
      <c r="R184" s="40">
        <f t="shared" si="28"/>
        <v>0.73242188000222086</v>
      </c>
      <c r="S184">
        <v>2761.92993164063</v>
      </c>
      <c r="T184" s="40">
        <f t="shared" si="29"/>
        <v>0.48828125</v>
      </c>
      <c r="U184">
        <v>34.112602233886697</v>
      </c>
      <c r="V184" s="33">
        <f t="shared" si="37"/>
        <v>3.4866333008025663</v>
      </c>
      <c r="W184">
        <v>228.08192443847699</v>
      </c>
      <c r="X184" s="90">
        <f t="shared" si="38"/>
        <v>16.456604003508346</v>
      </c>
    </row>
    <row r="185" spans="1:24" x14ac:dyDescent="0.25">
      <c r="A185" s="8">
        <v>42437.583333333336</v>
      </c>
      <c r="B185" s="40">
        <f t="shared" si="30"/>
        <v>14</v>
      </c>
      <c r="C185" s="87">
        <v>55.470531463622997</v>
      </c>
      <c r="D185" s="85">
        <f t="shared" si="31"/>
        <v>0</v>
      </c>
      <c r="E185">
        <v>81.776657104492202</v>
      </c>
      <c r="F185" s="85">
        <f t="shared" si="32"/>
        <v>0</v>
      </c>
      <c r="G185">
        <v>167.72271728515599</v>
      </c>
      <c r="H185" s="86">
        <f t="shared" si="33"/>
        <v>13.626098633011452</v>
      </c>
      <c r="I185">
        <v>127.50725555419901</v>
      </c>
      <c r="J185" s="86">
        <f t="shared" si="34"/>
        <v>12.016296386988756</v>
      </c>
      <c r="K185">
        <v>191.99284362793</v>
      </c>
      <c r="L185" s="86">
        <f t="shared" si="35"/>
        <v>14.953613280994205</v>
      </c>
      <c r="M185">
        <v>218.83935546875</v>
      </c>
      <c r="N185" s="86">
        <f t="shared" si="36"/>
        <v>15.213012694999861</v>
      </c>
      <c r="O185">
        <v>1492.46301269531</v>
      </c>
      <c r="P185" s="40">
        <f t="shared" si="27"/>
        <v>111.69433594000111</v>
      </c>
      <c r="Q185">
        <v>1127.25476074219</v>
      </c>
      <c r="R185" s="40">
        <f t="shared" si="28"/>
        <v>0.73242186999777914</v>
      </c>
      <c r="S185">
        <v>2761.93041992188</v>
      </c>
      <c r="T185" s="40">
        <f t="shared" si="29"/>
        <v>0.73242186999777914</v>
      </c>
      <c r="U185">
        <v>34.1160888671875</v>
      </c>
      <c r="V185" s="33">
        <f t="shared" si="37"/>
        <v>3.5133361815979924</v>
      </c>
      <c r="W185">
        <f>+W184+(W186-W184)/2</f>
        <v>228.0983810424805</v>
      </c>
      <c r="X185" s="90">
        <f t="shared" si="38"/>
        <v>16.456604003508346</v>
      </c>
    </row>
    <row r="186" spans="1:24" x14ac:dyDescent="0.25">
      <c r="A186" s="8">
        <v>42437.625</v>
      </c>
      <c r="B186" s="40">
        <f t="shared" si="30"/>
        <v>15</v>
      </c>
      <c r="C186" s="87">
        <v>55.470531463622997</v>
      </c>
      <c r="D186" s="85">
        <f t="shared" si="31"/>
        <v>0</v>
      </c>
      <c r="E186">
        <v>81.776657104492202</v>
      </c>
      <c r="F186" s="85">
        <v>0</v>
      </c>
      <c r="G186">
        <v>167.73634338378901</v>
      </c>
      <c r="H186" s="86">
        <f t="shared" si="33"/>
        <v>13.549804687983169</v>
      </c>
      <c r="I186">
        <v>127.51927185058599</v>
      </c>
      <c r="J186" s="86">
        <f t="shared" si="34"/>
        <v>12.001037598011521</v>
      </c>
      <c r="K186">
        <v>192.00779724121099</v>
      </c>
      <c r="L186" s="86">
        <f t="shared" si="35"/>
        <v>15.274047852017247</v>
      </c>
      <c r="M186">
        <v>218.854568481445</v>
      </c>
      <c r="N186" s="86">
        <f t="shared" si="36"/>
        <v>15.167236328011313</v>
      </c>
      <c r="O186">
        <v>1492.57470703125</v>
      </c>
      <c r="P186" s="40">
        <f t="shared" si="27"/>
        <v>112.54882813000222</v>
      </c>
      <c r="Q186">
        <v>1127.25549316406</v>
      </c>
      <c r="R186" s="40">
        <f t="shared" si="28"/>
        <v>0.732421875</v>
      </c>
      <c r="S186">
        <v>2761.93115234375</v>
      </c>
      <c r="T186" s="40">
        <f t="shared" si="29"/>
        <v>0.85449219022848411</v>
      </c>
      <c r="U186">
        <v>34.119602203369098</v>
      </c>
      <c r="V186" s="33">
        <f t="shared" si="37"/>
        <v>3.3988952637002967</v>
      </c>
      <c r="W186">
        <v>228.11483764648401</v>
      </c>
      <c r="X186" s="90">
        <f t="shared" si="38"/>
        <v>17.53234863298303</v>
      </c>
    </row>
    <row r="187" spans="1:24" x14ac:dyDescent="0.25">
      <c r="A187" s="8">
        <v>42437.666666666664</v>
      </c>
      <c r="B187" s="40">
        <f t="shared" si="30"/>
        <v>16</v>
      </c>
      <c r="C187">
        <f>+C186+(C188-C186)/2</f>
        <v>55.470531463622997</v>
      </c>
      <c r="D187" s="85">
        <f t="shared" si="31"/>
        <v>0</v>
      </c>
      <c r="E187">
        <f>+E186+(E188-E186)/2</f>
        <v>81.776657104492202</v>
      </c>
      <c r="F187" s="85">
        <v>0</v>
      </c>
      <c r="G187">
        <v>167.74989318847699</v>
      </c>
      <c r="H187" s="86">
        <f t="shared" si="33"/>
        <v>13.412475586022765</v>
      </c>
      <c r="I187">
        <v>127.53127288818401</v>
      </c>
      <c r="J187" s="86">
        <f t="shared" si="34"/>
        <v>11.871337889999722</v>
      </c>
      <c r="K187">
        <v>192.02307128906301</v>
      </c>
      <c r="L187" s="86">
        <f t="shared" si="35"/>
        <v>15.289306639999722</v>
      </c>
      <c r="M187">
        <v>218.86973571777301</v>
      </c>
      <c r="N187" s="86">
        <f t="shared" si="36"/>
        <v>14.923095703977651</v>
      </c>
      <c r="O187">
        <v>1492.68725585938</v>
      </c>
      <c r="P187" s="40">
        <f t="shared" si="27"/>
        <v>110.3515625</v>
      </c>
      <c r="Q187">
        <f>+Q186+(Q188-Q186)/2</f>
        <v>1127.256225585935</v>
      </c>
      <c r="R187" s="40">
        <f t="shared" si="28"/>
        <v>0.732421875</v>
      </c>
      <c r="S187">
        <f>+S186+(S188-S186)/2</f>
        <v>2761.9320068359402</v>
      </c>
      <c r="T187" s="40">
        <f t="shared" si="29"/>
        <v>0.85449218977373675</v>
      </c>
      <c r="U187">
        <v>34.123001098632798</v>
      </c>
      <c r="V187" s="33">
        <f t="shared" si="37"/>
        <v>3.479003906299738</v>
      </c>
      <c r="W187">
        <v>228.13236999511699</v>
      </c>
      <c r="X187" s="90">
        <f t="shared" si="38"/>
        <v>17.86804199201697</v>
      </c>
    </row>
    <row r="188" spans="1:24" x14ac:dyDescent="0.25">
      <c r="A188" s="8">
        <v>42437.708333333336</v>
      </c>
      <c r="B188" s="40">
        <f t="shared" si="30"/>
        <v>17</v>
      </c>
      <c r="C188" s="87">
        <v>55.470531463622997</v>
      </c>
      <c r="D188" s="85">
        <f t="shared" si="31"/>
        <v>0</v>
      </c>
      <c r="E188">
        <v>81.776657104492202</v>
      </c>
      <c r="F188" s="85">
        <v>0</v>
      </c>
      <c r="G188">
        <v>167.76330566406301</v>
      </c>
      <c r="H188" s="86">
        <f t="shared" si="33"/>
        <v>13.565063475994066</v>
      </c>
      <c r="I188">
        <v>127.54314422607401</v>
      </c>
      <c r="J188" s="86">
        <f t="shared" si="34"/>
        <v>11.985778808991654</v>
      </c>
      <c r="K188">
        <v>192.03836059570301</v>
      </c>
      <c r="L188" s="86">
        <f t="shared" si="35"/>
        <v>15.197753905994205</v>
      </c>
      <c r="M188">
        <v>218.88465881347699</v>
      </c>
      <c r="N188" s="86">
        <f t="shared" si="36"/>
        <v>15.213012694999861</v>
      </c>
      <c r="O188">
        <v>1492.79760742188</v>
      </c>
      <c r="P188" s="40">
        <f t="shared" si="27"/>
        <v>111.57226561999778</v>
      </c>
      <c r="Q188">
        <v>1127.25695800781</v>
      </c>
      <c r="R188" s="40">
        <f t="shared" si="28"/>
        <v>0.73242188000222086</v>
      </c>
      <c r="S188">
        <v>2761.93286132813</v>
      </c>
      <c r="T188" s="40">
        <f t="shared" si="29"/>
        <v>0.73242186999777914</v>
      </c>
      <c r="U188">
        <v>34.126480102539098</v>
      </c>
      <c r="V188" s="33">
        <f t="shared" si="37"/>
        <v>3.5400390625</v>
      </c>
      <c r="W188">
        <v>228.15023803710901</v>
      </c>
      <c r="X188" s="90">
        <f t="shared" si="38"/>
        <v>17.135620117983308</v>
      </c>
    </row>
    <row r="189" spans="1:24" x14ac:dyDescent="0.25">
      <c r="A189" s="8">
        <v>42437.75</v>
      </c>
      <c r="B189" s="40">
        <f t="shared" si="30"/>
        <v>18</v>
      </c>
      <c r="C189" s="87">
        <v>55.470531463622997</v>
      </c>
      <c r="D189" s="85">
        <f t="shared" si="31"/>
        <v>0</v>
      </c>
      <c r="E189">
        <v>81.776657104492202</v>
      </c>
      <c r="F189" s="85">
        <f t="shared" si="32"/>
        <v>5.2947998047017109</v>
      </c>
      <c r="G189">
        <v>167.77687072753901</v>
      </c>
      <c r="H189" s="86">
        <f t="shared" si="33"/>
        <v>13.412475585994343</v>
      </c>
      <c r="I189">
        <v>127.555130004883</v>
      </c>
      <c r="J189" s="86">
        <f t="shared" si="34"/>
        <v>11.917114257997241</v>
      </c>
      <c r="K189">
        <v>192.05355834960901</v>
      </c>
      <c r="L189" s="86">
        <f t="shared" si="35"/>
        <v>15.09094238298303</v>
      </c>
      <c r="M189">
        <v>218.89987182617199</v>
      </c>
      <c r="N189" s="86">
        <f t="shared" si="36"/>
        <v>15.045166016022904</v>
      </c>
      <c r="O189">
        <v>1492.9091796875</v>
      </c>
      <c r="P189" s="40">
        <f t="shared" si="27"/>
        <v>112.06054688000222</v>
      </c>
      <c r="Q189">
        <v>1127.25769042969</v>
      </c>
      <c r="R189" s="40">
        <f t="shared" si="28"/>
        <v>0.85449219000111043</v>
      </c>
      <c r="S189">
        <v>2761.93359375</v>
      </c>
      <c r="T189" s="40">
        <f t="shared" si="29"/>
        <v>101.5625</v>
      </c>
      <c r="U189">
        <v>34.130020141601598</v>
      </c>
      <c r="V189" s="33">
        <f t="shared" si="37"/>
        <v>3.4294128418039804</v>
      </c>
      <c r="W189">
        <v>228.16737365722699</v>
      </c>
      <c r="X189" s="90">
        <f t="shared" si="38"/>
        <v>14.709472656022626</v>
      </c>
    </row>
    <row r="190" spans="1:24" x14ac:dyDescent="0.25">
      <c r="A190" s="8">
        <v>42437.791666666664</v>
      </c>
      <c r="B190" s="40">
        <f t="shared" si="30"/>
        <v>19</v>
      </c>
      <c r="C190" s="87">
        <v>55.470531463622997</v>
      </c>
      <c r="D190" s="85">
        <f t="shared" si="31"/>
        <v>0</v>
      </c>
      <c r="E190">
        <v>81.781951904296903</v>
      </c>
      <c r="F190" s="85">
        <f t="shared" si="32"/>
        <v>5.5541992186931566</v>
      </c>
      <c r="G190">
        <v>167.790283203125</v>
      </c>
      <c r="H190" s="86">
        <f t="shared" si="33"/>
        <v>13.351440430000139</v>
      </c>
      <c r="I190">
        <v>127.56704711914099</v>
      </c>
      <c r="J190" s="86">
        <f t="shared" si="34"/>
        <v>11.917114257002481</v>
      </c>
      <c r="K190">
        <v>192.06864929199199</v>
      </c>
      <c r="L190" s="86">
        <f t="shared" si="35"/>
        <v>15.13671875</v>
      </c>
      <c r="M190">
        <v>218.91491699218801</v>
      </c>
      <c r="N190" s="86">
        <f t="shared" si="36"/>
        <v>15.213012694999861</v>
      </c>
      <c r="O190">
        <v>1493.02124023438</v>
      </c>
      <c r="P190" s="40">
        <f t="shared" si="27"/>
        <v>112.91503905999889</v>
      </c>
      <c r="Q190">
        <v>1127.25854492188</v>
      </c>
      <c r="R190" s="40">
        <f t="shared" si="28"/>
        <v>0.9765625</v>
      </c>
      <c r="S190">
        <v>2762.03515625</v>
      </c>
      <c r="T190" s="40">
        <f t="shared" si="29"/>
        <v>111.08398438000222</v>
      </c>
      <c r="U190">
        <v>34.133449554443402</v>
      </c>
      <c r="V190" s="33">
        <f t="shared" si="37"/>
        <v>3.4484863280965783</v>
      </c>
      <c r="W190">
        <v>228.18208312988301</v>
      </c>
      <c r="X190" s="90">
        <f t="shared" si="38"/>
        <v>12.603759764999722</v>
      </c>
    </row>
    <row r="191" spans="1:24" x14ac:dyDescent="0.25">
      <c r="A191" s="8">
        <v>42437.833333333336</v>
      </c>
      <c r="B191" s="40">
        <f t="shared" si="30"/>
        <v>20</v>
      </c>
      <c r="C191" s="87">
        <v>55.470531463622997</v>
      </c>
      <c r="D191" s="85">
        <f t="shared" si="31"/>
        <v>0</v>
      </c>
      <c r="E191">
        <v>81.787506103515597</v>
      </c>
      <c r="F191" s="85">
        <f t="shared" si="32"/>
        <v>5.5618286133096717</v>
      </c>
      <c r="G191">
        <v>167.803634643555</v>
      </c>
      <c r="H191" s="86">
        <f t="shared" si="33"/>
        <v>13.427734375</v>
      </c>
      <c r="I191">
        <v>127.578964233398</v>
      </c>
      <c r="J191" s="86">
        <f t="shared" si="34"/>
        <v>11.917114257997241</v>
      </c>
      <c r="K191">
        <v>192.08378601074199</v>
      </c>
      <c r="L191" s="86">
        <f t="shared" si="35"/>
        <v>15.228271485000278</v>
      </c>
      <c r="M191">
        <v>218.93013000488301</v>
      </c>
      <c r="N191" s="86">
        <f t="shared" si="36"/>
        <v>14.923095702982891</v>
      </c>
      <c r="O191">
        <v>1493.13415527344</v>
      </c>
      <c r="P191" s="40">
        <f t="shared" si="27"/>
        <v>110.83984375</v>
      </c>
      <c r="Q191">
        <v>1127.25952148438</v>
      </c>
      <c r="R191" s="40">
        <f t="shared" si="28"/>
        <v>0.73242186999777914</v>
      </c>
      <c r="S191">
        <v>2762.14624023438</v>
      </c>
      <c r="T191" s="40">
        <f t="shared" si="29"/>
        <v>108.15429686999778</v>
      </c>
      <c r="U191">
        <v>34.136898040771499</v>
      </c>
      <c r="V191" s="33">
        <f t="shared" si="37"/>
        <v>3.4942626952982891</v>
      </c>
      <c r="W191">
        <v>228.19468688964801</v>
      </c>
      <c r="X191" s="90">
        <f t="shared" si="38"/>
        <v>15.258789062983169</v>
      </c>
    </row>
    <row r="192" spans="1:24" x14ac:dyDescent="0.25">
      <c r="A192" s="8">
        <v>42437.875</v>
      </c>
      <c r="B192" s="40">
        <f t="shared" si="30"/>
        <v>21</v>
      </c>
      <c r="C192" s="87">
        <v>55.470531463622997</v>
      </c>
      <c r="D192" s="85">
        <f t="shared" si="31"/>
        <v>0</v>
      </c>
      <c r="E192">
        <v>81.793067932128906</v>
      </c>
      <c r="F192" s="85">
        <f t="shared" si="32"/>
        <v>3.8681030274005934</v>
      </c>
      <c r="G192">
        <v>167.81706237793</v>
      </c>
      <c r="H192" s="86">
        <f t="shared" si="33"/>
        <v>13.458251953011313</v>
      </c>
      <c r="I192">
        <v>127.59088134765599</v>
      </c>
      <c r="J192" s="86">
        <f t="shared" si="34"/>
        <v>11.940002442003106</v>
      </c>
      <c r="K192">
        <v>192.09901428222699</v>
      </c>
      <c r="L192" s="86">
        <f t="shared" si="35"/>
        <v>15.274047851022488</v>
      </c>
      <c r="M192">
        <v>218.94505310058599</v>
      </c>
      <c r="N192" s="86">
        <f t="shared" si="36"/>
        <v>15.151977539005657</v>
      </c>
      <c r="O192">
        <v>1493.24499511719</v>
      </c>
      <c r="P192" s="40">
        <f t="shared" si="27"/>
        <v>110.96191405999889</v>
      </c>
      <c r="Q192">
        <v>1127.26025390625</v>
      </c>
      <c r="R192" s="40">
        <f t="shared" si="28"/>
        <v>0.73242188000222086</v>
      </c>
      <c r="S192">
        <v>2762.25439453125</v>
      </c>
      <c r="T192" s="40">
        <f t="shared" si="29"/>
        <v>71.2890625</v>
      </c>
      <c r="U192">
        <v>34.140392303466797</v>
      </c>
      <c r="V192" s="33">
        <f t="shared" si="37"/>
        <v>3.4103393555042771</v>
      </c>
      <c r="W192">
        <v>228.20994567871099</v>
      </c>
      <c r="X192" s="90">
        <f t="shared" si="38"/>
        <v>17.059326172017109</v>
      </c>
    </row>
    <row r="193" spans="1:24" x14ac:dyDescent="0.25">
      <c r="A193" s="8">
        <v>42437.916666666664</v>
      </c>
      <c r="B193" s="40">
        <f t="shared" si="30"/>
        <v>22</v>
      </c>
      <c r="C193" s="87">
        <v>55.470531463622997</v>
      </c>
      <c r="D193" s="85">
        <f t="shared" si="31"/>
        <v>0</v>
      </c>
      <c r="E193">
        <v>81.796936035156307</v>
      </c>
      <c r="F193" s="85">
        <f t="shared" si="32"/>
        <v>0</v>
      </c>
      <c r="G193">
        <v>167.83052062988301</v>
      </c>
      <c r="H193" s="86">
        <f t="shared" si="33"/>
        <v>13.397216796988687</v>
      </c>
      <c r="I193">
        <v>127.602821350098</v>
      </c>
      <c r="J193" s="86">
        <f t="shared" si="34"/>
        <v>12.001037597002551</v>
      </c>
      <c r="K193">
        <v>192.11428833007801</v>
      </c>
      <c r="L193" s="86">
        <f t="shared" si="35"/>
        <v>15.350341796988687</v>
      </c>
      <c r="M193">
        <v>218.960205078125</v>
      </c>
      <c r="N193" s="86">
        <f t="shared" si="36"/>
        <v>15.274047851988826</v>
      </c>
      <c r="O193">
        <v>1493.35595703125</v>
      </c>
      <c r="P193" s="40">
        <f t="shared" si="27"/>
        <v>111.57226563000222</v>
      </c>
      <c r="Q193">
        <v>1127.26098632813</v>
      </c>
      <c r="R193" s="40">
        <f t="shared" si="28"/>
        <v>0.85449217999666871</v>
      </c>
      <c r="S193">
        <v>2762.32568359375</v>
      </c>
      <c r="T193" s="40">
        <f t="shared" si="29"/>
        <v>0.9765625</v>
      </c>
      <c r="U193">
        <v>34.143802642822301</v>
      </c>
      <c r="V193" s="33">
        <f t="shared" si="37"/>
        <v>3.3264160155965783</v>
      </c>
      <c r="W193">
        <v>228.22700500488301</v>
      </c>
      <c r="X193" s="90">
        <f t="shared" si="38"/>
        <v>17.440795897982753</v>
      </c>
    </row>
    <row r="194" spans="1:24" x14ac:dyDescent="0.25">
      <c r="A194" s="8">
        <v>42437.958333333336</v>
      </c>
      <c r="B194" s="40">
        <f t="shared" si="30"/>
        <v>23</v>
      </c>
      <c r="C194" s="87">
        <v>55.470531463622997</v>
      </c>
      <c r="D194" s="85">
        <f t="shared" si="31"/>
        <v>0</v>
      </c>
      <c r="E194">
        <v>81.796936035156307</v>
      </c>
      <c r="F194" s="85">
        <f t="shared" si="32"/>
        <v>0</v>
      </c>
      <c r="G194">
        <v>167.84391784668</v>
      </c>
      <c r="H194" s="86">
        <f t="shared" si="33"/>
        <v>13.656616210994343</v>
      </c>
      <c r="I194">
        <v>127.614822387695</v>
      </c>
      <c r="J194" s="86">
        <f t="shared" si="34"/>
        <v>11.795043945994621</v>
      </c>
      <c r="K194">
        <v>192.129638671875</v>
      </c>
      <c r="L194" s="86">
        <f t="shared" si="35"/>
        <v>15.304565430000139</v>
      </c>
      <c r="M194">
        <v>218.97547912597699</v>
      </c>
      <c r="N194" s="86">
        <f t="shared" si="36"/>
        <v>15.228271484005518</v>
      </c>
      <c r="O194">
        <v>1493.46752929688</v>
      </c>
      <c r="P194" s="40">
        <f t="shared" si="27"/>
        <v>111.328125</v>
      </c>
      <c r="Q194">
        <v>1127.26184082031</v>
      </c>
      <c r="R194" s="40">
        <f t="shared" si="28"/>
        <v>0.73242188000222086</v>
      </c>
      <c r="S194">
        <v>2762.32666015625</v>
      </c>
      <c r="T194" s="40">
        <f t="shared" si="29"/>
        <v>0.48828125</v>
      </c>
      <c r="U194">
        <v>34.147129058837898</v>
      </c>
      <c r="V194" s="33">
        <f t="shared" si="37"/>
        <v>3.2005310059020076</v>
      </c>
      <c r="W194">
        <v>228.24444580078099</v>
      </c>
      <c r="X194" s="90">
        <f t="shared" si="38"/>
        <v>14.633178710994343</v>
      </c>
    </row>
    <row r="195" spans="1:24" x14ac:dyDescent="0.25">
      <c r="A195" s="8">
        <v>42438</v>
      </c>
      <c r="B195" s="40">
        <f t="shared" si="30"/>
        <v>0</v>
      </c>
      <c r="C195" s="87">
        <v>55.470531463622997</v>
      </c>
      <c r="D195" s="85">
        <f t="shared" si="31"/>
        <v>0</v>
      </c>
      <c r="E195">
        <v>81.796936035156307</v>
      </c>
      <c r="F195" s="85">
        <f t="shared" si="32"/>
        <v>0</v>
      </c>
      <c r="G195">
        <v>167.85757446289099</v>
      </c>
      <c r="H195" s="86">
        <f t="shared" si="33"/>
        <v>13.656616210994343</v>
      </c>
      <c r="I195">
        <v>127.62661743164099</v>
      </c>
      <c r="J195" s="86">
        <f t="shared" si="34"/>
        <v>11.993408203011313</v>
      </c>
      <c r="K195">
        <v>192.144943237305</v>
      </c>
      <c r="L195" s="86">
        <f t="shared" si="35"/>
        <v>15.335083008011452</v>
      </c>
      <c r="M195">
        <v>218.99070739746099</v>
      </c>
      <c r="N195" s="86">
        <f t="shared" si="36"/>
        <v>15.213012694999861</v>
      </c>
      <c r="O195">
        <v>1493.57885742188</v>
      </c>
      <c r="P195" s="40">
        <f t="shared" ref="P195:P258" si="39">+(O196-O195)*1000</f>
        <v>109.49707030999889</v>
      </c>
      <c r="Q195">
        <v>1127.26257324219</v>
      </c>
      <c r="R195" s="40">
        <f t="shared" ref="R195:R258" si="40">+(Q196-Q195)*1000</f>
        <v>0.85449219000111043</v>
      </c>
      <c r="S195">
        <v>2762.3271484375</v>
      </c>
      <c r="T195" s="40">
        <f t="shared" ref="T195:T258" si="41">+(S196-S195)*1000</f>
        <v>1.2207031300022209</v>
      </c>
      <c r="U195">
        <v>34.1503295898438</v>
      </c>
      <c r="V195" s="33">
        <f t="shared" si="37"/>
        <v>3.2196044921022349</v>
      </c>
      <c r="W195">
        <v>228.25907897949199</v>
      </c>
      <c r="X195" s="90">
        <f t="shared" si="38"/>
        <v>15.838623047017109</v>
      </c>
    </row>
    <row r="196" spans="1:24" x14ac:dyDescent="0.25">
      <c r="A196" s="8">
        <v>42438.041666666664</v>
      </c>
      <c r="B196" s="40">
        <f t="shared" ref="B196:B259" si="42">+HOUR(A196)</f>
        <v>1</v>
      </c>
      <c r="C196" s="87">
        <v>55.470531463622997</v>
      </c>
      <c r="D196" s="85">
        <f t="shared" ref="D196:D259" si="43">+(C197-C196)*1000</f>
        <v>0</v>
      </c>
      <c r="E196">
        <v>81.796936035156307</v>
      </c>
      <c r="F196" s="85">
        <f t="shared" ref="F196:F259" si="44">+(E197-E196)*1000</f>
        <v>0</v>
      </c>
      <c r="G196">
        <v>167.87123107910199</v>
      </c>
      <c r="H196" s="86">
        <f t="shared" ref="H196:H259" si="45">+(G197-G196)*1000</f>
        <v>13.427734375</v>
      </c>
      <c r="I196">
        <v>127.63861083984401</v>
      </c>
      <c r="J196" s="86">
        <f t="shared" ref="J196:J259" si="46">+(I197-I196)*1000</f>
        <v>12.00103759698834</v>
      </c>
      <c r="K196">
        <v>192.16027832031301</v>
      </c>
      <c r="L196" s="86">
        <f t="shared" ref="L196:L259" si="47">+(K197-K196)*1000</f>
        <v>15.213012694999861</v>
      </c>
      <c r="M196">
        <v>219.00592041015599</v>
      </c>
      <c r="N196" s="86">
        <f t="shared" ref="N196:N259" si="48">+(M197-M196)*1000</f>
        <v>15.029907227017247</v>
      </c>
      <c r="O196">
        <v>1493.68835449219</v>
      </c>
      <c r="P196" s="40">
        <f t="shared" si="39"/>
        <v>110.96191405999889</v>
      </c>
      <c r="Q196">
        <v>1127.26342773438</v>
      </c>
      <c r="R196" s="40">
        <f t="shared" si="40"/>
        <v>0.73242186999777914</v>
      </c>
      <c r="S196">
        <v>2762.32836914063</v>
      </c>
      <c r="T196" s="40">
        <f t="shared" si="41"/>
        <v>0.73242186999777914</v>
      </c>
      <c r="U196">
        <v>34.153549194335902</v>
      </c>
      <c r="V196" s="33">
        <f t="shared" ref="V196:V259" si="49">+(U197-U196)*1000</f>
        <v>3.1890869140980271</v>
      </c>
      <c r="W196">
        <v>228.27491760253901</v>
      </c>
      <c r="X196" s="90">
        <f t="shared" ref="X196:X259" si="50">+(W197-W196)*1000</f>
        <v>16.952514649005934</v>
      </c>
    </row>
    <row r="197" spans="1:24" x14ac:dyDescent="0.25">
      <c r="A197" s="8">
        <v>42438.083333333336</v>
      </c>
      <c r="B197" s="40">
        <f t="shared" si="42"/>
        <v>2</v>
      </c>
      <c r="C197" s="87">
        <v>55.470531463622997</v>
      </c>
      <c r="D197" s="85">
        <f t="shared" si="43"/>
        <v>0</v>
      </c>
      <c r="E197">
        <v>81.796936035156307</v>
      </c>
      <c r="F197" s="85">
        <f t="shared" si="44"/>
        <v>0</v>
      </c>
      <c r="G197">
        <v>167.88465881347699</v>
      </c>
      <c r="H197" s="86">
        <f t="shared" si="45"/>
        <v>13.656616211022765</v>
      </c>
      <c r="I197">
        <v>127.65061187744099</v>
      </c>
      <c r="J197" s="86">
        <f t="shared" si="46"/>
        <v>12.00866699301173</v>
      </c>
      <c r="K197">
        <v>192.17549133300801</v>
      </c>
      <c r="L197" s="86">
        <f t="shared" si="47"/>
        <v>15.304565430000139</v>
      </c>
      <c r="M197">
        <v>219.02095031738301</v>
      </c>
      <c r="N197" s="86">
        <f t="shared" si="48"/>
        <v>15.213012694999861</v>
      </c>
      <c r="O197">
        <v>1493.79931640625</v>
      </c>
      <c r="P197" s="40">
        <f t="shared" si="39"/>
        <v>110.47363280999889</v>
      </c>
      <c r="Q197">
        <v>1127.26416015625</v>
      </c>
      <c r="R197" s="40">
        <f t="shared" si="40"/>
        <v>0.73242188000222086</v>
      </c>
      <c r="S197">
        <v>2762.3291015625</v>
      </c>
      <c r="T197" s="40">
        <f t="shared" si="41"/>
        <v>0.48828125</v>
      </c>
      <c r="U197">
        <v>34.15673828125</v>
      </c>
      <c r="V197" s="33">
        <f t="shared" si="49"/>
        <v>3.185272216796875</v>
      </c>
      <c r="W197">
        <v>228.29187011718801</v>
      </c>
      <c r="X197" s="90">
        <f t="shared" si="50"/>
        <v>17.257690428976957</v>
      </c>
    </row>
    <row r="198" spans="1:24" x14ac:dyDescent="0.25">
      <c r="A198" s="8">
        <v>42438.125</v>
      </c>
      <c r="B198" s="40">
        <f t="shared" si="42"/>
        <v>3</v>
      </c>
      <c r="C198" s="87">
        <v>55.470531463622997</v>
      </c>
      <c r="D198" s="85">
        <f t="shared" si="43"/>
        <v>0</v>
      </c>
      <c r="E198">
        <v>81.796936035156307</v>
      </c>
      <c r="F198" s="85">
        <f t="shared" si="44"/>
        <v>0</v>
      </c>
      <c r="G198">
        <v>167.89831542968801</v>
      </c>
      <c r="H198" s="86">
        <f t="shared" si="45"/>
        <v>13.366699217982614</v>
      </c>
      <c r="I198">
        <v>127.66262054443401</v>
      </c>
      <c r="J198" s="86">
        <f t="shared" si="46"/>
        <v>12.084960936988409</v>
      </c>
      <c r="K198">
        <v>192.19079589843801</v>
      </c>
      <c r="L198" s="86">
        <f t="shared" si="47"/>
        <v>15.289306639999722</v>
      </c>
      <c r="M198">
        <v>219.03616333007801</v>
      </c>
      <c r="N198" s="86">
        <f t="shared" si="48"/>
        <v>15.197753905994205</v>
      </c>
      <c r="O198">
        <v>1493.90979003906</v>
      </c>
      <c r="P198" s="40">
        <f t="shared" si="39"/>
        <v>111.81640625</v>
      </c>
      <c r="Q198">
        <v>1127.26489257813</v>
      </c>
      <c r="R198" s="40">
        <f t="shared" si="40"/>
        <v>0.73242186999777914</v>
      </c>
      <c r="S198">
        <v>2762.32958984375</v>
      </c>
      <c r="T198" s="40">
        <f t="shared" si="41"/>
        <v>0.9765625</v>
      </c>
      <c r="U198">
        <v>34.159923553466797</v>
      </c>
      <c r="V198" s="33">
        <f t="shared" si="49"/>
        <v>3.1356811523011174</v>
      </c>
      <c r="W198">
        <v>228.30912780761699</v>
      </c>
      <c r="X198" s="90">
        <f t="shared" si="50"/>
        <v>16.15905761701697</v>
      </c>
    </row>
    <row r="199" spans="1:24" x14ac:dyDescent="0.25">
      <c r="A199" s="8">
        <v>42438.166666666664</v>
      </c>
      <c r="B199" s="40">
        <f t="shared" si="42"/>
        <v>4</v>
      </c>
      <c r="C199" s="87">
        <v>55.470531463622997</v>
      </c>
      <c r="D199" s="85">
        <f t="shared" si="43"/>
        <v>0</v>
      </c>
      <c r="E199">
        <v>81.796936035156307</v>
      </c>
      <c r="F199" s="85">
        <f t="shared" si="44"/>
        <v>0</v>
      </c>
      <c r="G199">
        <v>167.91168212890599</v>
      </c>
      <c r="H199" s="86">
        <f t="shared" si="45"/>
        <v>13.549804688011591</v>
      </c>
      <c r="I199">
        <v>127.67470550537099</v>
      </c>
      <c r="J199" s="86">
        <f t="shared" si="46"/>
        <v>11.856079102003036</v>
      </c>
      <c r="K199">
        <v>192.20608520507801</v>
      </c>
      <c r="L199" s="86">
        <f t="shared" si="47"/>
        <v>14.999389648977512</v>
      </c>
      <c r="M199">
        <v>219.05136108398401</v>
      </c>
      <c r="N199" s="86">
        <f t="shared" si="48"/>
        <v>15.213012695994621</v>
      </c>
      <c r="O199">
        <v>1494.02160644531</v>
      </c>
      <c r="P199" s="40">
        <f t="shared" si="39"/>
        <v>111.45019532000333</v>
      </c>
      <c r="Q199">
        <v>1127.265625</v>
      </c>
      <c r="R199" s="40">
        <f t="shared" si="40"/>
        <v>0.73242188000222086</v>
      </c>
      <c r="S199">
        <v>2762.33056640625</v>
      </c>
      <c r="T199" s="40">
        <f t="shared" si="41"/>
        <v>0.73242188000222086</v>
      </c>
      <c r="U199">
        <v>34.163059234619098</v>
      </c>
      <c r="V199" s="33">
        <f t="shared" si="49"/>
        <v>3.2806396485014488</v>
      </c>
      <c r="W199">
        <v>228.32528686523401</v>
      </c>
      <c r="X199" s="90">
        <f t="shared" si="50"/>
        <v>15.792846680000139</v>
      </c>
    </row>
    <row r="200" spans="1:24" x14ac:dyDescent="0.25">
      <c r="A200" s="8">
        <v>42438.208333333336</v>
      </c>
      <c r="B200" s="40">
        <f t="shared" si="42"/>
        <v>5</v>
      </c>
      <c r="C200" s="87">
        <v>55.470531463622997</v>
      </c>
      <c r="D200" s="85">
        <f t="shared" si="43"/>
        <v>0</v>
      </c>
      <c r="E200">
        <v>81.796936035156307</v>
      </c>
      <c r="F200" s="85">
        <f t="shared" si="44"/>
        <v>0</v>
      </c>
      <c r="G200">
        <v>167.92523193359401</v>
      </c>
      <c r="H200" s="86">
        <f t="shared" si="45"/>
        <v>13.580322264999722</v>
      </c>
      <c r="I200">
        <v>127.686561584473</v>
      </c>
      <c r="J200" s="86">
        <f t="shared" si="46"/>
        <v>12.008666992002759</v>
      </c>
      <c r="K200">
        <v>192.22108459472699</v>
      </c>
      <c r="L200" s="86">
        <f t="shared" si="47"/>
        <v>15.289306639999722</v>
      </c>
      <c r="M200">
        <v>219.06657409668</v>
      </c>
      <c r="N200" s="86">
        <f t="shared" si="48"/>
        <v>15.060424804005379</v>
      </c>
      <c r="O200">
        <v>1494.13305664063</v>
      </c>
      <c r="P200" s="40">
        <f t="shared" si="39"/>
        <v>109.74121092999667</v>
      </c>
      <c r="Q200">
        <v>1127.26635742188</v>
      </c>
      <c r="R200" s="40">
        <f t="shared" si="40"/>
        <v>0.85449217999666871</v>
      </c>
      <c r="S200">
        <v>2762.33129882813</v>
      </c>
      <c r="T200" s="40">
        <f t="shared" si="41"/>
        <v>0.48828125</v>
      </c>
      <c r="U200">
        <v>34.166339874267599</v>
      </c>
      <c r="V200" s="33">
        <f t="shared" si="49"/>
        <v>3.2806396484019729</v>
      </c>
      <c r="W200">
        <v>228.34107971191401</v>
      </c>
      <c r="X200" s="90">
        <f t="shared" si="50"/>
        <v>14.16015625</v>
      </c>
    </row>
    <row r="201" spans="1:24" x14ac:dyDescent="0.25">
      <c r="A201" s="8">
        <v>42438.25</v>
      </c>
      <c r="B201" s="40">
        <f t="shared" si="42"/>
        <v>6</v>
      </c>
      <c r="C201" s="87">
        <v>55.470531463622997</v>
      </c>
      <c r="D201" s="85">
        <f t="shared" si="43"/>
        <v>0</v>
      </c>
      <c r="E201">
        <v>81.796936035156307</v>
      </c>
      <c r="F201" s="85">
        <f t="shared" si="44"/>
        <v>0</v>
      </c>
      <c r="G201">
        <v>167.93881225585901</v>
      </c>
      <c r="H201" s="86">
        <f t="shared" si="45"/>
        <v>13.595581055000139</v>
      </c>
      <c r="I201">
        <v>127.698570251465</v>
      </c>
      <c r="J201" s="86">
        <f t="shared" si="46"/>
        <v>12.001037597997311</v>
      </c>
      <c r="K201">
        <v>192.23637390136699</v>
      </c>
      <c r="L201" s="86">
        <f t="shared" si="47"/>
        <v>15.274047852017247</v>
      </c>
      <c r="M201">
        <v>219.08163452148401</v>
      </c>
      <c r="N201" s="86">
        <f t="shared" si="48"/>
        <v>15.213012695994621</v>
      </c>
      <c r="O201">
        <v>1494.24279785156</v>
      </c>
      <c r="P201" s="40">
        <f t="shared" si="39"/>
        <v>110.96191407000333</v>
      </c>
      <c r="Q201">
        <v>1127.26721191406</v>
      </c>
      <c r="R201" s="40">
        <f t="shared" si="40"/>
        <v>0.61035157000333129</v>
      </c>
      <c r="S201">
        <v>2762.33178710938</v>
      </c>
      <c r="T201" s="40">
        <f t="shared" si="41"/>
        <v>0.9765625</v>
      </c>
      <c r="U201">
        <v>34.169620513916001</v>
      </c>
      <c r="V201" s="33">
        <f t="shared" si="49"/>
        <v>3.2768249512002967</v>
      </c>
      <c r="W201">
        <v>228.35523986816401</v>
      </c>
      <c r="X201" s="90">
        <f t="shared" si="50"/>
        <v>12.908935546988687</v>
      </c>
    </row>
    <row r="202" spans="1:24" x14ac:dyDescent="0.25">
      <c r="A202" s="8">
        <v>42438.291666666664</v>
      </c>
      <c r="B202" s="40">
        <f t="shared" si="42"/>
        <v>7</v>
      </c>
      <c r="C202" s="87">
        <v>55.470531463622997</v>
      </c>
      <c r="D202" s="85">
        <f t="shared" si="43"/>
        <v>0</v>
      </c>
      <c r="E202">
        <v>81.796936035156307</v>
      </c>
      <c r="F202" s="85">
        <f t="shared" si="44"/>
        <v>0</v>
      </c>
      <c r="G202">
        <v>167.95240783691401</v>
      </c>
      <c r="H202" s="86">
        <f t="shared" si="45"/>
        <v>13.580322265994482</v>
      </c>
      <c r="I202">
        <v>127.710571289063</v>
      </c>
      <c r="J202" s="86">
        <f t="shared" si="46"/>
        <v>12.001037597002551</v>
      </c>
      <c r="K202">
        <v>192.25164794921901</v>
      </c>
      <c r="L202" s="86">
        <f t="shared" si="47"/>
        <v>15.304565429005379</v>
      </c>
      <c r="M202">
        <v>219.09684753418</v>
      </c>
      <c r="N202" s="86">
        <f t="shared" si="48"/>
        <v>15.350341796988687</v>
      </c>
      <c r="O202">
        <v>1494.35375976563</v>
      </c>
      <c r="P202" s="40">
        <f t="shared" si="39"/>
        <v>111.328125</v>
      </c>
      <c r="Q202">
        <v>1127.26782226563</v>
      </c>
      <c r="R202" s="40">
        <f t="shared" si="40"/>
        <v>0.9765625</v>
      </c>
      <c r="S202">
        <v>2762.33276367188</v>
      </c>
      <c r="T202" s="40">
        <f t="shared" si="41"/>
        <v>0.73242186999777914</v>
      </c>
      <c r="U202">
        <v>34.172897338867202</v>
      </c>
      <c r="V202" s="33">
        <f t="shared" si="49"/>
        <v>3.3340454100994066</v>
      </c>
      <c r="W202">
        <v>228.36814880371099</v>
      </c>
      <c r="X202" s="90">
        <f t="shared" si="50"/>
        <v>12.344360352017247</v>
      </c>
    </row>
    <row r="203" spans="1:24" x14ac:dyDescent="0.25">
      <c r="A203" s="8">
        <v>42438.333333333336</v>
      </c>
      <c r="B203" s="40">
        <f t="shared" si="42"/>
        <v>8</v>
      </c>
      <c r="C203" s="87">
        <v>55.470531463622997</v>
      </c>
      <c r="D203" s="85">
        <f t="shared" si="43"/>
        <v>0</v>
      </c>
      <c r="E203">
        <v>81.796936035156307</v>
      </c>
      <c r="F203" s="85">
        <f t="shared" si="44"/>
        <v>0</v>
      </c>
      <c r="G203">
        <v>167.96598815918</v>
      </c>
      <c r="H203" s="86">
        <f t="shared" si="45"/>
        <v>13.580322264999722</v>
      </c>
      <c r="I203">
        <v>127.72257232666</v>
      </c>
      <c r="J203" s="86">
        <f t="shared" si="46"/>
        <v>12.001037597997311</v>
      </c>
      <c r="K203">
        <v>192.26695251464801</v>
      </c>
      <c r="L203" s="86">
        <f t="shared" si="47"/>
        <v>15.289306640994482</v>
      </c>
      <c r="M203">
        <v>219.11219787597699</v>
      </c>
      <c r="N203" s="86">
        <f t="shared" si="48"/>
        <v>15.228271484005518</v>
      </c>
      <c r="O203">
        <v>1494.46508789063</v>
      </c>
      <c r="P203" s="40">
        <f t="shared" si="39"/>
        <v>110.22949217999667</v>
      </c>
      <c r="Q203">
        <v>1127.26879882813</v>
      </c>
      <c r="R203" s="40">
        <f t="shared" si="40"/>
        <v>0.73242186999777914</v>
      </c>
      <c r="S203">
        <v>2762.33349609375</v>
      </c>
      <c r="T203" s="40">
        <f t="shared" si="41"/>
        <v>0.9765625</v>
      </c>
      <c r="U203">
        <v>34.176231384277301</v>
      </c>
      <c r="V203" s="33">
        <f t="shared" si="49"/>
        <v>3.479003906299738</v>
      </c>
      <c r="W203">
        <v>228.38049316406301</v>
      </c>
      <c r="X203" s="90">
        <f t="shared" si="50"/>
        <v>11.703491209999584</v>
      </c>
    </row>
    <row r="204" spans="1:24" x14ac:dyDescent="0.25">
      <c r="A204" s="8">
        <v>42438.375</v>
      </c>
      <c r="B204" s="40">
        <f t="shared" si="42"/>
        <v>9</v>
      </c>
      <c r="C204" s="87">
        <v>55.470531463622997</v>
      </c>
      <c r="D204" s="85">
        <f t="shared" si="43"/>
        <v>0</v>
      </c>
      <c r="E204">
        <v>81.796936035156307</v>
      </c>
      <c r="F204" s="85">
        <f t="shared" si="44"/>
        <v>0</v>
      </c>
      <c r="G204">
        <v>167.979568481445</v>
      </c>
      <c r="H204" s="86">
        <f t="shared" si="45"/>
        <v>13.381958008011452</v>
      </c>
      <c r="I204">
        <v>127.734573364258</v>
      </c>
      <c r="J204" s="86">
        <f t="shared" si="46"/>
        <v>11.787414551008624</v>
      </c>
      <c r="K204">
        <v>192.28224182128901</v>
      </c>
      <c r="L204" s="86">
        <f t="shared" si="47"/>
        <v>15.274047851988826</v>
      </c>
      <c r="M204">
        <v>219.12742614746099</v>
      </c>
      <c r="N204" s="86">
        <f t="shared" si="48"/>
        <v>15.213012694999861</v>
      </c>
      <c r="O204">
        <v>1494.57531738281</v>
      </c>
      <c r="P204" s="40">
        <f t="shared" si="39"/>
        <v>111.45019532000333</v>
      </c>
      <c r="Q204">
        <v>1127.26953125</v>
      </c>
      <c r="R204" s="40">
        <f t="shared" si="40"/>
        <v>0.73242188000222086</v>
      </c>
      <c r="S204">
        <v>2762.33447265625</v>
      </c>
      <c r="T204" s="40">
        <f t="shared" si="41"/>
        <v>0.48828125</v>
      </c>
      <c r="U204">
        <v>34.179710388183601</v>
      </c>
      <c r="V204" s="33">
        <f t="shared" si="49"/>
        <v>3.41796875</v>
      </c>
      <c r="W204">
        <v>228.39219665527301</v>
      </c>
      <c r="X204" s="90">
        <f t="shared" si="50"/>
        <v>17.715454101988826</v>
      </c>
    </row>
    <row r="205" spans="1:24" x14ac:dyDescent="0.25">
      <c r="A205" s="8">
        <v>42438.416666666664</v>
      </c>
      <c r="B205" s="40">
        <f t="shared" si="42"/>
        <v>10</v>
      </c>
      <c r="C205" s="87">
        <v>55.470531463622997</v>
      </c>
      <c r="D205" s="85">
        <f t="shared" si="43"/>
        <v>0</v>
      </c>
      <c r="E205">
        <v>81.796936035156307</v>
      </c>
      <c r="F205" s="85">
        <f t="shared" si="44"/>
        <v>0</v>
      </c>
      <c r="G205">
        <v>167.99295043945301</v>
      </c>
      <c r="H205" s="86">
        <f t="shared" si="45"/>
        <v>13.565063476988826</v>
      </c>
      <c r="I205">
        <v>127.74636077880901</v>
      </c>
      <c r="J205" s="86">
        <f t="shared" si="46"/>
        <v>12.008666991988548</v>
      </c>
      <c r="K205">
        <v>192.29751586914099</v>
      </c>
      <c r="L205" s="86">
        <f t="shared" si="47"/>
        <v>15.075683593011036</v>
      </c>
      <c r="M205">
        <v>219.14263916015599</v>
      </c>
      <c r="N205" s="86">
        <f t="shared" si="48"/>
        <v>14.953613282017386</v>
      </c>
      <c r="O205">
        <v>1494.68676757813</v>
      </c>
      <c r="P205" s="40">
        <f t="shared" si="39"/>
        <v>111.45019530999889</v>
      </c>
      <c r="Q205">
        <v>1127.27026367188</v>
      </c>
      <c r="R205" s="40">
        <f t="shared" si="40"/>
        <v>0.73242186999777914</v>
      </c>
      <c r="S205">
        <v>2762.3349609375</v>
      </c>
      <c r="T205" s="40">
        <f t="shared" si="41"/>
        <v>0.73242188000222086</v>
      </c>
      <c r="U205">
        <v>34.183128356933601</v>
      </c>
      <c r="V205" s="33">
        <f t="shared" si="49"/>
        <v>3.5209655762002967</v>
      </c>
      <c r="W205">
        <v>228.409912109375</v>
      </c>
      <c r="X205" s="90">
        <f t="shared" si="50"/>
        <v>19.790649414005657</v>
      </c>
    </row>
    <row r="206" spans="1:24" x14ac:dyDescent="0.25">
      <c r="A206" s="8">
        <v>42438.458333333336</v>
      </c>
      <c r="B206" s="40">
        <f t="shared" si="42"/>
        <v>11</v>
      </c>
      <c r="C206" s="87">
        <v>55.470531463622997</v>
      </c>
      <c r="D206" s="85">
        <f t="shared" si="43"/>
        <v>0</v>
      </c>
      <c r="E206">
        <v>81.796936035156307</v>
      </c>
      <c r="F206" s="85">
        <f t="shared" si="44"/>
        <v>0</v>
      </c>
      <c r="G206">
        <v>168.00651550293</v>
      </c>
      <c r="H206" s="86">
        <f t="shared" si="45"/>
        <v>13.549804686988409</v>
      </c>
      <c r="I206">
        <v>127.75836944580099</v>
      </c>
      <c r="J206" s="86">
        <f t="shared" si="46"/>
        <v>12.001037597002551</v>
      </c>
      <c r="K206">
        <v>192.31259155273401</v>
      </c>
      <c r="L206" s="86">
        <f t="shared" si="47"/>
        <v>15.350341796988687</v>
      </c>
      <c r="M206">
        <v>219.15759277343801</v>
      </c>
      <c r="N206" s="86">
        <f t="shared" si="48"/>
        <v>15.197753905994205</v>
      </c>
      <c r="O206">
        <v>1494.79821777344</v>
      </c>
      <c r="P206" s="40">
        <f t="shared" si="39"/>
        <v>112.18261719000111</v>
      </c>
      <c r="Q206">
        <v>1127.27099609375</v>
      </c>
      <c r="R206" s="40">
        <f t="shared" si="40"/>
        <v>0.73242188000222086</v>
      </c>
      <c r="S206">
        <v>2762.33569335938</v>
      </c>
      <c r="T206" s="40">
        <f t="shared" si="41"/>
        <v>0.9765625</v>
      </c>
      <c r="U206">
        <v>34.186649322509801</v>
      </c>
      <c r="V206" s="33">
        <f t="shared" si="49"/>
        <v>3.5438537597016762</v>
      </c>
      <c r="W206">
        <v>228.42970275878901</v>
      </c>
      <c r="X206" s="90">
        <f t="shared" si="50"/>
        <v>19.500732421988687</v>
      </c>
    </row>
    <row r="207" spans="1:24" x14ac:dyDescent="0.25">
      <c r="A207" s="8">
        <v>42438.5</v>
      </c>
      <c r="B207" s="40">
        <f t="shared" si="42"/>
        <v>12</v>
      </c>
      <c r="C207" s="87">
        <v>55.470531463622997</v>
      </c>
      <c r="D207" s="85">
        <f t="shared" si="43"/>
        <v>0</v>
      </c>
      <c r="E207">
        <v>81.796936035156307</v>
      </c>
      <c r="F207" s="85">
        <f t="shared" si="44"/>
        <v>0</v>
      </c>
      <c r="G207">
        <v>168.02006530761699</v>
      </c>
      <c r="H207" s="86">
        <f t="shared" si="45"/>
        <v>12.649536133011452</v>
      </c>
      <c r="I207">
        <v>127.770370483398</v>
      </c>
      <c r="J207" s="86">
        <f t="shared" si="46"/>
        <v>11.177062989006004</v>
      </c>
      <c r="K207">
        <v>192.32794189453099</v>
      </c>
      <c r="L207" s="86">
        <f t="shared" si="47"/>
        <v>15.258789063011591</v>
      </c>
      <c r="M207">
        <v>219.17279052734401</v>
      </c>
      <c r="N207" s="86">
        <f t="shared" si="48"/>
        <v>15.213012694999861</v>
      </c>
      <c r="O207">
        <v>1494.91040039063</v>
      </c>
      <c r="P207" s="40">
        <f t="shared" si="39"/>
        <v>110.3515625</v>
      </c>
      <c r="Q207">
        <v>1127.27172851563</v>
      </c>
      <c r="R207" s="40">
        <f t="shared" si="40"/>
        <v>0.73242186999777914</v>
      </c>
      <c r="S207">
        <v>2762.33666992188</v>
      </c>
      <c r="T207" s="40">
        <f t="shared" si="41"/>
        <v>0.48828125</v>
      </c>
      <c r="U207">
        <v>34.190193176269503</v>
      </c>
      <c r="V207" s="33">
        <f t="shared" si="49"/>
        <v>3.479003906299738</v>
      </c>
      <c r="W207">
        <v>228.44920349121099</v>
      </c>
      <c r="X207" s="90">
        <f t="shared" si="50"/>
        <v>19.790649414005657</v>
      </c>
    </row>
    <row r="208" spans="1:24" x14ac:dyDescent="0.25">
      <c r="A208" s="8">
        <v>42438.541666666664</v>
      </c>
      <c r="B208" s="40">
        <f t="shared" si="42"/>
        <v>13</v>
      </c>
      <c r="C208" s="87">
        <v>55.470531463622997</v>
      </c>
      <c r="D208" s="85">
        <f t="shared" si="43"/>
        <v>0</v>
      </c>
      <c r="E208">
        <v>81.796936035156307</v>
      </c>
      <c r="F208" s="85">
        <f t="shared" si="44"/>
        <v>0</v>
      </c>
      <c r="G208">
        <v>168.03271484375</v>
      </c>
      <c r="H208" s="86">
        <f t="shared" si="45"/>
        <v>11.367797851988826</v>
      </c>
      <c r="I208">
        <v>127.781547546387</v>
      </c>
      <c r="J208" s="86">
        <f t="shared" si="46"/>
        <v>9.8571777339913069</v>
      </c>
      <c r="K208">
        <v>192.34320068359401</v>
      </c>
      <c r="L208" s="86">
        <f t="shared" si="47"/>
        <v>15.106201171988687</v>
      </c>
      <c r="M208">
        <v>219.18800354003901</v>
      </c>
      <c r="N208" s="86">
        <f t="shared" si="48"/>
        <v>15.213012694999861</v>
      </c>
      <c r="O208">
        <v>1495.02075195313</v>
      </c>
      <c r="P208" s="40">
        <f t="shared" si="39"/>
        <v>107.17773436999778</v>
      </c>
      <c r="Q208">
        <v>1127.2724609375</v>
      </c>
      <c r="R208" s="40">
        <f t="shared" si="40"/>
        <v>0.73242188000222086</v>
      </c>
      <c r="S208">
        <v>2762.33715820313</v>
      </c>
      <c r="T208" s="40">
        <f t="shared" si="41"/>
        <v>0.73242186999777914</v>
      </c>
      <c r="U208">
        <v>34.193672180175803</v>
      </c>
      <c r="V208" s="33">
        <f t="shared" si="49"/>
        <v>3.379821777294012</v>
      </c>
      <c r="W208">
        <v>228.468994140625</v>
      </c>
      <c r="X208" s="90">
        <f t="shared" si="50"/>
        <v>18.356323241988548</v>
      </c>
    </row>
    <row r="209" spans="1:24" x14ac:dyDescent="0.25">
      <c r="A209" s="8">
        <v>42438.583333333336</v>
      </c>
      <c r="B209" s="40">
        <f t="shared" si="42"/>
        <v>14</v>
      </c>
      <c r="C209" s="87">
        <v>55.470531463622997</v>
      </c>
      <c r="D209" s="85">
        <f t="shared" si="43"/>
        <v>0</v>
      </c>
      <c r="E209">
        <v>81.796936035156307</v>
      </c>
      <c r="F209" s="85">
        <f t="shared" si="44"/>
        <v>0</v>
      </c>
      <c r="G209">
        <v>168.04408264160199</v>
      </c>
      <c r="H209" s="86">
        <f t="shared" si="45"/>
        <v>11.322021484005518</v>
      </c>
      <c r="I209">
        <v>127.79140472412099</v>
      </c>
      <c r="J209" s="86">
        <f t="shared" si="46"/>
        <v>9.9182128910086931</v>
      </c>
      <c r="K209">
        <v>192.35830688476599</v>
      </c>
      <c r="L209" s="86">
        <f t="shared" si="47"/>
        <v>15.289306639999722</v>
      </c>
      <c r="M209">
        <v>219.20321655273401</v>
      </c>
      <c r="N209" s="86">
        <f t="shared" si="48"/>
        <v>15.228271485000278</v>
      </c>
      <c r="O209">
        <v>1495.1279296875</v>
      </c>
      <c r="P209" s="40">
        <f t="shared" si="39"/>
        <v>112.42675780999889</v>
      </c>
      <c r="Q209">
        <v>1127.27319335938</v>
      </c>
      <c r="R209" s="40">
        <f t="shared" si="40"/>
        <v>0.85449217999666871</v>
      </c>
      <c r="S209">
        <v>2762.337890625</v>
      </c>
      <c r="T209" s="40">
        <f t="shared" si="41"/>
        <v>1.2207031300022209</v>
      </c>
      <c r="U209">
        <v>34.197052001953097</v>
      </c>
      <c r="V209" s="33">
        <f t="shared" si="49"/>
        <v>3.4370422364062847</v>
      </c>
      <c r="W209">
        <v>228.48735046386699</v>
      </c>
      <c r="X209" s="90">
        <f t="shared" si="50"/>
        <v>19.592285156022626</v>
      </c>
    </row>
    <row r="210" spans="1:24" x14ac:dyDescent="0.25">
      <c r="A210" s="8">
        <v>42438.625</v>
      </c>
      <c r="B210" s="40">
        <f t="shared" si="42"/>
        <v>15</v>
      </c>
      <c r="C210" s="87">
        <v>55.470531463622997</v>
      </c>
      <c r="D210" s="85">
        <f t="shared" si="43"/>
        <v>0</v>
      </c>
      <c r="E210">
        <v>81.796936035156307</v>
      </c>
      <c r="F210" s="85">
        <f t="shared" si="44"/>
        <v>0</v>
      </c>
      <c r="G210">
        <v>168.05540466308599</v>
      </c>
      <c r="H210" s="86">
        <f t="shared" si="45"/>
        <v>11.108398437016831</v>
      </c>
      <c r="I210">
        <v>127.801322937012</v>
      </c>
      <c r="J210" s="86">
        <f t="shared" si="46"/>
        <v>9.9868774409941352</v>
      </c>
      <c r="K210">
        <v>192.37359619140599</v>
      </c>
      <c r="L210" s="86">
        <f t="shared" si="47"/>
        <v>15.319824219005795</v>
      </c>
      <c r="M210">
        <v>219.21844482421901</v>
      </c>
      <c r="N210" s="86">
        <f t="shared" si="48"/>
        <v>15.045166014999722</v>
      </c>
      <c r="O210">
        <v>1495.24035644531</v>
      </c>
      <c r="P210" s="40">
        <f t="shared" si="39"/>
        <v>112.67089844000111</v>
      </c>
      <c r="Q210">
        <v>1127.27404785156</v>
      </c>
      <c r="R210" s="40">
        <f t="shared" si="40"/>
        <v>0.73242188000222086</v>
      </c>
      <c r="S210">
        <v>2762.33911132813</v>
      </c>
      <c r="T210" s="40">
        <f t="shared" si="41"/>
        <v>0.48828125</v>
      </c>
      <c r="U210">
        <v>34.200489044189503</v>
      </c>
      <c r="V210" s="33">
        <f t="shared" si="49"/>
        <v>3.4027099608948674</v>
      </c>
      <c r="W210">
        <v>228.50694274902301</v>
      </c>
      <c r="X210" s="90">
        <f t="shared" si="50"/>
        <v>19.821166992983308</v>
      </c>
    </row>
    <row r="211" spans="1:24" x14ac:dyDescent="0.25">
      <c r="A211" s="8">
        <v>42438.666666666664</v>
      </c>
      <c r="B211" s="40">
        <f t="shared" si="42"/>
        <v>16</v>
      </c>
      <c r="C211" s="87">
        <v>55.470531463622997</v>
      </c>
      <c r="D211" s="85">
        <f t="shared" si="43"/>
        <v>0</v>
      </c>
      <c r="E211">
        <v>81.796936035156307</v>
      </c>
      <c r="F211" s="85">
        <f t="shared" si="44"/>
        <v>0</v>
      </c>
      <c r="G211">
        <v>168.06651306152301</v>
      </c>
      <c r="H211" s="86">
        <f t="shared" si="45"/>
        <v>11.306762695994621</v>
      </c>
      <c r="I211">
        <v>127.811309814453</v>
      </c>
      <c r="J211" s="86">
        <f t="shared" si="46"/>
        <v>9.7885131840058648</v>
      </c>
      <c r="K211">
        <v>192.388916015625</v>
      </c>
      <c r="L211" s="86">
        <f t="shared" si="47"/>
        <v>15.090942383011452</v>
      </c>
      <c r="M211">
        <v>219.23348999023401</v>
      </c>
      <c r="N211" s="86">
        <f t="shared" si="48"/>
        <v>15.274047851988826</v>
      </c>
      <c r="O211">
        <v>1495.35302734375</v>
      </c>
      <c r="P211" s="40">
        <f t="shared" si="39"/>
        <v>112.67089844000111</v>
      </c>
      <c r="Q211">
        <v>1127.27478027344</v>
      </c>
      <c r="R211" s="40">
        <f t="shared" si="40"/>
        <v>0.73242186999777914</v>
      </c>
      <c r="S211">
        <v>2762.33959960938</v>
      </c>
      <c r="T211" s="40">
        <f t="shared" si="41"/>
        <v>0.73242186999777914</v>
      </c>
      <c r="U211">
        <v>34.203891754150398</v>
      </c>
      <c r="V211" s="33">
        <f t="shared" si="49"/>
        <v>3.4980773925994413</v>
      </c>
      <c r="W211">
        <v>228.52676391601599</v>
      </c>
      <c r="X211" s="90">
        <f t="shared" si="50"/>
        <v>19.500732422017109</v>
      </c>
    </row>
    <row r="212" spans="1:24" x14ac:dyDescent="0.25">
      <c r="A212" s="8">
        <v>42438.708333333336</v>
      </c>
      <c r="B212" s="40">
        <f t="shared" si="42"/>
        <v>17</v>
      </c>
      <c r="C212" s="87">
        <v>55.470531463622997</v>
      </c>
      <c r="D212" s="85">
        <f t="shared" si="43"/>
        <v>0</v>
      </c>
      <c r="E212">
        <v>81.796936035156307</v>
      </c>
      <c r="F212" s="85">
        <f t="shared" si="44"/>
        <v>0</v>
      </c>
      <c r="G212">
        <v>168.07781982421901</v>
      </c>
      <c r="H212" s="86">
        <f t="shared" si="45"/>
        <v>11.337280272982753</v>
      </c>
      <c r="I212">
        <v>127.821098327637</v>
      </c>
      <c r="J212" s="86">
        <f t="shared" si="46"/>
        <v>9.910583495994274</v>
      </c>
      <c r="K212">
        <v>192.40400695800801</v>
      </c>
      <c r="L212" s="86">
        <f t="shared" si="47"/>
        <v>15.274047850994066</v>
      </c>
      <c r="M212">
        <v>219.24876403808599</v>
      </c>
      <c r="N212" s="86">
        <f t="shared" si="48"/>
        <v>15.289306640994482</v>
      </c>
      <c r="O212">
        <v>1495.46569824219</v>
      </c>
      <c r="P212" s="40">
        <f t="shared" si="39"/>
        <v>110.83984375</v>
      </c>
      <c r="Q212">
        <v>1127.27551269531</v>
      </c>
      <c r="R212" s="40">
        <f t="shared" si="40"/>
        <v>0.73242188000222086</v>
      </c>
      <c r="S212">
        <v>2762.34033203125</v>
      </c>
      <c r="T212" s="40">
        <f t="shared" si="41"/>
        <v>0.73242188000222086</v>
      </c>
      <c r="U212">
        <v>34.207389831542997</v>
      </c>
      <c r="V212" s="33">
        <f t="shared" si="49"/>
        <v>3.5591125487997033</v>
      </c>
      <c r="W212">
        <v>228.54626464843801</v>
      </c>
      <c r="X212" s="90">
        <f t="shared" si="50"/>
        <v>19.607543944999861</v>
      </c>
    </row>
    <row r="213" spans="1:24" x14ac:dyDescent="0.25">
      <c r="A213" s="8">
        <v>42438.75</v>
      </c>
      <c r="B213" s="40">
        <f t="shared" si="42"/>
        <v>18</v>
      </c>
      <c r="C213" s="87">
        <v>55.470531463622997</v>
      </c>
      <c r="D213" s="85">
        <f t="shared" si="43"/>
        <v>0</v>
      </c>
      <c r="E213">
        <v>81.796936035156307</v>
      </c>
      <c r="F213" s="85">
        <f t="shared" si="44"/>
        <v>3.4713745116903283</v>
      </c>
      <c r="G213">
        <v>168.08915710449199</v>
      </c>
      <c r="H213" s="86">
        <f t="shared" si="45"/>
        <v>11.642456055000139</v>
      </c>
      <c r="I213">
        <v>127.831008911133</v>
      </c>
      <c r="J213" s="86">
        <f t="shared" si="46"/>
        <v>10.261535644005448</v>
      </c>
      <c r="K213">
        <v>192.41928100585901</v>
      </c>
      <c r="L213" s="86">
        <f t="shared" si="47"/>
        <v>15.121459960994343</v>
      </c>
      <c r="M213">
        <v>219.26405334472699</v>
      </c>
      <c r="N213" s="86">
        <f t="shared" si="48"/>
        <v>14.892578125</v>
      </c>
      <c r="O213">
        <v>1495.57653808594</v>
      </c>
      <c r="P213" s="40">
        <f t="shared" si="39"/>
        <v>113.03710936999778</v>
      </c>
      <c r="Q213">
        <v>1127.27624511719</v>
      </c>
      <c r="R213" s="40">
        <f t="shared" si="40"/>
        <v>0.73242186999777914</v>
      </c>
      <c r="S213">
        <v>2762.34106445313</v>
      </c>
      <c r="T213" s="40">
        <f t="shared" si="41"/>
        <v>64.697265619997779</v>
      </c>
      <c r="U213">
        <v>34.210948944091797</v>
      </c>
      <c r="V213" s="33">
        <f t="shared" si="49"/>
        <v>3.3912658691050979</v>
      </c>
      <c r="W213">
        <v>228.56587219238301</v>
      </c>
      <c r="X213" s="90">
        <f t="shared" si="50"/>
        <v>16.693115233977096</v>
      </c>
    </row>
    <row r="214" spans="1:24" x14ac:dyDescent="0.25">
      <c r="A214" s="8">
        <v>42438.791666666664</v>
      </c>
      <c r="B214" s="40">
        <f t="shared" si="42"/>
        <v>19</v>
      </c>
      <c r="C214" s="87">
        <v>55.470531463622997</v>
      </c>
      <c r="D214" s="85">
        <f t="shared" si="43"/>
        <v>7.6293946023042736E-3</v>
      </c>
      <c r="E214">
        <v>81.800407409667997</v>
      </c>
      <c r="F214" s="85">
        <f t="shared" si="44"/>
        <v>5.4855346678976957</v>
      </c>
      <c r="G214">
        <v>168.10079956054699</v>
      </c>
      <c r="H214" s="86">
        <f t="shared" si="45"/>
        <v>11.779785156022626</v>
      </c>
      <c r="I214">
        <v>127.841270446777</v>
      </c>
      <c r="J214" s="86">
        <f t="shared" si="46"/>
        <v>10.406494140994482</v>
      </c>
      <c r="K214">
        <v>192.43440246582</v>
      </c>
      <c r="L214" s="86">
        <f t="shared" si="47"/>
        <v>15.228271485000278</v>
      </c>
      <c r="M214">
        <v>219.27894592285199</v>
      </c>
      <c r="N214" s="86">
        <f t="shared" si="48"/>
        <v>15.18249511701697</v>
      </c>
      <c r="O214">
        <v>1495.68957519531</v>
      </c>
      <c r="P214" s="40">
        <f t="shared" si="39"/>
        <v>112.06054688000222</v>
      </c>
      <c r="Q214">
        <v>1127.27697753906</v>
      </c>
      <c r="R214" s="40">
        <f t="shared" si="40"/>
        <v>0.85449219000111043</v>
      </c>
      <c r="S214">
        <v>2762.40576171875</v>
      </c>
      <c r="T214" s="40">
        <f t="shared" si="41"/>
        <v>127.19726563000222</v>
      </c>
      <c r="U214">
        <v>34.214340209960902</v>
      </c>
      <c r="V214" s="33">
        <f t="shared" si="49"/>
        <v>3.3912658691974684</v>
      </c>
      <c r="W214">
        <v>228.58256530761699</v>
      </c>
      <c r="X214" s="90">
        <f t="shared" si="50"/>
        <v>16.021728516022904</v>
      </c>
    </row>
    <row r="215" spans="1:24" x14ac:dyDescent="0.25">
      <c r="A215" s="8">
        <v>42438.833333333336</v>
      </c>
      <c r="B215" s="40">
        <f t="shared" si="42"/>
        <v>20</v>
      </c>
      <c r="C215" s="87">
        <v>55.470539093017599</v>
      </c>
      <c r="D215" s="85">
        <f t="shared" si="43"/>
        <v>0</v>
      </c>
      <c r="E215">
        <v>81.805892944335895</v>
      </c>
      <c r="F215" s="85">
        <f t="shared" si="44"/>
        <v>5.569458007911976</v>
      </c>
      <c r="G215">
        <v>168.11257934570301</v>
      </c>
      <c r="H215" s="86">
        <f t="shared" si="45"/>
        <v>11.581420898977512</v>
      </c>
      <c r="I215">
        <v>127.851676940918</v>
      </c>
      <c r="J215" s="86">
        <f t="shared" si="46"/>
        <v>10.353088379005726</v>
      </c>
      <c r="K215">
        <v>192.449630737305</v>
      </c>
      <c r="L215" s="86">
        <f t="shared" si="47"/>
        <v>15.365600585994343</v>
      </c>
      <c r="M215">
        <v>219.29412841796901</v>
      </c>
      <c r="N215" s="86">
        <f t="shared" si="48"/>
        <v>15.319824219005795</v>
      </c>
      <c r="O215">
        <v>1495.80163574219</v>
      </c>
      <c r="P215" s="40">
        <f t="shared" si="39"/>
        <v>112.06054686999778</v>
      </c>
      <c r="Q215">
        <v>1127.27783203125</v>
      </c>
      <c r="R215" s="40">
        <f t="shared" si="40"/>
        <v>0.9765625</v>
      </c>
      <c r="S215">
        <v>2762.53295898438</v>
      </c>
      <c r="T215" s="40">
        <f t="shared" si="41"/>
        <v>127.68554686999778</v>
      </c>
      <c r="U215">
        <v>34.217731475830099</v>
      </c>
      <c r="V215" s="33">
        <f t="shared" si="49"/>
        <v>3.4980773925994413</v>
      </c>
      <c r="W215">
        <v>228.59858703613301</v>
      </c>
      <c r="X215" s="90">
        <f t="shared" si="50"/>
        <v>17.364501952982891</v>
      </c>
    </row>
    <row r="216" spans="1:24" x14ac:dyDescent="0.25">
      <c r="A216" s="8">
        <v>42438.875</v>
      </c>
      <c r="B216" s="40">
        <f t="shared" si="42"/>
        <v>21</v>
      </c>
      <c r="C216" s="87">
        <v>55.470539093017599</v>
      </c>
      <c r="D216" s="85">
        <f t="shared" si="43"/>
        <v>0</v>
      </c>
      <c r="E216">
        <v>81.811462402343807</v>
      </c>
      <c r="F216" s="85">
        <f t="shared" si="44"/>
        <v>1.2817382811931566</v>
      </c>
      <c r="G216">
        <v>168.12416076660199</v>
      </c>
      <c r="H216" s="86">
        <f t="shared" si="45"/>
        <v>11.413574218011036</v>
      </c>
      <c r="I216">
        <v>127.862030029297</v>
      </c>
      <c r="J216" s="86">
        <f t="shared" si="46"/>
        <v>9.7808837889914457</v>
      </c>
      <c r="K216">
        <v>192.46499633789099</v>
      </c>
      <c r="L216" s="86">
        <f t="shared" si="47"/>
        <v>15.167236328011313</v>
      </c>
      <c r="M216">
        <v>219.30944824218801</v>
      </c>
      <c r="N216" s="86">
        <f t="shared" si="48"/>
        <v>15.319824217982614</v>
      </c>
      <c r="O216">
        <v>1495.91369628906</v>
      </c>
      <c r="P216" s="40">
        <f t="shared" si="39"/>
        <v>110.96191407000333</v>
      </c>
      <c r="Q216">
        <v>1127.27880859375</v>
      </c>
      <c r="R216" s="40">
        <f t="shared" si="40"/>
        <v>0.73242188000222086</v>
      </c>
      <c r="S216">
        <v>2762.66064453125</v>
      </c>
      <c r="T216" s="40">
        <f t="shared" si="41"/>
        <v>25.87890625</v>
      </c>
      <c r="U216">
        <v>34.221229553222699</v>
      </c>
      <c r="V216" s="33">
        <f t="shared" si="49"/>
        <v>3.41796875</v>
      </c>
      <c r="W216">
        <v>228.61595153808599</v>
      </c>
      <c r="X216" s="90">
        <f t="shared" si="50"/>
        <v>18.890380859005518</v>
      </c>
    </row>
    <row r="217" spans="1:24" x14ac:dyDescent="0.25">
      <c r="A217" s="8">
        <v>42438.916666666664</v>
      </c>
      <c r="B217" s="40">
        <f t="shared" si="42"/>
        <v>22</v>
      </c>
      <c r="C217" s="87">
        <v>55.470539093017599</v>
      </c>
      <c r="D217" s="85">
        <f t="shared" si="43"/>
        <v>0</v>
      </c>
      <c r="E217">
        <v>81.812744140625</v>
      </c>
      <c r="F217" s="85">
        <f t="shared" si="44"/>
        <v>0</v>
      </c>
      <c r="G217">
        <v>168.13557434082</v>
      </c>
      <c r="H217" s="86">
        <f t="shared" si="45"/>
        <v>11.352539063011591</v>
      </c>
      <c r="I217">
        <v>127.87181091308599</v>
      </c>
      <c r="J217" s="86">
        <f t="shared" si="46"/>
        <v>9.9792480470028977</v>
      </c>
      <c r="K217">
        <v>192.48016357421901</v>
      </c>
      <c r="L217" s="86">
        <f t="shared" si="47"/>
        <v>15.319824219005795</v>
      </c>
      <c r="M217">
        <v>219.32476806640599</v>
      </c>
      <c r="N217" s="86">
        <f t="shared" si="48"/>
        <v>15.090942383011452</v>
      </c>
      <c r="O217">
        <v>1496.02465820313</v>
      </c>
      <c r="P217" s="40">
        <f t="shared" si="39"/>
        <v>111.328125</v>
      </c>
      <c r="Q217">
        <v>1127.27954101563</v>
      </c>
      <c r="R217" s="40">
        <f t="shared" si="40"/>
        <v>0.73242186999777914</v>
      </c>
      <c r="S217">
        <v>2762.6865234375</v>
      </c>
      <c r="T217" s="40">
        <f t="shared" si="41"/>
        <v>0.48828125</v>
      </c>
      <c r="U217">
        <v>34.224647521972699</v>
      </c>
      <c r="V217" s="33">
        <f t="shared" si="49"/>
        <v>3.2920837401988479</v>
      </c>
      <c r="W217">
        <v>228.634841918945</v>
      </c>
      <c r="X217" s="90">
        <f t="shared" si="50"/>
        <v>18.722534180000139</v>
      </c>
    </row>
    <row r="218" spans="1:24" x14ac:dyDescent="0.25">
      <c r="A218" s="8">
        <v>42438.958333333336</v>
      </c>
      <c r="B218" s="40">
        <f t="shared" si="42"/>
        <v>23</v>
      </c>
      <c r="C218" s="87">
        <v>55.470539093017599</v>
      </c>
      <c r="D218" s="85">
        <f t="shared" si="43"/>
        <v>0</v>
      </c>
      <c r="E218">
        <v>81.812744140625</v>
      </c>
      <c r="F218" s="85">
        <f t="shared" si="44"/>
        <v>0</v>
      </c>
      <c r="G218">
        <v>168.14692687988301</v>
      </c>
      <c r="H218" s="86">
        <f t="shared" si="45"/>
        <v>11.352539061988409</v>
      </c>
      <c r="I218">
        <v>127.881790161133</v>
      </c>
      <c r="J218" s="86">
        <f t="shared" si="46"/>
        <v>9.9563598629970329</v>
      </c>
      <c r="K218">
        <v>192.49548339843801</v>
      </c>
      <c r="L218" s="86">
        <f t="shared" si="47"/>
        <v>15.365600584999584</v>
      </c>
      <c r="M218">
        <v>219.33985900878901</v>
      </c>
      <c r="N218" s="86">
        <f t="shared" si="48"/>
        <v>15.33508300798303</v>
      </c>
      <c r="O218">
        <v>1496.13598632813</v>
      </c>
      <c r="P218" s="40">
        <f t="shared" si="39"/>
        <v>111.328125</v>
      </c>
      <c r="Q218">
        <v>1127.2802734375</v>
      </c>
      <c r="R218" s="40">
        <f t="shared" si="40"/>
        <v>0.73242188000222086</v>
      </c>
      <c r="S218">
        <v>2762.68701171875</v>
      </c>
      <c r="T218" s="40">
        <f t="shared" si="41"/>
        <v>0.73242188000222086</v>
      </c>
      <c r="U218">
        <v>34.227939605712898</v>
      </c>
      <c r="V218" s="33">
        <f t="shared" si="49"/>
        <v>3.1890869141051326</v>
      </c>
      <c r="W218">
        <v>228.653564453125</v>
      </c>
      <c r="X218" s="90">
        <f t="shared" si="50"/>
        <v>16.479492188011591</v>
      </c>
    </row>
    <row r="219" spans="1:24" x14ac:dyDescent="0.25">
      <c r="A219" s="8">
        <v>42439</v>
      </c>
      <c r="B219" s="40">
        <f t="shared" si="42"/>
        <v>0</v>
      </c>
      <c r="C219" s="87">
        <v>55.470539093017599</v>
      </c>
      <c r="D219" s="85">
        <f t="shared" si="43"/>
        <v>0</v>
      </c>
      <c r="E219">
        <v>81.812744140625</v>
      </c>
      <c r="F219" s="85">
        <f t="shared" si="44"/>
        <v>0</v>
      </c>
      <c r="G219">
        <v>168.158279418945</v>
      </c>
      <c r="H219" s="86">
        <f t="shared" si="45"/>
        <v>11.367797851988826</v>
      </c>
      <c r="I219">
        <v>127.89174652099599</v>
      </c>
      <c r="J219" s="86">
        <f t="shared" si="46"/>
        <v>9.9792480470028977</v>
      </c>
      <c r="K219">
        <v>192.51084899902301</v>
      </c>
      <c r="L219" s="86">
        <f t="shared" si="47"/>
        <v>15.304565430000139</v>
      </c>
      <c r="M219">
        <v>219.35519409179699</v>
      </c>
      <c r="N219" s="86">
        <f t="shared" si="48"/>
        <v>15.289306641022904</v>
      </c>
      <c r="O219">
        <v>1496.24731445313</v>
      </c>
      <c r="P219" s="40">
        <f t="shared" si="39"/>
        <v>110.96191405999889</v>
      </c>
      <c r="Q219">
        <v>1127.28100585938</v>
      </c>
      <c r="R219" s="40">
        <f t="shared" si="40"/>
        <v>0.73242186999777914</v>
      </c>
      <c r="S219">
        <v>2762.68774414063</v>
      </c>
      <c r="T219" s="40">
        <f t="shared" si="41"/>
        <v>0.9765625</v>
      </c>
      <c r="U219">
        <v>34.231128692627003</v>
      </c>
      <c r="V219" s="33">
        <f t="shared" si="49"/>
        <v>3.2119750975994066</v>
      </c>
      <c r="W219">
        <v>228.67004394531301</v>
      </c>
      <c r="X219" s="90">
        <f t="shared" si="50"/>
        <v>17.166137694999861</v>
      </c>
    </row>
    <row r="220" spans="1:24" x14ac:dyDescent="0.25">
      <c r="A220" s="8">
        <v>42439.041666666664</v>
      </c>
      <c r="B220" s="40">
        <f t="shared" si="42"/>
        <v>1</v>
      </c>
      <c r="C220" s="87">
        <v>55.470539093017599</v>
      </c>
      <c r="D220" s="85">
        <f t="shared" si="43"/>
        <v>0</v>
      </c>
      <c r="E220">
        <v>81.812744140625</v>
      </c>
      <c r="F220" s="85">
        <f t="shared" si="44"/>
        <v>0</v>
      </c>
      <c r="G220">
        <v>168.16964721679699</v>
      </c>
      <c r="H220" s="86">
        <f t="shared" si="45"/>
        <v>11.367797851022488</v>
      </c>
      <c r="I220">
        <v>127.901725769043</v>
      </c>
      <c r="J220" s="86">
        <f t="shared" si="46"/>
        <v>9.8724365229969635</v>
      </c>
      <c r="K220">
        <v>192.52615356445301</v>
      </c>
      <c r="L220" s="86">
        <f t="shared" si="47"/>
        <v>15.33508300798303</v>
      </c>
      <c r="M220">
        <v>219.37048339843801</v>
      </c>
      <c r="N220" s="86">
        <f t="shared" si="48"/>
        <v>15.319824217982614</v>
      </c>
      <c r="O220">
        <v>1496.35827636719</v>
      </c>
      <c r="P220" s="40">
        <f t="shared" si="39"/>
        <v>109.86328125</v>
      </c>
      <c r="Q220">
        <v>1127.28173828125</v>
      </c>
      <c r="R220" s="40">
        <f t="shared" si="40"/>
        <v>0.73242188000222086</v>
      </c>
      <c r="S220">
        <v>2762.68872070313</v>
      </c>
      <c r="T220" s="40">
        <f t="shared" si="41"/>
        <v>0.48828125</v>
      </c>
      <c r="U220">
        <v>34.234340667724602</v>
      </c>
      <c r="V220" s="33">
        <f t="shared" si="49"/>
        <v>3.0822753905965783</v>
      </c>
      <c r="W220">
        <v>228.68721008300801</v>
      </c>
      <c r="X220" s="90">
        <f t="shared" si="50"/>
        <v>16.860961913977235</v>
      </c>
    </row>
    <row r="221" spans="1:24" x14ac:dyDescent="0.25">
      <c r="A221" s="8">
        <v>42439.083333333336</v>
      </c>
      <c r="B221" s="40">
        <f t="shared" si="42"/>
        <v>2</v>
      </c>
      <c r="C221" s="87">
        <v>55.470539093017599</v>
      </c>
      <c r="D221" s="85">
        <f t="shared" si="43"/>
        <v>0</v>
      </c>
      <c r="E221">
        <v>81.812744140625</v>
      </c>
      <c r="F221" s="85">
        <f t="shared" si="44"/>
        <v>0</v>
      </c>
      <c r="G221">
        <v>168.18101501464801</v>
      </c>
      <c r="H221" s="86">
        <f t="shared" si="45"/>
        <v>11.260986328977651</v>
      </c>
      <c r="I221">
        <v>127.91159820556599</v>
      </c>
      <c r="J221" s="86">
        <f t="shared" si="46"/>
        <v>9.9792480470028977</v>
      </c>
      <c r="K221">
        <v>192.54148864746099</v>
      </c>
      <c r="L221" s="86">
        <f t="shared" si="47"/>
        <v>15.304565430000139</v>
      </c>
      <c r="M221">
        <v>219.38580322265599</v>
      </c>
      <c r="N221" s="86">
        <f t="shared" si="48"/>
        <v>15.274047852017247</v>
      </c>
      <c r="O221">
        <v>1496.46813964844</v>
      </c>
      <c r="P221" s="40">
        <f t="shared" si="39"/>
        <v>111.20605469000111</v>
      </c>
      <c r="Q221">
        <v>1127.28247070313</v>
      </c>
      <c r="R221" s="40">
        <f t="shared" si="40"/>
        <v>0.85449217999666871</v>
      </c>
      <c r="S221">
        <v>2762.68920898438</v>
      </c>
      <c r="T221" s="40">
        <f t="shared" si="41"/>
        <v>0.9765625</v>
      </c>
      <c r="U221">
        <v>34.237422943115199</v>
      </c>
      <c r="V221" s="33">
        <f t="shared" si="49"/>
        <v>3.0899047851988826</v>
      </c>
      <c r="W221">
        <v>228.70407104492199</v>
      </c>
      <c r="X221" s="90">
        <f t="shared" si="50"/>
        <v>14.572143555000139</v>
      </c>
    </row>
    <row r="222" spans="1:24" x14ac:dyDescent="0.25">
      <c r="A222" s="8">
        <v>42439.125</v>
      </c>
      <c r="B222" s="40">
        <f t="shared" si="42"/>
        <v>3</v>
      </c>
      <c r="C222" s="87">
        <v>55.470539093017599</v>
      </c>
      <c r="D222" s="85">
        <f t="shared" si="43"/>
        <v>0</v>
      </c>
      <c r="E222">
        <v>81.812744140625</v>
      </c>
      <c r="F222" s="85">
        <f t="shared" si="44"/>
        <v>0</v>
      </c>
      <c r="G222">
        <v>168.19227600097699</v>
      </c>
      <c r="H222" s="86">
        <f t="shared" si="45"/>
        <v>11.444091796022349</v>
      </c>
      <c r="I222">
        <v>127.921577453613</v>
      </c>
      <c r="J222" s="86">
        <f t="shared" si="46"/>
        <v>9.9868774420031059</v>
      </c>
      <c r="K222">
        <v>192.55679321289099</v>
      </c>
      <c r="L222" s="86">
        <f t="shared" si="47"/>
        <v>15.045166014999722</v>
      </c>
      <c r="M222">
        <v>219.40107727050801</v>
      </c>
      <c r="N222" s="86">
        <f t="shared" si="48"/>
        <v>15.121459960994343</v>
      </c>
      <c r="O222">
        <v>1496.57934570313</v>
      </c>
      <c r="P222" s="40">
        <f t="shared" si="39"/>
        <v>111.57226561999778</v>
      </c>
      <c r="Q222">
        <v>1127.28332519531</v>
      </c>
      <c r="R222" s="40">
        <f t="shared" si="40"/>
        <v>0.85449219000111043</v>
      </c>
      <c r="S222">
        <v>2762.69018554688</v>
      </c>
      <c r="T222" s="40">
        <f t="shared" si="41"/>
        <v>0.61035156022626325</v>
      </c>
      <c r="U222">
        <v>34.240512847900398</v>
      </c>
      <c r="V222" s="33">
        <f t="shared" si="49"/>
        <v>3.1471252441050979</v>
      </c>
      <c r="W222">
        <v>228.71864318847699</v>
      </c>
      <c r="X222" s="90">
        <f t="shared" si="50"/>
        <v>11.917114257016692</v>
      </c>
    </row>
    <row r="223" spans="1:24" x14ac:dyDescent="0.25">
      <c r="A223" s="8">
        <v>42439.166666666664</v>
      </c>
      <c r="B223" s="40">
        <f t="shared" si="42"/>
        <v>4</v>
      </c>
      <c r="C223" s="87">
        <v>55.470539093017599</v>
      </c>
      <c r="D223" s="85">
        <f t="shared" si="43"/>
        <v>0</v>
      </c>
      <c r="E223">
        <v>81.812744140625</v>
      </c>
      <c r="F223" s="85">
        <f t="shared" si="44"/>
        <v>0</v>
      </c>
      <c r="G223">
        <v>168.20372009277301</v>
      </c>
      <c r="H223" s="86">
        <f t="shared" si="45"/>
        <v>11.337280273977512</v>
      </c>
      <c r="I223">
        <v>127.931564331055</v>
      </c>
      <c r="J223" s="86">
        <f t="shared" si="46"/>
        <v>9.9563598629970329</v>
      </c>
      <c r="K223">
        <v>192.57183837890599</v>
      </c>
      <c r="L223" s="86">
        <f t="shared" si="47"/>
        <v>15.319824219005795</v>
      </c>
      <c r="M223">
        <v>219.41619873046901</v>
      </c>
      <c r="N223" s="86">
        <f t="shared" si="48"/>
        <v>15.289306639999722</v>
      </c>
      <c r="O223">
        <v>1496.69091796875</v>
      </c>
      <c r="P223" s="40">
        <f t="shared" si="39"/>
        <v>112.3046875</v>
      </c>
      <c r="Q223">
        <v>1127.2841796875</v>
      </c>
      <c r="R223" s="40">
        <f t="shared" si="40"/>
        <v>0.73242188000222086</v>
      </c>
      <c r="S223">
        <f>+S222+(S224-S222)/2</f>
        <v>2762.6907958984402</v>
      </c>
      <c r="T223" s="40">
        <f t="shared" si="41"/>
        <v>0.61035155977151589</v>
      </c>
      <c r="U223">
        <v>34.243659973144503</v>
      </c>
      <c r="V223" s="33">
        <f t="shared" si="49"/>
        <v>3.2691955566974684</v>
      </c>
      <c r="W223">
        <v>228.73056030273401</v>
      </c>
      <c r="X223" s="90">
        <f t="shared" si="50"/>
        <v>11.032104492983308</v>
      </c>
    </row>
    <row r="224" spans="1:24" x14ac:dyDescent="0.25">
      <c r="A224" s="8">
        <v>42439.208333333336</v>
      </c>
      <c r="B224" s="40">
        <f t="shared" si="42"/>
        <v>5</v>
      </c>
      <c r="C224" s="87">
        <v>55.470539093017599</v>
      </c>
      <c r="D224" s="85">
        <f t="shared" si="43"/>
        <v>0</v>
      </c>
      <c r="E224">
        <v>81.812744140625</v>
      </c>
      <c r="F224" s="85">
        <f t="shared" si="44"/>
        <v>0</v>
      </c>
      <c r="G224">
        <v>168.21505737304699</v>
      </c>
      <c r="H224" s="86">
        <f t="shared" si="45"/>
        <v>11.154174805000139</v>
      </c>
      <c r="I224">
        <v>127.941520690918</v>
      </c>
      <c r="J224" s="86">
        <f t="shared" si="46"/>
        <v>9.9487304690057954</v>
      </c>
      <c r="K224">
        <v>192.587158203125</v>
      </c>
      <c r="L224" s="86">
        <f t="shared" si="47"/>
        <v>15.289306640994482</v>
      </c>
      <c r="M224">
        <v>219.43148803710901</v>
      </c>
      <c r="N224" s="86">
        <f t="shared" si="48"/>
        <v>15.274047851988826</v>
      </c>
      <c r="O224">
        <v>1496.80322265625</v>
      </c>
      <c r="P224" s="40">
        <f t="shared" si="39"/>
        <v>109.98535155999889</v>
      </c>
      <c r="Q224">
        <v>1127.28491210938</v>
      </c>
      <c r="R224" s="40">
        <f t="shared" si="40"/>
        <v>0.73242186999777914</v>
      </c>
      <c r="S224">
        <v>2762.69140625</v>
      </c>
      <c r="T224" s="40">
        <f t="shared" si="41"/>
        <v>0.9765625</v>
      </c>
      <c r="U224">
        <v>34.2469291687012</v>
      </c>
      <c r="V224" s="33">
        <f t="shared" si="49"/>
        <v>3.2196044922017109</v>
      </c>
      <c r="W224">
        <v>228.74159240722699</v>
      </c>
      <c r="X224" s="90">
        <f t="shared" si="50"/>
        <v>12.405395507016692</v>
      </c>
    </row>
    <row r="225" spans="1:24" x14ac:dyDescent="0.25">
      <c r="A225" s="8">
        <v>42439.25</v>
      </c>
      <c r="B225" s="40">
        <f t="shared" si="42"/>
        <v>6</v>
      </c>
      <c r="C225" s="87">
        <v>55.470539093017599</v>
      </c>
      <c r="D225" s="85">
        <f t="shared" si="43"/>
        <v>0</v>
      </c>
      <c r="E225">
        <v>81.812744140625</v>
      </c>
      <c r="F225" s="85">
        <f t="shared" si="44"/>
        <v>0</v>
      </c>
      <c r="G225">
        <v>168.22621154785199</v>
      </c>
      <c r="H225" s="86">
        <f t="shared" si="45"/>
        <v>11.352539062016831</v>
      </c>
      <c r="I225">
        <v>127.951469421387</v>
      </c>
      <c r="J225" s="86">
        <f t="shared" si="46"/>
        <v>9.9639892579972411</v>
      </c>
      <c r="K225">
        <v>192.60244750976599</v>
      </c>
      <c r="L225" s="86">
        <f t="shared" si="47"/>
        <v>15.350341797017109</v>
      </c>
      <c r="M225">
        <v>219.44676208496099</v>
      </c>
      <c r="N225" s="86">
        <f t="shared" si="48"/>
        <v>15.304565430000139</v>
      </c>
      <c r="O225">
        <v>1496.91320800781</v>
      </c>
      <c r="P225" s="40">
        <f t="shared" si="39"/>
        <v>110.83984375</v>
      </c>
      <c r="Q225">
        <v>1127.28564453125</v>
      </c>
      <c r="R225" s="40">
        <f t="shared" si="40"/>
        <v>0.73242188000222086</v>
      </c>
      <c r="S225">
        <v>2762.6923828125</v>
      </c>
      <c r="T225" s="40">
        <f t="shared" si="41"/>
        <v>0.73242188000222086</v>
      </c>
      <c r="U225">
        <v>34.250148773193402</v>
      </c>
      <c r="V225" s="33">
        <f t="shared" si="49"/>
        <v>3.2997131346945707</v>
      </c>
      <c r="W225">
        <v>228.75399780273401</v>
      </c>
      <c r="X225" s="90">
        <f t="shared" si="50"/>
        <v>12.496948242983308</v>
      </c>
    </row>
    <row r="226" spans="1:24" x14ac:dyDescent="0.25">
      <c r="A226" s="8">
        <v>42439.291666666664</v>
      </c>
      <c r="B226" s="40">
        <f t="shared" si="42"/>
        <v>7</v>
      </c>
      <c r="C226" s="87">
        <v>55.470539093017599</v>
      </c>
      <c r="D226" s="85">
        <f t="shared" si="43"/>
        <v>0</v>
      </c>
      <c r="E226">
        <v>81.812744140625</v>
      </c>
      <c r="F226" s="85">
        <f t="shared" si="44"/>
        <v>0</v>
      </c>
      <c r="G226">
        <v>168.23756408691401</v>
      </c>
      <c r="H226" s="86">
        <f t="shared" si="45"/>
        <v>11.306762694999861</v>
      </c>
      <c r="I226">
        <v>127.961433410645</v>
      </c>
      <c r="J226" s="86">
        <f t="shared" si="46"/>
        <v>9.7808837890056566</v>
      </c>
      <c r="K226">
        <v>192.61779785156301</v>
      </c>
      <c r="L226" s="86">
        <f t="shared" si="47"/>
        <v>15.365600584999584</v>
      </c>
      <c r="M226">
        <v>219.46206665039099</v>
      </c>
      <c r="N226" s="86">
        <f t="shared" si="48"/>
        <v>15.090942382016692</v>
      </c>
      <c r="O226">
        <v>1497.02404785156</v>
      </c>
      <c r="P226" s="40">
        <f t="shared" si="39"/>
        <v>111.45019532000333</v>
      </c>
      <c r="Q226">
        <v>1127.28637695313</v>
      </c>
      <c r="R226" s="40">
        <f t="shared" si="40"/>
        <v>0.73242186999777914</v>
      </c>
      <c r="S226">
        <v>2762.69311523438</v>
      </c>
      <c r="T226" s="40">
        <f t="shared" si="41"/>
        <v>0.73242186999777914</v>
      </c>
      <c r="U226">
        <v>34.253448486328097</v>
      </c>
      <c r="V226" s="33">
        <f t="shared" si="49"/>
        <v>3.3721923828053946</v>
      </c>
      <c r="W226">
        <v>228.76649475097699</v>
      </c>
      <c r="X226" s="90">
        <f t="shared" si="50"/>
        <v>13.504028319999861</v>
      </c>
    </row>
    <row r="227" spans="1:24" x14ac:dyDescent="0.25">
      <c r="A227" s="8">
        <v>42439.333333333336</v>
      </c>
      <c r="B227" s="40">
        <f t="shared" si="42"/>
        <v>8</v>
      </c>
      <c r="C227" s="87">
        <v>55.470539093017599</v>
      </c>
      <c r="D227" s="85">
        <f t="shared" si="43"/>
        <v>0</v>
      </c>
      <c r="E227">
        <v>81.812744140625</v>
      </c>
      <c r="F227" s="85">
        <f t="shared" si="44"/>
        <v>0</v>
      </c>
      <c r="G227">
        <v>168.24887084960901</v>
      </c>
      <c r="H227" s="86">
        <f t="shared" si="45"/>
        <v>11.337280274005934</v>
      </c>
      <c r="I227">
        <v>127.97121429443401</v>
      </c>
      <c r="J227" s="86">
        <f t="shared" si="46"/>
        <v>9.9029541009940658</v>
      </c>
      <c r="K227">
        <v>192.63316345214801</v>
      </c>
      <c r="L227" s="86">
        <f t="shared" si="47"/>
        <v>15.151977540000416</v>
      </c>
      <c r="M227">
        <v>219.47715759277301</v>
      </c>
      <c r="N227" s="86">
        <f t="shared" si="48"/>
        <v>15.274047851988826</v>
      </c>
      <c r="O227">
        <v>1497.13549804688</v>
      </c>
      <c r="P227" s="40">
        <f t="shared" si="39"/>
        <v>111.81640625</v>
      </c>
      <c r="Q227">
        <v>1127.287109375</v>
      </c>
      <c r="R227" s="40">
        <f t="shared" si="40"/>
        <v>0.73242188000222086</v>
      </c>
      <c r="S227">
        <v>2762.69384765625</v>
      </c>
      <c r="T227" s="40">
        <f t="shared" si="41"/>
        <v>0.9765625</v>
      </c>
      <c r="U227">
        <v>34.256820678710902</v>
      </c>
      <c r="V227" s="33">
        <f t="shared" si="49"/>
        <v>3.5400390625</v>
      </c>
      <c r="W227">
        <v>228.77999877929699</v>
      </c>
      <c r="X227" s="90">
        <f t="shared" si="50"/>
        <v>13.046264648011174</v>
      </c>
    </row>
    <row r="228" spans="1:24" x14ac:dyDescent="0.25">
      <c r="A228" s="8">
        <v>42439.375</v>
      </c>
      <c r="B228" s="40">
        <f t="shared" si="42"/>
        <v>9</v>
      </c>
      <c r="C228" s="87">
        <v>55.470539093017599</v>
      </c>
      <c r="D228" s="85">
        <f t="shared" si="43"/>
        <v>0</v>
      </c>
      <c r="E228">
        <v>81.812744140625</v>
      </c>
      <c r="F228" s="85">
        <f t="shared" si="44"/>
        <v>0</v>
      </c>
      <c r="G228">
        <v>168.26020812988301</v>
      </c>
      <c r="H228" s="86">
        <f t="shared" si="45"/>
        <v>11.306762694999861</v>
      </c>
      <c r="I228">
        <v>127.981117248535</v>
      </c>
      <c r="J228" s="86">
        <f t="shared" si="46"/>
        <v>9.9258422849999306</v>
      </c>
      <c r="K228">
        <v>192.64831542968801</v>
      </c>
      <c r="L228" s="86">
        <f t="shared" si="47"/>
        <v>15.274047850994066</v>
      </c>
      <c r="M228">
        <v>219.492431640625</v>
      </c>
      <c r="N228" s="86">
        <f t="shared" si="48"/>
        <v>15.289306640994482</v>
      </c>
      <c r="O228">
        <v>1497.24731445313</v>
      </c>
      <c r="P228" s="40">
        <f t="shared" si="39"/>
        <v>110.22949217999667</v>
      </c>
      <c r="Q228">
        <v>1127.28784179688</v>
      </c>
      <c r="R228" s="40">
        <f t="shared" si="40"/>
        <v>0.73242186999777914</v>
      </c>
      <c r="S228">
        <v>2762.69482421875</v>
      </c>
      <c r="T228" s="40">
        <f t="shared" si="41"/>
        <v>0.48828125</v>
      </c>
      <c r="U228">
        <v>34.260360717773402</v>
      </c>
      <c r="V228" s="33">
        <f t="shared" si="49"/>
        <v>3.5171508788991446</v>
      </c>
      <c r="W228">
        <v>228.793045043945</v>
      </c>
      <c r="X228" s="90">
        <f t="shared" si="50"/>
        <v>13.18359375</v>
      </c>
    </row>
    <row r="229" spans="1:24" x14ac:dyDescent="0.25">
      <c r="A229" s="8">
        <v>42439.416666666664</v>
      </c>
      <c r="B229" s="40">
        <f t="shared" si="42"/>
        <v>10</v>
      </c>
      <c r="C229" s="87">
        <v>55.470539093017599</v>
      </c>
      <c r="D229" s="85">
        <f t="shared" si="43"/>
        <v>0</v>
      </c>
      <c r="E229">
        <v>81.812744140625</v>
      </c>
      <c r="F229" s="85">
        <f t="shared" si="44"/>
        <v>0</v>
      </c>
      <c r="G229">
        <v>168.27151489257801</v>
      </c>
      <c r="H229" s="86">
        <f t="shared" si="45"/>
        <v>11.276245116988548</v>
      </c>
      <c r="I229">
        <v>127.99104309082</v>
      </c>
      <c r="J229" s="86">
        <f t="shared" si="46"/>
        <v>9.8876953130115908</v>
      </c>
      <c r="K229">
        <v>192.66358947753901</v>
      </c>
      <c r="L229" s="86">
        <f t="shared" si="47"/>
        <v>15.319824219005795</v>
      </c>
      <c r="M229">
        <v>219.50772094726599</v>
      </c>
      <c r="N229" s="86">
        <f t="shared" si="48"/>
        <v>15.075683593011036</v>
      </c>
      <c r="O229">
        <v>1497.35754394531</v>
      </c>
      <c r="P229" s="40">
        <f t="shared" si="39"/>
        <v>109.86328125</v>
      </c>
      <c r="Q229">
        <v>1127.28857421875</v>
      </c>
      <c r="R229" s="40">
        <f t="shared" si="40"/>
        <v>0.9765625</v>
      </c>
      <c r="S229">
        <v>2762.6953125</v>
      </c>
      <c r="T229" s="40">
        <f t="shared" si="41"/>
        <v>0.9765625</v>
      </c>
      <c r="U229">
        <v>34.263877868652301</v>
      </c>
      <c r="V229" s="33">
        <f t="shared" si="49"/>
        <v>3.3607482911008901</v>
      </c>
      <c r="W229">
        <v>228.806228637695</v>
      </c>
      <c r="X229" s="90">
        <f t="shared" si="50"/>
        <v>16.128540039005657</v>
      </c>
    </row>
    <row r="230" spans="1:24" x14ac:dyDescent="0.25">
      <c r="A230" s="8">
        <v>42439.458333333336</v>
      </c>
      <c r="B230" s="40">
        <f t="shared" si="42"/>
        <v>11</v>
      </c>
      <c r="C230" s="87">
        <v>55.470539093017599</v>
      </c>
      <c r="D230" s="85">
        <f t="shared" si="43"/>
        <v>0</v>
      </c>
      <c r="E230">
        <v>81.812744140625</v>
      </c>
      <c r="F230" s="85">
        <f t="shared" si="44"/>
        <v>0</v>
      </c>
      <c r="G230">
        <v>168.282791137695</v>
      </c>
      <c r="H230" s="86">
        <f t="shared" si="45"/>
        <v>11.047363281988964</v>
      </c>
      <c r="I230">
        <v>128.00093078613301</v>
      </c>
      <c r="J230" s="86">
        <f t="shared" si="46"/>
        <v>9.6740722649997224</v>
      </c>
      <c r="K230">
        <v>192.67890930175801</v>
      </c>
      <c r="L230" s="86">
        <f t="shared" si="47"/>
        <v>15.167236327982891</v>
      </c>
      <c r="M230">
        <v>219.52279663085901</v>
      </c>
      <c r="N230" s="86">
        <f t="shared" si="48"/>
        <v>15.487670899005934</v>
      </c>
      <c r="O230">
        <v>1497.46740722656</v>
      </c>
      <c r="P230" s="40">
        <f t="shared" si="39"/>
        <v>108.64257813000222</v>
      </c>
      <c r="Q230">
        <v>1127.28955078125</v>
      </c>
      <c r="R230" s="40">
        <f t="shared" si="40"/>
        <v>0.61035155999888957</v>
      </c>
      <c r="S230">
        <v>2762.6962890625</v>
      </c>
      <c r="T230" s="40">
        <f t="shared" si="41"/>
        <v>0.73242188000222086</v>
      </c>
      <c r="U230">
        <v>34.267238616943402</v>
      </c>
      <c r="V230" s="33">
        <f t="shared" si="49"/>
        <v>3.2119750975994066</v>
      </c>
      <c r="W230">
        <v>228.82235717773401</v>
      </c>
      <c r="X230" s="90">
        <f t="shared" si="50"/>
        <v>16.143798829006073</v>
      </c>
    </row>
    <row r="231" spans="1:24" x14ac:dyDescent="0.25">
      <c r="A231" s="8">
        <v>42439.5</v>
      </c>
      <c r="B231" s="40">
        <f t="shared" si="42"/>
        <v>12</v>
      </c>
      <c r="C231" s="87">
        <v>55.470539093017599</v>
      </c>
      <c r="D231" s="85">
        <f t="shared" si="43"/>
        <v>0</v>
      </c>
      <c r="E231">
        <v>81.812744140625</v>
      </c>
      <c r="F231" s="85">
        <f t="shared" si="44"/>
        <v>0</v>
      </c>
      <c r="G231">
        <v>168.29383850097699</v>
      </c>
      <c r="H231" s="86">
        <f t="shared" si="45"/>
        <v>11.245727539005657</v>
      </c>
      <c r="I231">
        <v>128.01060485839801</v>
      </c>
      <c r="J231" s="86">
        <f t="shared" si="46"/>
        <v>9.8571777350002776</v>
      </c>
      <c r="K231">
        <v>192.69407653808599</v>
      </c>
      <c r="L231" s="86">
        <f t="shared" si="47"/>
        <v>15.243530273011174</v>
      </c>
      <c r="M231">
        <v>219.53828430175801</v>
      </c>
      <c r="N231" s="86">
        <f t="shared" si="48"/>
        <v>14.953613280994205</v>
      </c>
      <c r="O231">
        <v>1497.57604980469</v>
      </c>
      <c r="P231" s="40">
        <f t="shared" si="39"/>
        <v>92.89550780999889</v>
      </c>
      <c r="Q231">
        <v>1127.29016113281</v>
      </c>
      <c r="R231" s="40">
        <f t="shared" si="40"/>
        <v>0.73242188000222086</v>
      </c>
      <c r="S231">
        <v>2762.69702148438</v>
      </c>
      <c r="T231" s="40">
        <f t="shared" si="41"/>
        <v>0.48828125</v>
      </c>
      <c r="U231">
        <v>34.270450592041001</v>
      </c>
      <c r="V231" s="33">
        <f t="shared" si="49"/>
        <v>3.1394958495951641</v>
      </c>
      <c r="W231">
        <v>228.83850097656301</v>
      </c>
      <c r="X231" s="90">
        <f t="shared" si="50"/>
        <v>16.708374022982753</v>
      </c>
    </row>
    <row r="232" spans="1:24" x14ac:dyDescent="0.25">
      <c r="A232" s="8">
        <v>42439.541666666664</v>
      </c>
      <c r="B232" s="40">
        <f t="shared" si="42"/>
        <v>13</v>
      </c>
      <c r="C232" s="87">
        <v>55.470539093017599</v>
      </c>
      <c r="D232" s="85">
        <f t="shared" si="43"/>
        <v>0</v>
      </c>
      <c r="E232">
        <v>81.812744140625</v>
      </c>
      <c r="F232" s="85">
        <f t="shared" si="44"/>
        <v>0</v>
      </c>
      <c r="G232">
        <v>168.30508422851599</v>
      </c>
      <c r="H232" s="86">
        <f t="shared" si="45"/>
        <v>11.23046875</v>
      </c>
      <c r="I232">
        <v>128.02046203613301</v>
      </c>
      <c r="J232" s="86">
        <f t="shared" si="46"/>
        <v>9.9029541009940658</v>
      </c>
      <c r="K232">
        <v>192.70932006835901</v>
      </c>
      <c r="L232" s="86">
        <f t="shared" si="47"/>
        <v>15.243530274005934</v>
      </c>
      <c r="M232">
        <v>219.55323791503901</v>
      </c>
      <c r="N232" s="86">
        <f t="shared" si="48"/>
        <v>15.350341796988687</v>
      </c>
      <c r="O232">
        <v>1497.6689453125</v>
      </c>
      <c r="P232" s="40">
        <f t="shared" si="39"/>
        <v>112.67089844000111</v>
      </c>
      <c r="Q232">
        <v>1127.29089355469</v>
      </c>
      <c r="R232" s="40">
        <f t="shared" si="40"/>
        <v>0.73242186999777914</v>
      </c>
      <c r="S232">
        <v>2762.69750976563</v>
      </c>
      <c r="T232" s="40">
        <f t="shared" si="41"/>
        <v>0.73242186999777914</v>
      </c>
      <c r="U232">
        <v>34.273590087890597</v>
      </c>
      <c r="V232" s="33">
        <f t="shared" si="49"/>
        <v>3.3988952637002967</v>
      </c>
      <c r="W232">
        <v>228.85520935058599</v>
      </c>
      <c r="X232" s="90">
        <f t="shared" si="50"/>
        <v>19.561767578011313</v>
      </c>
    </row>
    <row r="233" spans="1:24" x14ac:dyDescent="0.25">
      <c r="A233" s="8">
        <v>42439.583333333336</v>
      </c>
      <c r="B233" s="40">
        <f t="shared" si="42"/>
        <v>14</v>
      </c>
      <c r="C233" s="87">
        <v>55.470539093017599</v>
      </c>
      <c r="D233" s="85">
        <f t="shared" si="43"/>
        <v>0</v>
      </c>
      <c r="E233">
        <v>81.812744140625</v>
      </c>
      <c r="F233" s="85">
        <f t="shared" si="44"/>
        <v>0</v>
      </c>
      <c r="G233">
        <v>168.31631469726599</v>
      </c>
      <c r="H233" s="86">
        <f t="shared" si="45"/>
        <v>11.245727539005657</v>
      </c>
      <c r="I233">
        <v>128.03036499023401</v>
      </c>
      <c r="J233" s="86">
        <f t="shared" si="46"/>
        <v>9.9029541019888256</v>
      </c>
      <c r="K233">
        <v>192.72456359863301</v>
      </c>
      <c r="L233" s="86">
        <f t="shared" si="47"/>
        <v>15.197753905994205</v>
      </c>
      <c r="M233">
        <v>219.56858825683599</v>
      </c>
      <c r="N233" s="86">
        <f t="shared" si="48"/>
        <v>15.213012694999861</v>
      </c>
      <c r="O233">
        <v>1497.78161621094</v>
      </c>
      <c r="P233" s="40">
        <f t="shared" si="39"/>
        <v>110.3515625</v>
      </c>
      <c r="Q233">
        <v>1127.29162597656</v>
      </c>
      <c r="R233" s="40">
        <f t="shared" si="40"/>
        <v>0.73242188000222086</v>
      </c>
      <c r="S233">
        <v>2762.6982421875</v>
      </c>
      <c r="T233" s="40">
        <f t="shared" si="41"/>
        <v>0.9765625</v>
      </c>
      <c r="U233">
        <v>34.276988983154297</v>
      </c>
      <c r="V233" s="33">
        <f t="shared" si="49"/>
        <v>3.4523010254048359</v>
      </c>
      <c r="W233">
        <v>228.87477111816401</v>
      </c>
      <c r="X233" s="90">
        <f t="shared" si="50"/>
        <v>19.546508789005657</v>
      </c>
    </row>
    <row r="234" spans="1:24" x14ac:dyDescent="0.25">
      <c r="A234" s="8">
        <v>42439.625</v>
      </c>
      <c r="B234" s="40">
        <f t="shared" si="42"/>
        <v>15</v>
      </c>
      <c r="C234" s="87">
        <v>55.470539093017599</v>
      </c>
      <c r="D234" s="85">
        <f t="shared" si="43"/>
        <v>0</v>
      </c>
      <c r="E234">
        <v>81.812744140625</v>
      </c>
      <c r="F234" s="85">
        <f t="shared" si="44"/>
        <v>0</v>
      </c>
      <c r="G234">
        <v>168.327560424805</v>
      </c>
      <c r="H234" s="86">
        <f t="shared" si="45"/>
        <v>11.245727539005657</v>
      </c>
      <c r="I234">
        <v>128.04026794433599</v>
      </c>
      <c r="J234" s="86">
        <f t="shared" si="46"/>
        <v>9.9487304690057954</v>
      </c>
      <c r="K234">
        <v>192.73976135253901</v>
      </c>
      <c r="L234" s="86">
        <f t="shared" si="47"/>
        <v>15.289306640994482</v>
      </c>
      <c r="M234">
        <v>219.58380126953099</v>
      </c>
      <c r="N234" s="86">
        <f t="shared" si="48"/>
        <v>15.13671875</v>
      </c>
      <c r="O234">
        <v>1497.89196777344</v>
      </c>
      <c r="P234" s="40">
        <f t="shared" si="39"/>
        <v>112.42675780999889</v>
      </c>
      <c r="Q234">
        <v>1127.29235839844</v>
      </c>
      <c r="R234" s="40">
        <f t="shared" si="40"/>
        <v>0.85449219000111043</v>
      </c>
      <c r="S234">
        <v>2762.69921875</v>
      </c>
      <c r="T234" s="40">
        <f t="shared" si="41"/>
        <v>0.48828125</v>
      </c>
      <c r="U234">
        <v>34.280441284179702</v>
      </c>
      <c r="V234" s="33">
        <f t="shared" si="49"/>
        <v>3.3607482910014141</v>
      </c>
      <c r="W234">
        <v>228.89431762695301</v>
      </c>
      <c r="X234" s="90">
        <f t="shared" si="50"/>
        <v>19.882202148977512</v>
      </c>
    </row>
    <row r="235" spans="1:24" x14ac:dyDescent="0.25">
      <c r="A235" s="8">
        <v>42439.666666666664</v>
      </c>
      <c r="B235" s="40">
        <f t="shared" si="42"/>
        <v>16</v>
      </c>
      <c r="C235" s="87">
        <v>55.470539093017599</v>
      </c>
      <c r="D235" s="85">
        <f t="shared" si="43"/>
        <v>0</v>
      </c>
      <c r="E235">
        <v>81.812744140625</v>
      </c>
      <c r="F235" s="85">
        <f t="shared" si="44"/>
        <v>0</v>
      </c>
      <c r="G235">
        <v>168.33880615234401</v>
      </c>
      <c r="H235" s="86">
        <f t="shared" si="45"/>
        <v>11.154174804005379</v>
      </c>
      <c r="I235">
        <v>128.050216674805</v>
      </c>
      <c r="J235" s="86">
        <f t="shared" si="46"/>
        <v>9.689331054005379</v>
      </c>
      <c r="K235">
        <v>192.75505065918</v>
      </c>
      <c r="L235" s="86">
        <f t="shared" si="47"/>
        <v>15.228271484005518</v>
      </c>
      <c r="M235">
        <v>219.59893798828099</v>
      </c>
      <c r="N235" s="86">
        <f t="shared" si="48"/>
        <v>15.213012695994621</v>
      </c>
      <c r="O235">
        <v>1498.00439453125</v>
      </c>
      <c r="P235" s="40">
        <f t="shared" si="39"/>
        <v>111.93847655999889</v>
      </c>
      <c r="Q235">
        <v>1127.29321289063</v>
      </c>
      <c r="R235" s="40">
        <f t="shared" si="40"/>
        <v>0.61035155999888957</v>
      </c>
      <c r="S235">
        <v>2762.69970703125</v>
      </c>
      <c r="T235" s="40">
        <f t="shared" si="41"/>
        <v>0.9765625</v>
      </c>
      <c r="U235">
        <v>34.283802032470703</v>
      </c>
      <c r="V235" s="33">
        <f t="shared" si="49"/>
        <v>3.4980773925994413</v>
      </c>
      <c r="W235">
        <v>228.91419982910199</v>
      </c>
      <c r="X235" s="90">
        <f t="shared" si="50"/>
        <v>19.82116699201697</v>
      </c>
    </row>
    <row r="236" spans="1:24" x14ac:dyDescent="0.25">
      <c r="A236" s="8">
        <v>42439.708333333336</v>
      </c>
      <c r="B236" s="40">
        <f t="shared" si="42"/>
        <v>17</v>
      </c>
      <c r="C236" s="87">
        <v>55.470539093017599</v>
      </c>
      <c r="D236" s="85">
        <f t="shared" si="43"/>
        <v>0</v>
      </c>
      <c r="E236">
        <v>81.812744140625</v>
      </c>
      <c r="F236" s="85">
        <f t="shared" si="44"/>
        <v>1.3351440429971717</v>
      </c>
      <c r="G236">
        <v>168.34996032714801</v>
      </c>
      <c r="H236" s="86">
        <f t="shared" si="45"/>
        <v>11.352539062983169</v>
      </c>
      <c r="I236">
        <v>128.05990600585901</v>
      </c>
      <c r="J236" s="86">
        <f t="shared" si="46"/>
        <v>10.131835937983169</v>
      </c>
      <c r="K236">
        <v>192.77027893066401</v>
      </c>
      <c r="L236" s="86">
        <f t="shared" si="47"/>
        <v>15.029907226988826</v>
      </c>
      <c r="M236">
        <v>219.61415100097699</v>
      </c>
      <c r="N236" s="86">
        <f t="shared" si="48"/>
        <v>14.968872069999861</v>
      </c>
      <c r="O236">
        <v>1498.11633300781</v>
      </c>
      <c r="P236" s="40">
        <f t="shared" si="39"/>
        <v>112.3046875</v>
      </c>
      <c r="Q236">
        <v>1127.29382324219</v>
      </c>
      <c r="R236" s="40">
        <f t="shared" si="40"/>
        <v>0.9765625</v>
      </c>
      <c r="S236">
        <v>2762.70068359375</v>
      </c>
      <c r="T236" s="40">
        <f t="shared" si="41"/>
        <v>23.92578125</v>
      </c>
      <c r="U236">
        <v>34.287300109863303</v>
      </c>
      <c r="V236" s="33">
        <f t="shared" si="49"/>
        <v>3.5972595214985859</v>
      </c>
      <c r="W236">
        <v>228.93402099609401</v>
      </c>
      <c r="X236" s="90">
        <f t="shared" si="50"/>
        <v>19.775390625</v>
      </c>
    </row>
    <row r="237" spans="1:24" x14ac:dyDescent="0.25">
      <c r="A237" s="8">
        <v>42439.75</v>
      </c>
      <c r="B237" s="40">
        <f t="shared" si="42"/>
        <v>18</v>
      </c>
      <c r="C237" s="87">
        <v>55.470539093017599</v>
      </c>
      <c r="D237" s="85">
        <f t="shared" si="43"/>
        <v>0</v>
      </c>
      <c r="E237">
        <v>81.814079284667997</v>
      </c>
      <c r="F237" s="85">
        <f t="shared" si="44"/>
        <v>5.5694580077982891</v>
      </c>
      <c r="G237">
        <v>168.36131286621099</v>
      </c>
      <c r="H237" s="86">
        <f t="shared" si="45"/>
        <v>11.76452636701697</v>
      </c>
      <c r="I237">
        <v>128.07003784179699</v>
      </c>
      <c r="J237" s="86">
        <f t="shared" si="46"/>
        <v>10.375976562016831</v>
      </c>
      <c r="K237">
        <v>192.78530883789099</v>
      </c>
      <c r="L237" s="86">
        <f t="shared" si="47"/>
        <v>15.213012694999861</v>
      </c>
      <c r="M237">
        <v>219.62911987304699</v>
      </c>
      <c r="N237" s="86">
        <f t="shared" si="48"/>
        <v>15.121459961022765</v>
      </c>
      <c r="O237">
        <v>1498.22863769531</v>
      </c>
      <c r="P237" s="40">
        <f t="shared" si="39"/>
        <v>112.67089844000111</v>
      </c>
      <c r="Q237">
        <v>1127.29479980469</v>
      </c>
      <c r="R237" s="40">
        <f t="shared" si="40"/>
        <v>0.73242186999777914</v>
      </c>
      <c r="S237">
        <v>2762.724609375</v>
      </c>
      <c r="T237" s="40">
        <f t="shared" si="41"/>
        <v>109.61914063000222</v>
      </c>
      <c r="U237">
        <v>34.290897369384801</v>
      </c>
      <c r="V237" s="33">
        <f t="shared" si="49"/>
        <v>3.3912658690979924</v>
      </c>
      <c r="W237">
        <v>228.95379638671901</v>
      </c>
      <c r="X237" s="90">
        <f t="shared" si="50"/>
        <v>19.653320311988409</v>
      </c>
    </row>
    <row r="238" spans="1:24" x14ac:dyDescent="0.25">
      <c r="A238" s="8">
        <v>42439.791666666664</v>
      </c>
      <c r="B238" s="40">
        <f t="shared" si="42"/>
        <v>19</v>
      </c>
      <c r="C238" s="87">
        <v>55.470539093017599</v>
      </c>
      <c r="D238" s="85">
        <f t="shared" si="43"/>
        <v>0</v>
      </c>
      <c r="E238">
        <v>81.819648742675795</v>
      </c>
      <c r="F238" s="85">
        <f t="shared" si="44"/>
        <v>5.5694580077982891</v>
      </c>
      <c r="G238">
        <v>168.37307739257801</v>
      </c>
      <c r="H238" s="86">
        <f t="shared" si="45"/>
        <v>11.505126952982891</v>
      </c>
      <c r="I238">
        <v>128.08041381835901</v>
      </c>
      <c r="J238" s="86">
        <f t="shared" si="46"/>
        <v>10.162353515994482</v>
      </c>
      <c r="K238">
        <v>192.80052185058599</v>
      </c>
      <c r="L238" s="86">
        <f t="shared" si="47"/>
        <v>15.213012694999861</v>
      </c>
      <c r="M238">
        <v>219.64424133300801</v>
      </c>
      <c r="N238" s="86">
        <f t="shared" si="48"/>
        <v>15.197753905994205</v>
      </c>
      <c r="O238">
        <v>1498.34130859375</v>
      </c>
      <c r="P238" s="40">
        <f t="shared" si="39"/>
        <v>112.3046875</v>
      </c>
      <c r="Q238">
        <v>1127.29553222656</v>
      </c>
      <c r="R238" s="40">
        <f t="shared" si="40"/>
        <v>0.85449219000111043</v>
      </c>
      <c r="S238">
        <v>2762.83422851563</v>
      </c>
      <c r="T238" s="40">
        <f t="shared" si="41"/>
        <v>110.10742186999778</v>
      </c>
      <c r="U238">
        <v>34.294288635253899</v>
      </c>
      <c r="V238" s="33">
        <f t="shared" si="49"/>
        <v>3.4408569336008554</v>
      </c>
      <c r="W238">
        <v>228.97344970703099</v>
      </c>
      <c r="X238" s="90">
        <f t="shared" si="50"/>
        <v>19.348144532017386</v>
      </c>
    </row>
    <row r="239" spans="1:24" x14ac:dyDescent="0.25">
      <c r="A239" s="8">
        <v>42439.833333333336</v>
      </c>
      <c r="B239" s="40">
        <f t="shared" si="42"/>
        <v>20</v>
      </c>
      <c r="C239" s="87">
        <v>55.470539093017599</v>
      </c>
      <c r="D239" s="85">
        <f t="shared" si="43"/>
        <v>0</v>
      </c>
      <c r="E239">
        <v>81.825218200683594</v>
      </c>
      <c r="F239" s="85">
        <f t="shared" si="44"/>
        <v>5.5770874023011174</v>
      </c>
      <c r="G239">
        <v>168.38458251953099</v>
      </c>
      <c r="H239" s="86">
        <f t="shared" si="45"/>
        <v>11.688232422017109</v>
      </c>
      <c r="I239">
        <v>128.090576171875</v>
      </c>
      <c r="J239" s="86">
        <f t="shared" si="46"/>
        <v>10.284423828011313</v>
      </c>
      <c r="K239">
        <v>192.81573486328099</v>
      </c>
      <c r="L239" s="86">
        <f t="shared" si="47"/>
        <v>15.258789063011591</v>
      </c>
      <c r="M239">
        <v>219.65943908691401</v>
      </c>
      <c r="N239" s="86">
        <f t="shared" si="48"/>
        <v>15.258789062983169</v>
      </c>
      <c r="O239">
        <v>1498.45361328125</v>
      </c>
      <c r="P239" s="40">
        <f t="shared" si="39"/>
        <v>110.3515625</v>
      </c>
      <c r="Q239">
        <v>1127.29638671875</v>
      </c>
      <c r="R239" s="40">
        <f t="shared" si="40"/>
        <v>0.85449219000111043</v>
      </c>
      <c r="S239">
        <v>2762.9443359375</v>
      </c>
      <c r="T239" s="40">
        <f t="shared" si="41"/>
        <v>109.61914063000222</v>
      </c>
      <c r="U239">
        <v>34.2977294921875</v>
      </c>
      <c r="V239" s="33">
        <f t="shared" si="49"/>
        <v>3.5018920898011174</v>
      </c>
      <c r="W239">
        <v>228.99279785156301</v>
      </c>
      <c r="X239" s="90">
        <f t="shared" si="50"/>
        <v>19.714355467982614</v>
      </c>
    </row>
    <row r="240" spans="1:24" x14ac:dyDescent="0.25">
      <c r="A240" s="8">
        <v>42439.875</v>
      </c>
      <c r="B240" s="40">
        <f t="shared" si="42"/>
        <v>21</v>
      </c>
      <c r="C240" s="87">
        <v>55.470539093017599</v>
      </c>
      <c r="D240" s="85">
        <f t="shared" si="43"/>
        <v>0</v>
      </c>
      <c r="E240">
        <v>81.830795288085895</v>
      </c>
      <c r="F240" s="85">
        <f t="shared" si="44"/>
        <v>5.447387695411976</v>
      </c>
      <c r="G240">
        <v>168.39627075195301</v>
      </c>
      <c r="H240" s="86">
        <f t="shared" si="45"/>
        <v>11.688232421988687</v>
      </c>
      <c r="I240">
        <v>128.10086059570301</v>
      </c>
      <c r="J240" s="86">
        <f t="shared" si="46"/>
        <v>10.330200194999861</v>
      </c>
      <c r="K240">
        <v>192.83099365234401</v>
      </c>
      <c r="L240" s="86">
        <f t="shared" si="47"/>
        <v>15.289306639999722</v>
      </c>
      <c r="M240">
        <v>219.67469787597699</v>
      </c>
      <c r="N240" s="86">
        <f t="shared" si="48"/>
        <v>15.090942382016692</v>
      </c>
      <c r="O240">
        <v>1498.56396484375</v>
      </c>
      <c r="P240" s="40">
        <f t="shared" si="39"/>
        <v>112.67089844000111</v>
      </c>
      <c r="Q240">
        <v>1127.29724121094</v>
      </c>
      <c r="R240" s="40">
        <f t="shared" si="40"/>
        <v>0.85449219000111043</v>
      </c>
      <c r="S240">
        <v>2763.05395507813</v>
      </c>
      <c r="T240" s="40">
        <f t="shared" si="41"/>
        <v>101.5625</v>
      </c>
      <c r="U240">
        <v>34.301231384277301</v>
      </c>
      <c r="V240" s="33">
        <f t="shared" si="49"/>
        <v>3.429412841796875</v>
      </c>
      <c r="W240">
        <v>229.01251220703099</v>
      </c>
      <c r="X240" s="90">
        <f t="shared" si="50"/>
        <v>19.775390625</v>
      </c>
    </row>
    <row r="241" spans="1:24" x14ac:dyDescent="0.25">
      <c r="A241" s="8">
        <v>42439.916666666664</v>
      </c>
      <c r="B241" s="40">
        <f t="shared" si="42"/>
        <v>22</v>
      </c>
      <c r="C241" s="87">
        <v>55.470539093017599</v>
      </c>
      <c r="D241" s="85">
        <f t="shared" si="43"/>
        <v>0</v>
      </c>
      <c r="E241">
        <v>81.836242675781307</v>
      </c>
      <c r="F241" s="85">
        <f t="shared" si="44"/>
        <v>0</v>
      </c>
      <c r="G241">
        <v>168.407958984375</v>
      </c>
      <c r="H241" s="86">
        <f t="shared" si="45"/>
        <v>11.245727539005657</v>
      </c>
      <c r="I241">
        <v>128.11119079589801</v>
      </c>
      <c r="J241" s="86">
        <f t="shared" si="46"/>
        <v>9.8114013679833079</v>
      </c>
      <c r="K241">
        <v>192.84628295898401</v>
      </c>
      <c r="L241" s="86">
        <f t="shared" si="47"/>
        <v>15.075683594005795</v>
      </c>
      <c r="M241">
        <v>219.68978881835901</v>
      </c>
      <c r="N241" s="86">
        <f t="shared" si="48"/>
        <v>15.258789062983169</v>
      </c>
      <c r="O241">
        <v>1498.67663574219</v>
      </c>
      <c r="P241" s="40">
        <f t="shared" si="39"/>
        <v>112.67089844000111</v>
      </c>
      <c r="Q241">
        <v>1127.29809570313</v>
      </c>
      <c r="R241" s="40">
        <f t="shared" si="40"/>
        <v>0.61035155999888957</v>
      </c>
      <c r="S241">
        <v>2763.15551757813</v>
      </c>
      <c r="T241" s="40">
        <f t="shared" si="41"/>
        <v>0.73242186999777914</v>
      </c>
      <c r="U241">
        <v>34.304660797119098</v>
      </c>
      <c r="V241" s="33">
        <f t="shared" si="49"/>
        <v>3.3187866211008554</v>
      </c>
      <c r="W241">
        <v>229.03228759765599</v>
      </c>
      <c r="X241" s="90">
        <f t="shared" si="50"/>
        <v>19.836425782017386</v>
      </c>
    </row>
    <row r="242" spans="1:24" x14ac:dyDescent="0.25">
      <c r="A242" s="8">
        <v>42439.958333333336</v>
      </c>
      <c r="B242" s="40">
        <f t="shared" si="42"/>
        <v>23</v>
      </c>
      <c r="C242" s="87">
        <v>55.470539093017599</v>
      </c>
      <c r="D242" s="85">
        <f t="shared" si="43"/>
        <v>0</v>
      </c>
      <c r="E242">
        <v>81.836242675781307</v>
      </c>
      <c r="F242" s="85">
        <f t="shared" si="44"/>
        <v>0</v>
      </c>
      <c r="G242">
        <v>168.41920471191401</v>
      </c>
      <c r="H242" s="86">
        <f t="shared" si="45"/>
        <v>11.276245116988548</v>
      </c>
      <c r="I242">
        <v>128.12100219726599</v>
      </c>
      <c r="J242" s="86">
        <f t="shared" si="46"/>
        <v>9.8876953120168309</v>
      </c>
      <c r="K242">
        <v>192.86135864257801</v>
      </c>
      <c r="L242" s="86">
        <f t="shared" si="47"/>
        <v>15.289306640994482</v>
      </c>
      <c r="M242">
        <v>219.70504760742199</v>
      </c>
      <c r="N242" s="86">
        <f t="shared" si="48"/>
        <v>15.228271484005518</v>
      </c>
      <c r="O242">
        <v>1498.78930664063</v>
      </c>
      <c r="P242" s="40">
        <f t="shared" si="39"/>
        <v>111.81640625</v>
      </c>
      <c r="Q242">
        <v>1127.29870605469</v>
      </c>
      <c r="R242" s="40">
        <f t="shared" si="40"/>
        <v>0.9765625</v>
      </c>
      <c r="S242">
        <v>2763.15625</v>
      </c>
      <c r="T242" s="40">
        <f t="shared" si="41"/>
        <v>0.48828125</v>
      </c>
      <c r="U242">
        <v>34.307979583740199</v>
      </c>
      <c r="V242" s="33">
        <f t="shared" si="49"/>
        <v>3.3302307128977304</v>
      </c>
      <c r="W242">
        <v>229.05212402343801</v>
      </c>
      <c r="X242" s="90">
        <f t="shared" si="50"/>
        <v>19.72961425698827</v>
      </c>
    </row>
    <row r="243" spans="1:24" x14ac:dyDescent="0.25">
      <c r="A243" s="8">
        <v>42440</v>
      </c>
      <c r="B243" s="40">
        <f t="shared" si="42"/>
        <v>0</v>
      </c>
      <c r="C243" s="87">
        <v>55.470539093017599</v>
      </c>
      <c r="D243" s="85">
        <f t="shared" si="43"/>
        <v>0</v>
      </c>
      <c r="E243">
        <v>81.836242675781307</v>
      </c>
      <c r="F243" s="85">
        <f t="shared" si="44"/>
        <v>0</v>
      </c>
      <c r="G243">
        <v>168.43048095703099</v>
      </c>
      <c r="H243" s="86">
        <f t="shared" si="45"/>
        <v>11.322021485000278</v>
      </c>
      <c r="I243">
        <v>128.13088989257801</v>
      </c>
      <c r="J243" s="86">
        <f t="shared" si="46"/>
        <v>9.765625</v>
      </c>
      <c r="K243">
        <v>192.87664794921901</v>
      </c>
      <c r="L243" s="86">
        <f t="shared" si="47"/>
        <v>15.304565429005379</v>
      </c>
      <c r="M243">
        <v>219.72027587890599</v>
      </c>
      <c r="N243" s="86">
        <f t="shared" si="48"/>
        <v>15.213012695994621</v>
      </c>
      <c r="O243">
        <v>1498.90112304688</v>
      </c>
      <c r="P243" s="40">
        <f t="shared" si="39"/>
        <v>110.71777342999667</v>
      </c>
      <c r="Q243">
        <v>1127.29968261719</v>
      </c>
      <c r="R243" s="40">
        <f t="shared" si="40"/>
        <v>0.73242186999777914</v>
      </c>
      <c r="S243">
        <v>2763.15673828125</v>
      </c>
      <c r="T243" s="40">
        <f t="shared" si="41"/>
        <v>0.9765625</v>
      </c>
      <c r="U243">
        <v>34.311309814453097</v>
      </c>
      <c r="V243" s="33">
        <f t="shared" si="49"/>
        <v>3.1890869141051326</v>
      </c>
      <c r="W243">
        <v>229.071853637695</v>
      </c>
      <c r="X243" s="90">
        <f t="shared" si="50"/>
        <v>19.744873046988687</v>
      </c>
    </row>
    <row r="244" spans="1:24" x14ac:dyDescent="0.25">
      <c r="A244" s="8">
        <v>42440.041666666664</v>
      </c>
      <c r="B244" s="40">
        <f t="shared" si="42"/>
        <v>1</v>
      </c>
      <c r="C244" s="87">
        <v>55.470539093017599</v>
      </c>
      <c r="D244" s="85">
        <f t="shared" si="43"/>
        <v>0</v>
      </c>
      <c r="E244">
        <v>81.836242675781307</v>
      </c>
      <c r="F244" s="85">
        <f t="shared" si="44"/>
        <v>0</v>
      </c>
      <c r="G244">
        <v>168.44180297851599</v>
      </c>
      <c r="H244" s="86">
        <f t="shared" si="45"/>
        <v>11.123657225994066</v>
      </c>
      <c r="I244">
        <v>128.14065551757801</v>
      </c>
      <c r="J244" s="86">
        <f t="shared" si="46"/>
        <v>10.070800780994205</v>
      </c>
      <c r="K244">
        <v>192.89195251464801</v>
      </c>
      <c r="L244" s="86">
        <f t="shared" si="47"/>
        <v>15.289306640994482</v>
      </c>
      <c r="M244">
        <v>219.73548889160199</v>
      </c>
      <c r="N244" s="86">
        <f t="shared" si="48"/>
        <v>15.228271484005518</v>
      </c>
      <c r="O244">
        <v>1499.01184082031</v>
      </c>
      <c r="P244" s="40">
        <f t="shared" si="39"/>
        <v>111.57226563000222</v>
      </c>
      <c r="Q244">
        <v>1127.30041503906</v>
      </c>
      <c r="R244" s="40">
        <f t="shared" si="40"/>
        <v>0.73242188000222086</v>
      </c>
      <c r="S244">
        <v>2763.15771484375</v>
      </c>
      <c r="T244" s="40">
        <f t="shared" si="41"/>
        <v>0.73242188000222086</v>
      </c>
      <c r="U244">
        <v>34.314498901367202</v>
      </c>
      <c r="V244" s="33">
        <f t="shared" si="49"/>
        <v>3.1318664550994413</v>
      </c>
      <c r="W244">
        <v>229.09159851074199</v>
      </c>
      <c r="X244" s="90">
        <v>19.72961425698827</v>
      </c>
    </row>
    <row r="245" spans="1:24" x14ac:dyDescent="0.25">
      <c r="A245" s="8">
        <v>42440.083333333336</v>
      </c>
      <c r="B245" s="40">
        <f t="shared" si="42"/>
        <v>2</v>
      </c>
      <c r="C245" s="87">
        <v>55.470539093017599</v>
      </c>
      <c r="D245" s="85">
        <f t="shared" si="43"/>
        <v>0</v>
      </c>
      <c r="E245">
        <v>81.836242675781307</v>
      </c>
      <c r="F245" s="85">
        <f t="shared" si="44"/>
        <v>0</v>
      </c>
      <c r="G245">
        <v>168.45292663574199</v>
      </c>
      <c r="H245" s="86">
        <f t="shared" si="45"/>
        <v>11.306762696023043</v>
      </c>
      <c r="I245">
        <v>128.15072631835901</v>
      </c>
      <c r="J245" s="86">
        <f t="shared" si="46"/>
        <v>9.765625</v>
      </c>
      <c r="K245">
        <v>192.90724182128901</v>
      </c>
      <c r="L245" s="86">
        <f t="shared" si="47"/>
        <v>15.319824219005795</v>
      </c>
      <c r="M245">
        <v>219.75071716308599</v>
      </c>
      <c r="N245" s="86">
        <f t="shared" si="48"/>
        <v>15.365600585994343</v>
      </c>
      <c r="O245">
        <v>1499.12341308594</v>
      </c>
      <c r="P245" s="40">
        <f t="shared" si="39"/>
        <v>109.86328125</v>
      </c>
      <c r="Q245">
        <v>1127.30114746094</v>
      </c>
      <c r="R245" s="40">
        <f t="shared" si="40"/>
        <v>0.73242186999777914</v>
      </c>
      <c r="S245">
        <v>2763.15844726563</v>
      </c>
      <c r="T245" s="40">
        <f t="shared" si="41"/>
        <v>0.48828125</v>
      </c>
      <c r="U245">
        <v>34.317630767822301</v>
      </c>
      <c r="V245" s="33">
        <f t="shared" si="49"/>
        <v>3.1394958496022696</v>
      </c>
      <c r="W245">
        <f>+W244+(W246-W244)/2</f>
        <v>229.1105880737305</v>
      </c>
      <c r="X245" s="90">
        <v>19.744873046988687</v>
      </c>
    </row>
    <row r="246" spans="1:24" x14ac:dyDescent="0.25">
      <c r="A246" s="8">
        <v>42440.125</v>
      </c>
      <c r="B246" s="40">
        <f t="shared" si="42"/>
        <v>3</v>
      </c>
      <c r="C246" s="87">
        <v>55.470539093017599</v>
      </c>
      <c r="D246" s="85">
        <f t="shared" si="43"/>
        <v>0</v>
      </c>
      <c r="E246">
        <v>81.836242675781307</v>
      </c>
      <c r="F246" s="85">
        <f t="shared" si="44"/>
        <v>0</v>
      </c>
      <c r="G246">
        <v>168.46423339843801</v>
      </c>
      <c r="H246" s="86">
        <f t="shared" si="45"/>
        <v>11.322021483977096</v>
      </c>
      <c r="I246">
        <v>128.16049194335901</v>
      </c>
      <c r="J246" s="86">
        <f t="shared" si="46"/>
        <v>10.040283204006073</v>
      </c>
      <c r="K246">
        <v>192.92256164550801</v>
      </c>
      <c r="L246" s="86">
        <f t="shared" si="47"/>
        <v>15.289306639999722</v>
      </c>
      <c r="M246">
        <v>219.76608276367199</v>
      </c>
      <c r="N246" s="86">
        <f t="shared" si="48"/>
        <v>15.13671875</v>
      </c>
      <c r="O246">
        <v>1499.23327636719</v>
      </c>
      <c r="P246" s="40">
        <f t="shared" si="39"/>
        <v>111.93847655999889</v>
      </c>
      <c r="Q246">
        <v>1127.30187988281</v>
      </c>
      <c r="R246" s="40">
        <f t="shared" si="40"/>
        <v>0.73242188000222086</v>
      </c>
      <c r="S246">
        <v>2763.15893554688</v>
      </c>
      <c r="T246" s="40">
        <f t="shared" si="41"/>
        <v>0.9765625</v>
      </c>
      <c r="U246">
        <v>34.320770263671903</v>
      </c>
      <c r="V246" s="33">
        <f t="shared" si="49"/>
        <v>3.1280517577982891</v>
      </c>
      <c r="W246">
        <v>229.12957763671901</v>
      </c>
      <c r="X246" s="90">
        <f t="shared" si="50"/>
        <v>18.417358397982753</v>
      </c>
    </row>
    <row r="247" spans="1:24" x14ac:dyDescent="0.25">
      <c r="A247" s="8">
        <v>42440.166666666664</v>
      </c>
      <c r="B247" s="40">
        <f t="shared" si="42"/>
        <v>4</v>
      </c>
      <c r="C247" s="87">
        <v>55.470539093017599</v>
      </c>
      <c r="D247" s="85">
        <f t="shared" si="43"/>
        <v>0</v>
      </c>
      <c r="E247">
        <v>81.836242675781307</v>
      </c>
      <c r="F247" s="85">
        <f t="shared" si="44"/>
        <v>0</v>
      </c>
      <c r="G247">
        <v>168.47555541992199</v>
      </c>
      <c r="H247" s="86">
        <f t="shared" si="45"/>
        <v>11.367797851022488</v>
      </c>
      <c r="I247">
        <v>128.17053222656301</v>
      </c>
      <c r="J247" s="86">
        <f t="shared" si="46"/>
        <v>9.7808837889772349</v>
      </c>
      <c r="K247">
        <v>192.93785095214801</v>
      </c>
      <c r="L247" s="86">
        <f t="shared" si="47"/>
        <v>15.274047851988826</v>
      </c>
      <c r="M247">
        <v>219.78121948242199</v>
      </c>
      <c r="N247" s="86">
        <f t="shared" si="48"/>
        <v>15.090942383011452</v>
      </c>
      <c r="O247">
        <v>1499.34521484375</v>
      </c>
      <c r="P247" s="40">
        <f t="shared" si="39"/>
        <v>111.93847655999889</v>
      </c>
      <c r="Q247">
        <v>1127.30261230469</v>
      </c>
      <c r="R247" s="40">
        <f t="shared" si="40"/>
        <v>0.73242186999777914</v>
      </c>
      <c r="S247">
        <v>2763.15991210938</v>
      </c>
      <c r="T247" s="40">
        <f t="shared" si="41"/>
        <v>0.73242186999777914</v>
      </c>
      <c r="U247">
        <v>34.323898315429702</v>
      </c>
      <c r="V247" s="33">
        <f t="shared" si="49"/>
        <v>3.2806396483948674</v>
      </c>
      <c r="W247">
        <v>229.14799499511699</v>
      </c>
      <c r="X247" s="90">
        <f t="shared" si="50"/>
        <v>14.984130860000278</v>
      </c>
    </row>
    <row r="248" spans="1:24" x14ac:dyDescent="0.25">
      <c r="A248" s="8">
        <v>42440.208333333336</v>
      </c>
      <c r="B248" s="40">
        <f t="shared" si="42"/>
        <v>5</v>
      </c>
      <c r="C248" s="87">
        <v>55.470539093017599</v>
      </c>
      <c r="D248" s="85">
        <f t="shared" si="43"/>
        <v>0</v>
      </c>
      <c r="E248">
        <v>81.836242675781307</v>
      </c>
      <c r="F248" s="85">
        <f t="shared" si="44"/>
        <v>0</v>
      </c>
      <c r="G248">
        <v>168.48692321777301</v>
      </c>
      <c r="H248" s="86">
        <f t="shared" si="45"/>
        <v>11.306762695994621</v>
      </c>
      <c r="I248">
        <v>128.18031311035199</v>
      </c>
      <c r="J248" s="86">
        <f t="shared" si="46"/>
        <v>9.933471679005379</v>
      </c>
      <c r="K248">
        <v>192.953125</v>
      </c>
      <c r="L248" s="86">
        <f t="shared" si="47"/>
        <v>15.029907226988826</v>
      </c>
      <c r="M248">
        <v>219.796310424805</v>
      </c>
      <c r="N248" s="86">
        <f t="shared" si="48"/>
        <v>15.274047850994066</v>
      </c>
      <c r="O248">
        <v>1499.45715332031</v>
      </c>
      <c r="P248" s="40">
        <f t="shared" si="39"/>
        <v>112.54882813000222</v>
      </c>
      <c r="Q248">
        <v>1127.30334472656</v>
      </c>
      <c r="R248" s="40">
        <f t="shared" si="40"/>
        <v>0.73242188000222086</v>
      </c>
      <c r="S248">
        <v>2763.16064453125</v>
      </c>
      <c r="T248" s="40">
        <f t="shared" si="41"/>
        <v>0.9765625</v>
      </c>
      <c r="U248">
        <v>34.327178955078097</v>
      </c>
      <c r="V248" s="33">
        <f t="shared" si="49"/>
        <v>3.2310485840056913</v>
      </c>
      <c r="W248">
        <v>229.16297912597699</v>
      </c>
      <c r="X248" s="90">
        <f t="shared" si="50"/>
        <v>13.946533203011313</v>
      </c>
    </row>
    <row r="249" spans="1:24" x14ac:dyDescent="0.25">
      <c r="A249" s="8">
        <v>42440.25</v>
      </c>
      <c r="B249" s="40">
        <f t="shared" si="42"/>
        <v>6</v>
      </c>
      <c r="C249" s="87">
        <v>55.470539093017599</v>
      </c>
      <c r="D249" s="85">
        <f t="shared" si="43"/>
        <v>0</v>
      </c>
      <c r="E249">
        <v>81.836242675781307</v>
      </c>
      <c r="F249" s="85">
        <f t="shared" si="44"/>
        <v>0</v>
      </c>
      <c r="G249">
        <v>168.49822998046901</v>
      </c>
      <c r="H249" s="86">
        <f t="shared" si="45"/>
        <v>11.337280272982753</v>
      </c>
      <c r="I249">
        <v>128.19024658203099</v>
      </c>
      <c r="J249" s="86">
        <f t="shared" si="46"/>
        <v>9.9334716800001388</v>
      </c>
      <c r="K249">
        <v>192.96815490722699</v>
      </c>
      <c r="L249" s="86">
        <f t="shared" si="47"/>
        <v>15.289306639999722</v>
      </c>
      <c r="M249">
        <v>219.81158447265599</v>
      </c>
      <c r="N249" s="86">
        <f t="shared" si="48"/>
        <v>15.258789063011591</v>
      </c>
      <c r="O249">
        <v>1499.56970214844</v>
      </c>
      <c r="P249" s="40">
        <f t="shared" si="39"/>
        <v>109.86328125</v>
      </c>
      <c r="Q249">
        <v>1127.30407714844</v>
      </c>
      <c r="R249" s="40">
        <f t="shared" si="40"/>
        <v>0.9765625</v>
      </c>
      <c r="S249">
        <v>2763.16162109375</v>
      </c>
      <c r="T249" s="40">
        <f t="shared" si="41"/>
        <v>0.73242188000222086</v>
      </c>
      <c r="U249">
        <v>34.330410003662102</v>
      </c>
      <c r="V249" s="33">
        <f t="shared" si="49"/>
        <v>3.307342529296875</v>
      </c>
      <c r="W249">
        <v>229.17692565918</v>
      </c>
      <c r="X249" s="90">
        <f t="shared" si="50"/>
        <v>12.634277343011036</v>
      </c>
    </row>
    <row r="250" spans="1:24" x14ac:dyDescent="0.25">
      <c r="A250" s="8">
        <v>42440.291666666664</v>
      </c>
      <c r="B250" s="40">
        <f t="shared" si="42"/>
        <v>7</v>
      </c>
      <c r="C250" s="87">
        <v>55.470539093017599</v>
      </c>
      <c r="D250" s="85">
        <f t="shared" si="43"/>
        <v>0</v>
      </c>
      <c r="E250">
        <v>81.836242675781307</v>
      </c>
      <c r="F250" s="85">
        <f t="shared" si="44"/>
        <v>0</v>
      </c>
      <c r="G250">
        <v>168.50956726074199</v>
      </c>
      <c r="H250" s="86">
        <f t="shared" si="45"/>
        <v>11.154174805000139</v>
      </c>
      <c r="I250">
        <v>128.20018005371099</v>
      </c>
      <c r="J250" s="86">
        <f t="shared" si="46"/>
        <v>9.963989258011452</v>
      </c>
      <c r="K250">
        <v>192.98344421386699</v>
      </c>
      <c r="L250" s="86">
        <f t="shared" si="47"/>
        <v>15.335083008011452</v>
      </c>
      <c r="M250">
        <v>219.82684326171901</v>
      </c>
      <c r="N250" s="86">
        <f t="shared" si="48"/>
        <v>15.304565429005379</v>
      </c>
      <c r="O250">
        <v>1499.67956542969</v>
      </c>
      <c r="P250" s="40">
        <f t="shared" si="39"/>
        <v>112.54882811999778</v>
      </c>
      <c r="Q250">
        <v>1127.30505371094</v>
      </c>
      <c r="R250" s="40">
        <f t="shared" si="40"/>
        <v>0.61035155999888957</v>
      </c>
      <c r="S250">
        <v>2763.16235351563</v>
      </c>
      <c r="T250" s="40">
        <f t="shared" si="41"/>
        <v>0.73242186999777914</v>
      </c>
      <c r="U250">
        <v>34.333717346191399</v>
      </c>
      <c r="V250" s="33">
        <f t="shared" si="49"/>
        <v>3.3607482910014141</v>
      </c>
      <c r="W250">
        <v>229.18955993652301</v>
      </c>
      <c r="X250" s="90">
        <f t="shared" si="50"/>
        <v>13.961791992983308</v>
      </c>
    </row>
    <row r="251" spans="1:24" x14ac:dyDescent="0.25">
      <c r="A251" s="8">
        <v>42440.333333333336</v>
      </c>
      <c r="B251" s="40">
        <f t="shared" si="42"/>
        <v>8</v>
      </c>
      <c r="C251" s="87">
        <v>55.470539093017599</v>
      </c>
      <c r="D251" s="85">
        <f t="shared" si="43"/>
        <v>0</v>
      </c>
      <c r="E251">
        <v>81.836242675781307</v>
      </c>
      <c r="F251" s="85">
        <f t="shared" si="44"/>
        <v>0</v>
      </c>
      <c r="G251">
        <v>168.52072143554699</v>
      </c>
      <c r="H251" s="86">
        <f t="shared" si="45"/>
        <v>11.23046875</v>
      </c>
      <c r="I251">
        <v>128.21014404296901</v>
      </c>
      <c r="J251" s="86">
        <f t="shared" si="46"/>
        <v>9.8571777340055178</v>
      </c>
      <c r="K251">
        <v>192.998779296875</v>
      </c>
      <c r="L251" s="86">
        <f t="shared" si="47"/>
        <v>15.411376953011313</v>
      </c>
      <c r="M251">
        <v>219.84214782714801</v>
      </c>
      <c r="N251" s="86">
        <f t="shared" si="48"/>
        <v>15.33508300798303</v>
      </c>
      <c r="O251">
        <v>1499.79211425781</v>
      </c>
      <c r="P251" s="40">
        <f t="shared" si="39"/>
        <v>112.06054688000222</v>
      </c>
      <c r="Q251">
        <v>1127.3056640625</v>
      </c>
      <c r="R251" s="40">
        <f t="shared" si="40"/>
        <v>0.73242188000222086</v>
      </c>
      <c r="S251">
        <v>2763.1630859375</v>
      </c>
      <c r="T251" s="40">
        <f t="shared" si="41"/>
        <v>0.73242188000222086</v>
      </c>
      <c r="U251">
        <v>34.337078094482401</v>
      </c>
      <c r="V251" s="33">
        <f t="shared" si="49"/>
        <v>3.4523010253977304</v>
      </c>
      <c r="W251">
        <v>229.20352172851599</v>
      </c>
      <c r="X251" s="90">
        <f t="shared" si="50"/>
        <v>16.998291014999722</v>
      </c>
    </row>
    <row r="252" spans="1:24" x14ac:dyDescent="0.25">
      <c r="A252" s="8">
        <v>42440.375</v>
      </c>
      <c r="B252" s="40">
        <f t="shared" si="42"/>
        <v>9</v>
      </c>
      <c r="C252" s="87">
        <v>55.470539093017599</v>
      </c>
      <c r="D252" s="85">
        <f t="shared" si="43"/>
        <v>0</v>
      </c>
      <c r="E252">
        <v>81.836242675781307</v>
      </c>
      <c r="F252" s="85">
        <f t="shared" si="44"/>
        <v>0</v>
      </c>
      <c r="G252">
        <v>168.53195190429699</v>
      </c>
      <c r="H252" s="86">
        <f t="shared" si="45"/>
        <v>11.245727539005657</v>
      </c>
      <c r="I252">
        <v>128.22000122070301</v>
      </c>
      <c r="J252" s="86">
        <f t="shared" si="46"/>
        <v>9.6740722659944822</v>
      </c>
      <c r="K252">
        <v>193.01419067382801</v>
      </c>
      <c r="L252" s="86">
        <f t="shared" si="47"/>
        <v>15.243530273977512</v>
      </c>
      <c r="M252">
        <v>219.85748291015599</v>
      </c>
      <c r="N252" s="86">
        <f t="shared" si="48"/>
        <v>15.106201172017109</v>
      </c>
      <c r="O252">
        <v>1499.90417480469</v>
      </c>
      <c r="P252" s="40">
        <f t="shared" si="39"/>
        <v>112.3046875</v>
      </c>
      <c r="Q252">
        <v>1127.30639648438</v>
      </c>
      <c r="R252" s="40">
        <f t="shared" si="40"/>
        <v>0.85449217999666871</v>
      </c>
      <c r="S252">
        <v>2763.16381835938</v>
      </c>
      <c r="T252" s="40">
        <f t="shared" si="41"/>
        <v>0.73242186999777914</v>
      </c>
      <c r="U252">
        <v>34.340530395507798</v>
      </c>
      <c r="V252" s="33">
        <f t="shared" si="49"/>
        <v>3.5095214844034217</v>
      </c>
      <c r="W252">
        <v>229.22052001953099</v>
      </c>
      <c r="X252" s="90">
        <f t="shared" si="50"/>
        <v>19.882202149005934</v>
      </c>
    </row>
    <row r="253" spans="1:24" x14ac:dyDescent="0.25">
      <c r="A253" s="8">
        <v>42440.416666666664</v>
      </c>
      <c r="B253" s="40">
        <f t="shared" si="42"/>
        <v>10</v>
      </c>
      <c r="C253" s="87">
        <v>55.470539093017599</v>
      </c>
      <c r="D253" s="85">
        <f t="shared" si="43"/>
        <v>0</v>
      </c>
      <c r="E253">
        <v>81.836242675781307</v>
      </c>
      <c r="F253" s="85">
        <f t="shared" si="44"/>
        <v>0</v>
      </c>
      <c r="G253">
        <v>168.54319763183599</v>
      </c>
      <c r="H253" s="86">
        <f t="shared" si="45"/>
        <v>11.215209960994343</v>
      </c>
      <c r="I253">
        <v>128.22967529296901</v>
      </c>
      <c r="J253" s="86">
        <f t="shared" si="46"/>
        <v>9.8266601559942046</v>
      </c>
      <c r="K253">
        <v>193.02943420410199</v>
      </c>
      <c r="L253" s="86">
        <f t="shared" si="47"/>
        <v>15.304565429005379</v>
      </c>
      <c r="M253">
        <v>219.87258911132801</v>
      </c>
      <c r="N253" s="86">
        <f t="shared" si="48"/>
        <v>15.289306640994482</v>
      </c>
      <c r="O253">
        <v>1500.01647949219</v>
      </c>
      <c r="P253" s="40">
        <f t="shared" si="39"/>
        <v>112.3046875</v>
      </c>
      <c r="Q253">
        <v>1127.30725097656</v>
      </c>
      <c r="R253" s="40">
        <f t="shared" si="40"/>
        <v>0.73242188000222086</v>
      </c>
      <c r="S253">
        <v>2763.16455078125</v>
      </c>
      <c r="T253" s="40">
        <f t="shared" si="41"/>
        <v>0.48828125</v>
      </c>
      <c r="U253">
        <v>34.344039916992202</v>
      </c>
      <c r="V253" s="33">
        <f t="shared" si="49"/>
        <v>3.5896301268962816</v>
      </c>
      <c r="W253">
        <v>229.24040222168</v>
      </c>
      <c r="X253" s="90">
        <f t="shared" si="50"/>
        <v>19.958496093011036</v>
      </c>
    </row>
    <row r="254" spans="1:24" x14ac:dyDescent="0.25">
      <c r="A254" s="8">
        <v>42440.458333333336</v>
      </c>
      <c r="B254" s="40">
        <f t="shared" si="42"/>
        <v>11</v>
      </c>
      <c r="C254" s="87">
        <v>55.470539093017599</v>
      </c>
      <c r="D254" s="85">
        <f t="shared" si="43"/>
        <v>0</v>
      </c>
      <c r="E254">
        <v>81.836242675781307</v>
      </c>
      <c r="F254" s="85">
        <f t="shared" si="44"/>
        <v>0</v>
      </c>
      <c r="G254">
        <v>168.55441284179699</v>
      </c>
      <c r="H254" s="86">
        <f t="shared" si="45"/>
        <v>11.154174805000139</v>
      </c>
      <c r="I254">
        <v>128.239501953125</v>
      </c>
      <c r="J254" s="86">
        <f t="shared" si="46"/>
        <v>9.811401366988548</v>
      </c>
      <c r="K254">
        <v>193.04473876953099</v>
      </c>
      <c r="L254" s="86">
        <f t="shared" si="47"/>
        <v>15.304565430000139</v>
      </c>
      <c r="M254">
        <v>219.88787841796901</v>
      </c>
      <c r="N254" s="86">
        <f t="shared" si="48"/>
        <v>15.045166014999722</v>
      </c>
      <c r="O254">
        <v>1500.12878417969</v>
      </c>
      <c r="P254" s="40">
        <f t="shared" si="39"/>
        <v>107.29980469000111</v>
      </c>
      <c r="Q254">
        <v>1127.30798339844</v>
      </c>
      <c r="R254" s="40">
        <f t="shared" si="40"/>
        <v>0.73242186999777914</v>
      </c>
      <c r="S254">
        <v>2763.1650390625</v>
      </c>
      <c r="T254" s="40">
        <f t="shared" si="41"/>
        <v>0.9765625</v>
      </c>
      <c r="U254">
        <v>34.347629547119098</v>
      </c>
      <c r="V254" s="33">
        <f t="shared" si="49"/>
        <v>3.2806396485014488</v>
      </c>
      <c r="W254">
        <v>229.26036071777301</v>
      </c>
      <c r="X254" s="90">
        <f t="shared" si="50"/>
        <v>19.683837890994482</v>
      </c>
    </row>
    <row r="255" spans="1:24" x14ac:dyDescent="0.25">
      <c r="A255" s="8">
        <v>42440.5</v>
      </c>
      <c r="B255" s="40">
        <f t="shared" si="42"/>
        <v>12</v>
      </c>
      <c r="C255" s="87">
        <v>55.470539093017599</v>
      </c>
      <c r="D255" s="85">
        <f t="shared" si="43"/>
        <v>0</v>
      </c>
      <c r="E255">
        <v>81.836242675781307</v>
      </c>
      <c r="F255" s="85">
        <f t="shared" si="44"/>
        <v>0</v>
      </c>
      <c r="G255">
        <v>168.56556701660199</v>
      </c>
      <c r="H255" s="86">
        <f t="shared" si="45"/>
        <v>11.016845703011313</v>
      </c>
      <c r="I255">
        <v>128.24931335449199</v>
      </c>
      <c r="J255" s="86">
        <f t="shared" si="46"/>
        <v>9.8571777350002776</v>
      </c>
      <c r="K255">
        <v>193.06004333496099</v>
      </c>
      <c r="L255" s="86">
        <f t="shared" si="47"/>
        <v>14.999389648011174</v>
      </c>
      <c r="M255">
        <v>219.90292358398401</v>
      </c>
      <c r="N255" s="86">
        <f t="shared" si="48"/>
        <v>15.121459960994343</v>
      </c>
      <c r="O255">
        <v>1500.23608398438</v>
      </c>
      <c r="P255" s="40">
        <f t="shared" si="39"/>
        <v>112.54882811999778</v>
      </c>
      <c r="Q255">
        <v>1127.30871582031</v>
      </c>
      <c r="R255" s="40">
        <f t="shared" si="40"/>
        <v>0.73242188000222086</v>
      </c>
      <c r="S255">
        <v>2763.166015625</v>
      </c>
      <c r="T255" s="40">
        <f t="shared" si="41"/>
        <v>0.73242188000222086</v>
      </c>
      <c r="U255">
        <v>34.350910186767599</v>
      </c>
      <c r="V255" s="33">
        <f t="shared" si="49"/>
        <v>3.5133361815979924</v>
      </c>
      <c r="W255">
        <v>229.28004455566401</v>
      </c>
      <c r="X255" s="90">
        <f t="shared" si="50"/>
        <v>19.836425780994205</v>
      </c>
    </row>
    <row r="256" spans="1:24" x14ac:dyDescent="0.25">
      <c r="A256" s="8">
        <v>42440.541666666664</v>
      </c>
      <c r="B256" s="40">
        <f t="shared" si="42"/>
        <v>13</v>
      </c>
      <c r="C256" s="87">
        <v>55.470539093017599</v>
      </c>
      <c r="D256" s="85">
        <f t="shared" si="43"/>
        <v>0</v>
      </c>
      <c r="E256">
        <v>81.836242675781307</v>
      </c>
      <c r="F256" s="85">
        <f t="shared" si="44"/>
        <v>0</v>
      </c>
      <c r="G256">
        <v>168.576583862305</v>
      </c>
      <c r="H256" s="86">
        <f t="shared" si="45"/>
        <v>11.184692383011452</v>
      </c>
      <c r="I256">
        <v>128.25917053222699</v>
      </c>
      <c r="J256" s="86">
        <f t="shared" si="46"/>
        <v>9.8571777340055178</v>
      </c>
      <c r="K256">
        <v>193.07504272460901</v>
      </c>
      <c r="L256" s="86">
        <f t="shared" si="47"/>
        <v>15.243530274005934</v>
      </c>
      <c r="M256">
        <v>219.918045043945</v>
      </c>
      <c r="N256" s="86">
        <f t="shared" si="48"/>
        <v>15.243530274005934</v>
      </c>
      <c r="O256">
        <v>1500.3486328125</v>
      </c>
      <c r="P256" s="40">
        <f t="shared" si="39"/>
        <v>111.93847655999889</v>
      </c>
      <c r="Q256">
        <v>1127.30944824219</v>
      </c>
      <c r="R256" s="40">
        <f t="shared" si="40"/>
        <v>0.85449219000111043</v>
      </c>
      <c r="S256">
        <v>2763.16674804688</v>
      </c>
      <c r="T256" s="40">
        <f t="shared" si="41"/>
        <v>0.48828125</v>
      </c>
      <c r="U256">
        <v>34.354423522949197</v>
      </c>
      <c r="V256" s="33">
        <f t="shared" si="49"/>
        <v>3.4370422362997033</v>
      </c>
      <c r="W256">
        <v>229.299880981445</v>
      </c>
      <c r="X256" s="90">
        <f t="shared" si="50"/>
        <v>19.805908203011313</v>
      </c>
    </row>
    <row r="257" spans="1:24" x14ac:dyDescent="0.25">
      <c r="A257" s="8">
        <v>42440.583333333336</v>
      </c>
      <c r="B257" s="40">
        <f t="shared" si="42"/>
        <v>14</v>
      </c>
      <c r="C257" s="87">
        <v>55.470539093017599</v>
      </c>
      <c r="D257" s="85">
        <f t="shared" si="43"/>
        <v>0</v>
      </c>
      <c r="E257">
        <v>81.836242675781307</v>
      </c>
      <c r="F257" s="85">
        <f t="shared" si="44"/>
        <v>0</v>
      </c>
      <c r="G257">
        <v>168.58776855468801</v>
      </c>
      <c r="H257" s="86">
        <f t="shared" si="45"/>
        <v>11.18469238198827</v>
      </c>
      <c r="I257">
        <v>128.26902770996099</v>
      </c>
      <c r="J257" s="86">
        <f t="shared" si="46"/>
        <v>9.8571777340055178</v>
      </c>
      <c r="K257">
        <v>193.09028625488301</v>
      </c>
      <c r="L257" s="86">
        <f t="shared" si="47"/>
        <v>15.365600585994343</v>
      </c>
      <c r="M257">
        <v>219.93328857421901</v>
      </c>
      <c r="N257" s="86">
        <f t="shared" si="48"/>
        <v>15.151977539005657</v>
      </c>
      <c r="O257">
        <v>1500.46057128906</v>
      </c>
      <c r="P257" s="40">
        <f t="shared" si="39"/>
        <v>111.81640625</v>
      </c>
      <c r="Q257">
        <v>1127.31030273438</v>
      </c>
      <c r="R257" s="40">
        <f t="shared" si="40"/>
        <v>0.73242186999777914</v>
      </c>
      <c r="S257">
        <v>2763.16723632813</v>
      </c>
      <c r="T257" s="40">
        <f t="shared" si="41"/>
        <v>0.9765625</v>
      </c>
      <c r="U257">
        <v>34.357860565185497</v>
      </c>
      <c r="V257" s="33">
        <f t="shared" si="49"/>
        <v>3.3493041993040151</v>
      </c>
      <c r="W257">
        <v>229.31968688964801</v>
      </c>
      <c r="X257" s="90">
        <f t="shared" si="50"/>
        <v>19.805908203977651</v>
      </c>
    </row>
    <row r="258" spans="1:24" x14ac:dyDescent="0.25">
      <c r="A258" s="8">
        <v>42440.625</v>
      </c>
      <c r="B258" s="40">
        <f t="shared" si="42"/>
        <v>15</v>
      </c>
      <c r="C258" s="87">
        <v>55.470539093017599</v>
      </c>
      <c r="D258" s="85">
        <f t="shared" si="43"/>
        <v>0</v>
      </c>
      <c r="E258">
        <v>81.836242675781307</v>
      </c>
      <c r="F258" s="85">
        <f t="shared" si="44"/>
        <v>0</v>
      </c>
      <c r="G258">
        <v>168.59895324707</v>
      </c>
      <c r="H258" s="86">
        <f t="shared" si="45"/>
        <v>11.199951171988687</v>
      </c>
      <c r="I258">
        <v>128.278884887695</v>
      </c>
      <c r="J258" s="86">
        <f t="shared" si="46"/>
        <v>9.8724365240059342</v>
      </c>
      <c r="K258">
        <v>193.10565185546901</v>
      </c>
      <c r="L258" s="86">
        <f t="shared" si="47"/>
        <v>15.274047850994066</v>
      </c>
      <c r="M258">
        <v>219.94844055175801</v>
      </c>
      <c r="N258" s="86">
        <f t="shared" si="48"/>
        <v>14.923095702982891</v>
      </c>
      <c r="O258">
        <v>1500.57238769531</v>
      </c>
      <c r="P258" s="40">
        <f t="shared" si="39"/>
        <v>109.375</v>
      </c>
      <c r="Q258">
        <v>1127.31103515625</v>
      </c>
      <c r="R258" s="40">
        <f t="shared" si="40"/>
        <v>0.73242188000222086</v>
      </c>
      <c r="S258">
        <v>2763.16821289063</v>
      </c>
      <c r="T258" s="40">
        <f t="shared" si="41"/>
        <v>0.73242186999777914</v>
      </c>
      <c r="U258">
        <v>34.361209869384801</v>
      </c>
      <c r="V258" s="33">
        <f t="shared" si="49"/>
        <v>3.2577514648011174</v>
      </c>
      <c r="W258">
        <v>229.33949279785199</v>
      </c>
      <c r="X258" s="90">
        <f t="shared" si="50"/>
        <v>19.424438476022488</v>
      </c>
    </row>
    <row r="259" spans="1:24" x14ac:dyDescent="0.25">
      <c r="A259" s="8">
        <v>42440.666666666664</v>
      </c>
      <c r="B259" s="40">
        <f t="shared" si="42"/>
        <v>16</v>
      </c>
      <c r="C259" s="87">
        <v>55.470539093017599</v>
      </c>
      <c r="D259" s="85">
        <f t="shared" si="43"/>
        <v>0</v>
      </c>
      <c r="E259">
        <v>81.836242675781307</v>
      </c>
      <c r="F259" s="85">
        <f t="shared" si="44"/>
        <v>3.3950805663920391</v>
      </c>
      <c r="G259">
        <v>168.61015319824199</v>
      </c>
      <c r="H259" s="86">
        <f t="shared" si="45"/>
        <v>10.78796386701697</v>
      </c>
      <c r="I259">
        <v>128.28875732421901</v>
      </c>
      <c r="J259" s="86">
        <f t="shared" si="46"/>
        <v>9.3994140619884092</v>
      </c>
      <c r="K259">
        <v>193.12092590332</v>
      </c>
      <c r="L259" s="86">
        <f t="shared" si="47"/>
        <v>14.511108399005934</v>
      </c>
      <c r="M259">
        <v>219.96336364746099</v>
      </c>
      <c r="N259" s="86">
        <f t="shared" si="48"/>
        <v>14.556884765994482</v>
      </c>
      <c r="O259">
        <v>1500.68176269531</v>
      </c>
      <c r="P259" s="40">
        <f t="shared" ref="P259:P322" si="51">+(O260-O259)*1000</f>
        <v>94.970703130002221</v>
      </c>
      <c r="Q259">
        <v>1127.31176757813</v>
      </c>
      <c r="R259" s="40">
        <f t="shared" ref="R259:R322" si="52">+(Q260-Q259)*1000</f>
        <v>0.73242186999777914</v>
      </c>
      <c r="S259">
        <v>2763.1689453125</v>
      </c>
      <c r="T259" s="40">
        <f t="shared" ref="T259:T322" si="53">+(S260-S259)*1000</f>
        <v>78.369140630002221</v>
      </c>
      <c r="U259">
        <v>34.364467620849602</v>
      </c>
      <c r="V259" s="33">
        <f t="shared" si="49"/>
        <v>1.4724731444957229</v>
      </c>
      <c r="W259">
        <v>229.35891723632801</v>
      </c>
      <c r="X259" s="90">
        <f t="shared" si="50"/>
        <v>11.566162110000278</v>
      </c>
    </row>
    <row r="260" spans="1:24" x14ac:dyDescent="0.25">
      <c r="A260" s="8">
        <v>42440.708333333336</v>
      </c>
      <c r="B260" s="40">
        <f t="shared" ref="B260:B323" si="54">+HOUR(A260)</f>
        <v>17</v>
      </c>
      <c r="C260" s="87">
        <v>55.470539093017599</v>
      </c>
      <c r="D260" s="85">
        <f t="shared" ref="D260:D323" si="55">+(C261-C260)*1000</f>
        <v>1.1444091803980427E-2</v>
      </c>
      <c r="E260">
        <v>81.839637756347699</v>
      </c>
      <c r="F260" s="85">
        <f t="shared" ref="F260:F323" si="56">+(E261-E260)*1000</f>
        <v>5.59234619140625</v>
      </c>
      <c r="G260">
        <v>168.62094116210901</v>
      </c>
      <c r="H260" s="86">
        <f t="shared" ref="H260:H323" si="57">+(G261-G260)*1000</f>
        <v>11.749267579006073</v>
      </c>
      <c r="I260">
        <v>128.29815673828099</v>
      </c>
      <c r="J260" s="86">
        <f t="shared" ref="J260:J323" si="58">+(I261-I260)*1000</f>
        <v>10.147094727017247</v>
      </c>
      <c r="K260">
        <v>193.13543701171901</v>
      </c>
      <c r="L260" s="86">
        <f t="shared" ref="L260:L323" si="59">+(K261-K260)*1000</f>
        <v>15.121459960994343</v>
      </c>
      <c r="M260">
        <v>219.97792053222699</v>
      </c>
      <c r="N260" s="86">
        <f t="shared" ref="N260:N323" si="60">+(M261-M260)*1000</f>
        <v>15.289306639999722</v>
      </c>
      <c r="O260">
        <v>1500.77673339844</v>
      </c>
      <c r="P260" s="40">
        <f t="shared" si="51"/>
        <v>112.42675780999889</v>
      </c>
      <c r="Q260">
        <v>1127.3125</v>
      </c>
      <c r="R260" s="40">
        <f t="shared" si="52"/>
        <v>0.85449219000111043</v>
      </c>
      <c r="S260">
        <v>2763.24731445313</v>
      </c>
      <c r="T260" s="40">
        <f t="shared" si="53"/>
        <v>128.90625</v>
      </c>
      <c r="U260">
        <v>34.365940093994098</v>
      </c>
      <c r="V260" s="33">
        <f t="shared" ref="V260:V323" si="61">+(U261-U260)*1000</f>
        <v>3.2691955567045738</v>
      </c>
      <c r="W260">
        <v>229.37048339843801</v>
      </c>
      <c r="X260" s="90">
        <f t="shared" ref="X260:X323" si="62">+(W261-W260)*1000</f>
        <v>19.592285155994205</v>
      </c>
    </row>
    <row r="261" spans="1:24" x14ac:dyDescent="0.25">
      <c r="A261" s="8">
        <v>42440.75</v>
      </c>
      <c r="B261" s="40">
        <f t="shared" si="54"/>
        <v>18</v>
      </c>
      <c r="C261" s="87">
        <v>55.470550537109403</v>
      </c>
      <c r="D261" s="85">
        <f t="shared" si="55"/>
        <v>0</v>
      </c>
      <c r="E261">
        <v>81.845230102539105</v>
      </c>
      <c r="F261" s="85">
        <f t="shared" si="56"/>
        <v>3.7002563475994066</v>
      </c>
      <c r="G261">
        <v>168.63269042968801</v>
      </c>
      <c r="H261" s="86">
        <f t="shared" si="57"/>
        <v>11.352539061988409</v>
      </c>
      <c r="I261">
        <v>128.30830383300801</v>
      </c>
      <c r="J261" s="86">
        <f t="shared" si="58"/>
        <v>10.131835936988409</v>
      </c>
      <c r="K261">
        <v>193.15055847168</v>
      </c>
      <c r="L261" s="86">
        <f t="shared" si="59"/>
        <v>15.319824218011036</v>
      </c>
      <c r="M261">
        <v>219.99320983886699</v>
      </c>
      <c r="N261" s="86">
        <f t="shared" si="60"/>
        <v>15.365600586022765</v>
      </c>
      <c r="O261">
        <v>1500.88916015625</v>
      </c>
      <c r="P261" s="40">
        <f t="shared" si="51"/>
        <v>112.3046875</v>
      </c>
      <c r="Q261">
        <v>1127.31335449219</v>
      </c>
      <c r="R261" s="40">
        <f t="shared" si="52"/>
        <v>0.73242186999777914</v>
      </c>
      <c r="S261">
        <v>2763.37622070313</v>
      </c>
      <c r="T261" s="40">
        <f t="shared" si="53"/>
        <v>78.369140619997779</v>
      </c>
      <c r="U261">
        <v>34.369209289550803</v>
      </c>
      <c r="V261" s="33">
        <f t="shared" si="61"/>
        <v>3.3111572264985512</v>
      </c>
      <c r="W261">
        <v>229.39007568359401</v>
      </c>
      <c r="X261" s="90">
        <f t="shared" si="62"/>
        <v>19.882202147982753</v>
      </c>
    </row>
    <row r="262" spans="1:24" x14ac:dyDescent="0.25">
      <c r="A262" s="8">
        <v>42440.791666666664</v>
      </c>
      <c r="B262" s="40">
        <f t="shared" si="54"/>
        <v>19</v>
      </c>
      <c r="C262" s="87">
        <v>55.470550537109403</v>
      </c>
      <c r="D262" s="85">
        <f t="shared" si="55"/>
        <v>0</v>
      </c>
      <c r="E262">
        <v>81.848930358886705</v>
      </c>
      <c r="F262" s="85">
        <f t="shared" si="56"/>
        <v>5.6076049804971717</v>
      </c>
      <c r="G262">
        <v>168.64404296875</v>
      </c>
      <c r="H262" s="86">
        <f t="shared" si="57"/>
        <v>11.734008789005657</v>
      </c>
      <c r="I262">
        <v>128.318435668945</v>
      </c>
      <c r="J262" s="86">
        <f t="shared" si="58"/>
        <v>10.284423828011313</v>
      </c>
      <c r="K262">
        <v>193.16587829589801</v>
      </c>
      <c r="L262" s="86">
        <f t="shared" si="59"/>
        <v>15.274047851988826</v>
      </c>
      <c r="M262">
        <v>220.00857543945301</v>
      </c>
      <c r="N262" s="86">
        <f t="shared" si="60"/>
        <v>15.228271485000278</v>
      </c>
      <c r="O262">
        <v>1501.00146484375</v>
      </c>
      <c r="P262" s="40">
        <f t="shared" si="51"/>
        <v>112.06054688000222</v>
      </c>
      <c r="Q262">
        <v>1127.31408691406</v>
      </c>
      <c r="R262" s="40">
        <f t="shared" si="52"/>
        <v>0.85449219000111043</v>
      </c>
      <c r="S262">
        <v>2763.45458984375</v>
      </c>
      <c r="T262" s="40">
        <f t="shared" si="53"/>
        <v>127.9296875</v>
      </c>
      <c r="U262">
        <v>34.372520446777301</v>
      </c>
      <c r="V262" s="33">
        <f t="shared" si="61"/>
        <v>3.368377685596613</v>
      </c>
      <c r="W262">
        <v>229.40995788574199</v>
      </c>
      <c r="X262" s="90">
        <f t="shared" si="62"/>
        <v>19.500732422017109</v>
      </c>
    </row>
    <row r="263" spans="1:24" x14ac:dyDescent="0.25">
      <c r="A263" s="8">
        <v>42440.833333333336</v>
      </c>
      <c r="B263" s="40">
        <f t="shared" si="54"/>
        <v>20</v>
      </c>
      <c r="C263" s="87">
        <v>55.470550537109403</v>
      </c>
      <c r="D263" s="85">
        <f t="shared" si="55"/>
        <v>7.6293944957228632E-3</v>
      </c>
      <c r="E263">
        <v>81.854537963867202</v>
      </c>
      <c r="F263" s="85">
        <f t="shared" si="56"/>
        <v>5.5923461913920391</v>
      </c>
      <c r="G263">
        <v>168.65577697753901</v>
      </c>
      <c r="H263" s="86">
        <f t="shared" si="57"/>
        <v>11.734008789005657</v>
      </c>
      <c r="I263">
        <v>128.32872009277301</v>
      </c>
      <c r="J263" s="86">
        <f t="shared" si="58"/>
        <v>10.375976562983169</v>
      </c>
      <c r="K263">
        <v>193.18115234375</v>
      </c>
      <c r="L263" s="86">
        <f t="shared" si="59"/>
        <v>15.335083008011452</v>
      </c>
      <c r="M263">
        <v>220.02380371093801</v>
      </c>
      <c r="N263" s="86">
        <f t="shared" si="60"/>
        <v>15.075683592982614</v>
      </c>
      <c r="O263">
        <v>1501.11352539063</v>
      </c>
      <c r="P263" s="40">
        <f t="shared" si="51"/>
        <v>84.350585929996669</v>
      </c>
      <c r="Q263">
        <v>1127.31494140625</v>
      </c>
      <c r="R263" s="40">
        <f t="shared" si="52"/>
        <v>0.9765625</v>
      </c>
      <c r="S263">
        <v>2763.58251953125</v>
      </c>
      <c r="T263" s="40">
        <f t="shared" si="53"/>
        <v>128.17382813000222</v>
      </c>
      <c r="U263">
        <v>34.375888824462898</v>
      </c>
      <c r="V263" s="33">
        <f t="shared" si="61"/>
        <v>3.3721923828053946</v>
      </c>
      <c r="W263">
        <v>229.42945861816401</v>
      </c>
      <c r="X263" s="90">
        <f t="shared" si="62"/>
        <v>19.134521484005518</v>
      </c>
    </row>
    <row r="264" spans="1:24" x14ac:dyDescent="0.25">
      <c r="A264" s="8">
        <v>42440.875</v>
      </c>
      <c r="B264" s="40">
        <f t="shared" si="54"/>
        <v>21</v>
      </c>
      <c r="C264" s="87">
        <v>55.470558166503899</v>
      </c>
      <c r="D264" s="85">
        <f t="shared" si="55"/>
        <v>0</v>
      </c>
      <c r="E264">
        <v>81.860130310058594</v>
      </c>
      <c r="F264" s="85">
        <f t="shared" si="56"/>
        <v>5.5847167969034217</v>
      </c>
      <c r="G264">
        <v>168.66751098632801</v>
      </c>
      <c r="H264" s="86">
        <f t="shared" si="57"/>
        <v>11.611938476988826</v>
      </c>
      <c r="I264">
        <v>128.33909606933599</v>
      </c>
      <c r="J264" s="86">
        <f t="shared" si="58"/>
        <v>10.29968261701697</v>
      </c>
      <c r="K264">
        <v>193.19648742675801</v>
      </c>
      <c r="L264" s="86">
        <f t="shared" si="59"/>
        <v>15.167236327982891</v>
      </c>
      <c r="M264">
        <v>220.03887939453099</v>
      </c>
      <c r="N264" s="86">
        <f t="shared" si="60"/>
        <v>15.274047852017247</v>
      </c>
      <c r="O264">
        <v>1501.19787597656</v>
      </c>
      <c r="P264" s="40">
        <f t="shared" si="51"/>
        <v>104.98046875</v>
      </c>
      <c r="Q264">
        <v>1127.31591796875</v>
      </c>
      <c r="R264" s="40">
        <f t="shared" si="52"/>
        <v>0.73242188000222086</v>
      </c>
      <c r="S264">
        <v>2763.71069335938</v>
      </c>
      <c r="T264" s="40">
        <f t="shared" si="53"/>
        <v>127.68554686999778</v>
      </c>
      <c r="U264">
        <v>34.379261016845703</v>
      </c>
      <c r="V264" s="33">
        <f t="shared" si="61"/>
        <v>3.3607482909943087</v>
      </c>
      <c r="W264">
        <v>229.44859313964801</v>
      </c>
      <c r="X264" s="90">
        <f t="shared" si="62"/>
        <v>19.332885742983308</v>
      </c>
    </row>
    <row r="265" spans="1:24" x14ac:dyDescent="0.25">
      <c r="A265" s="8">
        <v>42440.916666666664</v>
      </c>
      <c r="B265" s="40">
        <f t="shared" si="54"/>
        <v>22</v>
      </c>
      <c r="C265" s="87">
        <v>55.470558166503899</v>
      </c>
      <c r="D265" s="85">
        <v>0</v>
      </c>
      <c r="E265">
        <v>81.865715026855497</v>
      </c>
      <c r="F265" s="85">
        <f t="shared" si="56"/>
        <v>5.16510009765625</v>
      </c>
      <c r="G265">
        <v>168.679122924805</v>
      </c>
      <c r="H265" s="86">
        <f t="shared" si="57"/>
        <v>11.657714843494205</v>
      </c>
      <c r="I265">
        <v>128.34939575195301</v>
      </c>
      <c r="J265" s="86">
        <f t="shared" si="58"/>
        <v>10.20812988298303</v>
      </c>
      <c r="K265">
        <v>193.21165466308599</v>
      </c>
      <c r="L265" s="86">
        <f t="shared" si="59"/>
        <v>15.075683593522626</v>
      </c>
      <c r="M265">
        <v>220.05415344238301</v>
      </c>
      <c r="N265" s="86">
        <f t="shared" si="60"/>
        <v>15.060424804488548</v>
      </c>
      <c r="O265">
        <v>1501.30285644531</v>
      </c>
      <c r="P265" s="40">
        <f t="shared" si="51"/>
        <v>63.96484375</v>
      </c>
      <c r="Q265">
        <v>1127.31665039063</v>
      </c>
      <c r="R265" s="40">
        <f t="shared" si="52"/>
        <v>37.71972655999889</v>
      </c>
      <c r="S265">
        <v>2763.83837890625</v>
      </c>
      <c r="T265" s="40">
        <f t="shared" si="53"/>
        <v>119.26269531522848</v>
      </c>
      <c r="U265">
        <v>34.382621765136697</v>
      </c>
      <c r="V265" s="33">
        <f t="shared" si="61"/>
        <v>2.2888183593963163</v>
      </c>
      <c r="W265">
        <v>229.46792602539099</v>
      </c>
      <c r="X265" s="90">
        <f t="shared" si="62"/>
        <v>16.395568847514141</v>
      </c>
    </row>
    <row r="266" spans="1:24" x14ac:dyDescent="0.25">
      <c r="A266" s="8">
        <v>42440.958333333336</v>
      </c>
      <c r="B266" s="40">
        <f t="shared" si="54"/>
        <v>23</v>
      </c>
      <c r="C266">
        <f>+C265+(C267-C265)/2</f>
        <v>55.472629547119155</v>
      </c>
      <c r="D266" s="85">
        <v>0</v>
      </c>
      <c r="E266">
        <f>+E265+(E267-E265)/2</f>
        <v>81.870880126953153</v>
      </c>
      <c r="F266" s="85">
        <f t="shared" si="56"/>
        <v>5.1651000976420391</v>
      </c>
      <c r="G266">
        <f>+G265+(G267-G265)/2</f>
        <v>168.69078063964849</v>
      </c>
      <c r="H266" s="86">
        <f t="shared" si="57"/>
        <v>11.657714843494205</v>
      </c>
      <c r="I266">
        <f>+I265+(I267-I265)/2</f>
        <v>128.35960388183599</v>
      </c>
      <c r="J266" s="86">
        <f t="shared" si="58"/>
        <v>10.208129883011452</v>
      </c>
      <c r="K266">
        <f>+K265+(K267-K265)/2</f>
        <v>193.22673034667952</v>
      </c>
      <c r="L266" s="86">
        <f t="shared" si="59"/>
        <v>15.075683593494205</v>
      </c>
      <c r="M266">
        <f>+M265+(M267-M265)/2</f>
        <v>220.0692138671875</v>
      </c>
      <c r="N266" s="86">
        <f t="shared" si="60"/>
        <v>15.060424804488548</v>
      </c>
      <c r="O266">
        <f>+O265+(O267-O265)/2</f>
        <v>1501.36682128906</v>
      </c>
      <c r="P266" s="40">
        <f t="shared" si="51"/>
        <v>63.96484375</v>
      </c>
      <c r="Q266">
        <f>+Q265+(Q267-Q265)/2</f>
        <v>1127.35437011719</v>
      </c>
      <c r="R266" s="40">
        <f t="shared" si="52"/>
        <v>37.71972655999889</v>
      </c>
      <c r="S266">
        <f>+S265+(S267-S265)/2</f>
        <v>2763.9576416015652</v>
      </c>
      <c r="T266" s="40">
        <f t="shared" si="53"/>
        <v>119.26269531477374</v>
      </c>
      <c r="U266">
        <f>+U265+(U267-U265)/2</f>
        <v>34.384910583496094</v>
      </c>
      <c r="V266" s="33">
        <f t="shared" si="61"/>
        <v>2.2888183594034217</v>
      </c>
      <c r="W266">
        <f>+W265+(W267-W265)/2</f>
        <v>229.48432159423851</v>
      </c>
      <c r="X266" s="90">
        <f t="shared" si="62"/>
        <v>16.39556884748572</v>
      </c>
    </row>
    <row r="267" spans="1:24" x14ac:dyDescent="0.25">
      <c r="A267" s="8">
        <v>42441</v>
      </c>
      <c r="B267" s="40">
        <f t="shared" si="54"/>
        <v>0</v>
      </c>
      <c r="C267" s="87">
        <v>55.474700927734403</v>
      </c>
      <c r="D267" s="85">
        <f t="shared" si="55"/>
        <v>2.0790100096945707</v>
      </c>
      <c r="E267">
        <v>81.876045227050795</v>
      </c>
      <c r="F267" s="85">
        <f t="shared" si="56"/>
        <v>5.5313110350994066</v>
      </c>
      <c r="G267">
        <v>168.70243835449199</v>
      </c>
      <c r="H267" s="86">
        <f t="shared" si="57"/>
        <v>12.069702149005934</v>
      </c>
      <c r="I267">
        <v>128.36981201171901</v>
      </c>
      <c r="J267" s="86">
        <f t="shared" si="58"/>
        <v>10.574340819999861</v>
      </c>
      <c r="K267">
        <v>193.24180603027301</v>
      </c>
      <c r="L267" s="86">
        <f t="shared" si="59"/>
        <v>15.33508300798303</v>
      </c>
      <c r="M267">
        <v>220.08427429199199</v>
      </c>
      <c r="N267" s="86">
        <f t="shared" si="60"/>
        <v>15.243530274005934</v>
      </c>
      <c r="O267">
        <v>1501.43078613281</v>
      </c>
      <c r="P267" s="40">
        <f t="shared" si="51"/>
        <v>60.05859375</v>
      </c>
      <c r="Q267">
        <v>1127.39208984375</v>
      </c>
      <c r="R267" s="40">
        <f t="shared" si="52"/>
        <v>48.70605469000111</v>
      </c>
      <c r="S267">
        <v>2764.07690429688</v>
      </c>
      <c r="T267" s="40">
        <f t="shared" si="53"/>
        <v>128.90625</v>
      </c>
      <c r="U267">
        <v>34.387199401855497</v>
      </c>
      <c r="V267" s="33">
        <f t="shared" si="61"/>
        <v>3.1394958496022696</v>
      </c>
      <c r="W267">
        <v>229.50071716308599</v>
      </c>
      <c r="X267" s="90">
        <f t="shared" si="62"/>
        <v>14.541625977017247</v>
      </c>
    </row>
    <row r="268" spans="1:24" x14ac:dyDescent="0.25">
      <c r="A268" s="8">
        <v>42441.041666666664</v>
      </c>
      <c r="B268" s="40">
        <f t="shared" si="54"/>
        <v>1</v>
      </c>
      <c r="C268" s="87">
        <v>55.476779937744098</v>
      </c>
      <c r="D268" s="85">
        <f t="shared" si="55"/>
        <v>0</v>
      </c>
      <c r="E268">
        <v>81.881576538085895</v>
      </c>
      <c r="F268" s="85">
        <f t="shared" si="56"/>
        <v>5.5770874024005934</v>
      </c>
      <c r="G268">
        <v>168.71450805664099</v>
      </c>
      <c r="H268" s="86">
        <f t="shared" si="57"/>
        <v>11.840820312016831</v>
      </c>
      <c r="I268">
        <v>128.38038635253901</v>
      </c>
      <c r="J268" s="86">
        <f t="shared" si="58"/>
        <v>10.391235351988826</v>
      </c>
      <c r="K268">
        <v>193.25714111328099</v>
      </c>
      <c r="L268" s="86">
        <f t="shared" si="59"/>
        <v>15.258789063011591</v>
      </c>
      <c r="M268">
        <v>220.09951782226599</v>
      </c>
      <c r="N268" s="86">
        <f t="shared" si="60"/>
        <v>15.045166014999722</v>
      </c>
      <c r="O268">
        <v>1501.49084472656</v>
      </c>
      <c r="P268" s="40">
        <f t="shared" si="51"/>
        <v>58.715820320003331</v>
      </c>
      <c r="Q268">
        <v>1127.44079589844</v>
      </c>
      <c r="R268" s="40">
        <f t="shared" si="52"/>
        <v>0.73242186999777914</v>
      </c>
      <c r="S268">
        <v>2764.20581054688</v>
      </c>
      <c r="T268" s="40">
        <f t="shared" si="53"/>
        <v>118.65234375</v>
      </c>
      <c r="U268">
        <v>34.390338897705099</v>
      </c>
      <c r="V268" s="33">
        <f t="shared" si="61"/>
        <v>3.1433105469034217</v>
      </c>
      <c r="W268">
        <v>229.51525878906301</v>
      </c>
      <c r="X268" s="90">
        <f t="shared" si="62"/>
        <v>14.480590819999861</v>
      </c>
    </row>
    <row r="269" spans="1:24" x14ac:dyDescent="0.25">
      <c r="A269" s="8">
        <v>42441.083333333336</v>
      </c>
      <c r="B269" s="40">
        <f t="shared" si="54"/>
        <v>2</v>
      </c>
      <c r="C269" s="87">
        <v>55.476779937744098</v>
      </c>
      <c r="D269" s="85">
        <f t="shared" si="55"/>
        <v>3.6201477050994413</v>
      </c>
      <c r="E269">
        <v>81.887153625488295</v>
      </c>
      <c r="F269" s="85">
        <f t="shared" si="56"/>
        <v>5.4168701172017109</v>
      </c>
      <c r="G269">
        <v>168.72634887695301</v>
      </c>
      <c r="H269" s="86">
        <f t="shared" si="57"/>
        <v>8.1329345699998612</v>
      </c>
      <c r="I269">
        <v>128.39077758789099</v>
      </c>
      <c r="J269" s="86">
        <f t="shared" si="58"/>
        <v>9.933471679005379</v>
      </c>
      <c r="K269">
        <v>193.27239990234401</v>
      </c>
      <c r="L269" s="86">
        <f t="shared" si="59"/>
        <v>14.404296875</v>
      </c>
      <c r="M269">
        <v>220.11456298828099</v>
      </c>
      <c r="N269" s="86">
        <f t="shared" si="60"/>
        <v>11.169433594005795</v>
      </c>
      <c r="O269">
        <v>1501.54956054688</v>
      </c>
      <c r="P269" s="40">
        <f t="shared" si="51"/>
        <v>38.330078119997779</v>
      </c>
      <c r="Q269">
        <v>1127.44152832031</v>
      </c>
      <c r="R269" s="40">
        <f t="shared" si="52"/>
        <v>10.25390625</v>
      </c>
      <c r="S269">
        <v>2764.32446289063</v>
      </c>
      <c r="T269" s="40">
        <f t="shared" si="53"/>
        <v>89.599609369997779</v>
      </c>
      <c r="U269">
        <v>34.393482208252003</v>
      </c>
      <c r="V269" s="33">
        <f t="shared" si="61"/>
        <v>0.22888183589486744</v>
      </c>
      <c r="W269">
        <v>229.52973937988301</v>
      </c>
      <c r="X269" s="90">
        <f t="shared" si="62"/>
        <v>12.268066405994205</v>
      </c>
    </row>
    <row r="270" spans="1:24" x14ac:dyDescent="0.25">
      <c r="A270" s="8">
        <v>42441.125</v>
      </c>
      <c r="B270" s="40">
        <f t="shared" si="54"/>
        <v>3</v>
      </c>
      <c r="C270" s="87">
        <v>55.480400085449197</v>
      </c>
      <c r="D270" s="85">
        <f t="shared" si="55"/>
        <v>5.3367614746022696</v>
      </c>
      <c r="E270">
        <v>81.892570495605497</v>
      </c>
      <c r="F270" s="85">
        <f t="shared" si="56"/>
        <v>5.4550170898011174</v>
      </c>
      <c r="G270">
        <v>168.73448181152301</v>
      </c>
      <c r="H270" s="86">
        <f t="shared" si="57"/>
        <v>0</v>
      </c>
      <c r="I270">
        <v>128.40071105957</v>
      </c>
      <c r="J270" s="86">
        <f t="shared" si="58"/>
        <v>10.162353515994482</v>
      </c>
      <c r="K270">
        <v>193.28680419921901</v>
      </c>
      <c r="L270" s="86">
        <f t="shared" si="59"/>
        <v>15.060424804005379</v>
      </c>
      <c r="M270">
        <v>220.125732421875</v>
      </c>
      <c r="N270" s="86">
        <f t="shared" si="60"/>
        <v>0</v>
      </c>
      <c r="O270">
        <v>1501.587890625</v>
      </c>
      <c r="P270" s="40">
        <f t="shared" si="51"/>
        <v>64.08691405999889</v>
      </c>
      <c r="Q270">
        <v>1127.45178222656</v>
      </c>
      <c r="R270" s="40">
        <f t="shared" si="52"/>
        <v>0.73242188000222086</v>
      </c>
      <c r="S270">
        <v>2764.4140625</v>
      </c>
      <c r="T270" s="40">
        <f t="shared" si="53"/>
        <v>235.10742188000222</v>
      </c>
      <c r="U270">
        <v>34.393711090087898</v>
      </c>
      <c r="V270" s="33">
        <f t="shared" si="61"/>
        <v>0.16021728509940658</v>
      </c>
      <c r="W270">
        <v>229.54200744628901</v>
      </c>
      <c r="X270" s="90">
        <f t="shared" si="62"/>
        <v>14.434814452982891</v>
      </c>
    </row>
    <row r="271" spans="1:24" x14ac:dyDescent="0.25">
      <c r="A271" s="8">
        <v>42441.166666666664</v>
      </c>
      <c r="B271" s="40">
        <f t="shared" si="54"/>
        <v>4</v>
      </c>
      <c r="C271" s="87">
        <v>55.4857368469238</v>
      </c>
      <c r="D271" s="85">
        <f t="shared" si="55"/>
        <v>5.2528381348011521</v>
      </c>
      <c r="E271">
        <v>81.898025512695298</v>
      </c>
      <c r="F271" s="85">
        <f t="shared" si="56"/>
        <v>5.5847167969034217</v>
      </c>
      <c r="G271">
        <v>168.73448181152301</v>
      </c>
      <c r="H271" s="86">
        <f t="shared" si="57"/>
        <v>0</v>
      </c>
      <c r="I271">
        <v>128.41087341308599</v>
      </c>
      <c r="J271" s="86">
        <f t="shared" si="58"/>
        <v>10.101318359005518</v>
      </c>
      <c r="K271">
        <v>193.30186462402301</v>
      </c>
      <c r="L271" s="86">
        <f t="shared" si="59"/>
        <v>15.075683593977374</v>
      </c>
      <c r="M271">
        <v>220.125732421875</v>
      </c>
      <c r="N271" s="86">
        <f t="shared" si="60"/>
        <v>0</v>
      </c>
      <c r="O271">
        <v>1501.65197753906</v>
      </c>
      <c r="P271" s="40">
        <f t="shared" si="51"/>
        <v>65.551757820003331</v>
      </c>
      <c r="Q271">
        <v>1127.45251464844</v>
      </c>
      <c r="R271" s="40">
        <f t="shared" si="52"/>
        <v>0.9765625</v>
      </c>
      <c r="S271">
        <v>2764.64916992188</v>
      </c>
      <c r="T271" s="40">
        <f t="shared" si="53"/>
        <v>137.93945311999778</v>
      </c>
      <c r="U271">
        <v>34.393871307372997</v>
      </c>
      <c r="V271" s="33">
        <f t="shared" si="61"/>
        <v>0.16784667970171085</v>
      </c>
      <c r="W271">
        <v>229.55644226074199</v>
      </c>
      <c r="X271" s="90">
        <f t="shared" si="62"/>
        <v>14.465332031022626</v>
      </c>
    </row>
    <row r="272" spans="1:24" x14ac:dyDescent="0.25">
      <c r="A272" s="8">
        <v>42441.208333333336</v>
      </c>
      <c r="B272" s="40">
        <f t="shared" si="54"/>
        <v>5</v>
      </c>
      <c r="C272" s="87">
        <v>55.490989685058601</v>
      </c>
      <c r="D272" s="85">
        <f t="shared" si="55"/>
        <v>5.3367614746022696</v>
      </c>
      <c r="E272">
        <v>81.903610229492202</v>
      </c>
      <c r="F272" s="85">
        <f t="shared" si="56"/>
        <v>5.5618286132954609</v>
      </c>
      <c r="G272">
        <v>168.73448181152301</v>
      </c>
      <c r="H272" s="86">
        <f t="shared" si="57"/>
        <v>0</v>
      </c>
      <c r="I272">
        <v>128.420974731445</v>
      </c>
      <c r="J272" s="86">
        <f t="shared" si="58"/>
        <v>10.147094726988826</v>
      </c>
      <c r="K272">
        <v>193.31694030761699</v>
      </c>
      <c r="L272" s="86">
        <f t="shared" si="59"/>
        <v>15.060424805000139</v>
      </c>
      <c r="M272">
        <v>220.125732421875</v>
      </c>
      <c r="N272" s="86">
        <f t="shared" si="60"/>
        <v>0</v>
      </c>
      <c r="O272">
        <v>1501.71752929688</v>
      </c>
      <c r="P272" s="40">
        <f t="shared" si="51"/>
        <v>64.208984369997779</v>
      </c>
      <c r="Q272">
        <v>1127.45349121094</v>
      </c>
      <c r="R272" s="40">
        <f t="shared" si="52"/>
        <v>0.85449219000111043</v>
      </c>
      <c r="S272">
        <v>2764.787109375</v>
      </c>
      <c r="T272" s="40">
        <f t="shared" si="53"/>
        <v>107.91015625</v>
      </c>
      <c r="U272">
        <v>34.394039154052699</v>
      </c>
      <c r="V272" s="33">
        <f t="shared" si="61"/>
        <v>0.16021728519888256</v>
      </c>
      <c r="W272">
        <v>229.57090759277301</v>
      </c>
      <c r="X272" s="90">
        <f t="shared" si="62"/>
        <v>14.495849610000278</v>
      </c>
    </row>
    <row r="273" spans="1:24" x14ac:dyDescent="0.25">
      <c r="A273" s="8">
        <v>42441.25</v>
      </c>
      <c r="B273" s="40">
        <f t="shared" si="54"/>
        <v>6</v>
      </c>
      <c r="C273" s="87">
        <v>55.496326446533203</v>
      </c>
      <c r="D273" s="85">
        <f t="shared" si="55"/>
        <v>1.9111633300994413</v>
      </c>
      <c r="E273">
        <v>81.909172058105497</v>
      </c>
      <c r="F273" s="85">
        <f t="shared" si="56"/>
        <v>4.3029785155965783</v>
      </c>
      <c r="G273">
        <v>168.73448181152301</v>
      </c>
      <c r="H273" s="86">
        <f t="shared" si="57"/>
        <v>0</v>
      </c>
      <c r="I273">
        <v>128.43112182617199</v>
      </c>
      <c r="J273" s="86">
        <f t="shared" si="58"/>
        <v>8.6669921870168309</v>
      </c>
      <c r="K273">
        <v>193.33200073242199</v>
      </c>
      <c r="L273" s="86">
        <f t="shared" si="59"/>
        <v>14.877319336022765</v>
      </c>
      <c r="M273">
        <v>220.125732421875</v>
      </c>
      <c r="N273" s="86">
        <f t="shared" si="60"/>
        <v>0</v>
      </c>
      <c r="O273">
        <v>1501.78173828125</v>
      </c>
      <c r="P273" s="40">
        <f t="shared" si="51"/>
        <v>58.10546875</v>
      </c>
      <c r="Q273">
        <v>1127.45434570313</v>
      </c>
      <c r="R273" s="40">
        <f t="shared" si="52"/>
        <v>0.61035155999888957</v>
      </c>
      <c r="S273">
        <v>2764.89501953125</v>
      </c>
      <c r="T273" s="40">
        <f t="shared" si="53"/>
        <v>131.34765625</v>
      </c>
      <c r="U273">
        <v>34.394199371337898</v>
      </c>
      <c r="V273" s="33">
        <f t="shared" si="61"/>
        <v>0.17166137690338701</v>
      </c>
      <c r="W273">
        <v>229.58540344238301</v>
      </c>
      <c r="X273" s="90">
        <f t="shared" si="62"/>
        <v>14.587402343977374</v>
      </c>
    </row>
    <row r="274" spans="1:24" x14ac:dyDescent="0.25">
      <c r="A274" s="8">
        <v>42441.291666666664</v>
      </c>
      <c r="B274" s="40">
        <f t="shared" si="54"/>
        <v>7</v>
      </c>
      <c r="C274" s="87">
        <v>55.498237609863303</v>
      </c>
      <c r="D274" s="85">
        <f t="shared" si="55"/>
        <v>1.1444091796875E-2</v>
      </c>
      <c r="E274">
        <v>81.913475036621094</v>
      </c>
      <c r="F274" s="85">
        <f t="shared" si="56"/>
        <v>5.6381225586079609</v>
      </c>
      <c r="G274">
        <v>168.73448181152301</v>
      </c>
      <c r="H274" s="86">
        <f t="shared" si="57"/>
        <v>0</v>
      </c>
      <c r="I274">
        <v>128.43978881835901</v>
      </c>
      <c r="J274" s="86">
        <f t="shared" si="58"/>
        <v>9.6740722659944822</v>
      </c>
      <c r="K274">
        <v>193.34687805175801</v>
      </c>
      <c r="L274" s="86">
        <f t="shared" si="59"/>
        <v>15.075683593977374</v>
      </c>
      <c r="M274">
        <v>220.125732421875</v>
      </c>
      <c r="N274" s="86">
        <f t="shared" si="60"/>
        <v>0</v>
      </c>
      <c r="O274">
        <v>1501.83984375</v>
      </c>
      <c r="P274" s="40">
        <f t="shared" si="51"/>
        <v>88.01269530999889</v>
      </c>
      <c r="Q274">
        <v>1127.45495605469</v>
      </c>
      <c r="R274" s="40">
        <f t="shared" si="52"/>
        <v>0.9765625</v>
      </c>
      <c r="S274">
        <v>2765.0263671875</v>
      </c>
      <c r="T274" s="40">
        <f t="shared" si="53"/>
        <v>230.46875</v>
      </c>
      <c r="U274">
        <v>34.394371032714801</v>
      </c>
      <c r="V274" s="33">
        <f t="shared" si="61"/>
        <v>0.16021728519888256</v>
      </c>
      <c r="W274">
        <v>229.59999084472699</v>
      </c>
      <c r="X274" s="90">
        <f t="shared" si="62"/>
        <v>14.45007324201697</v>
      </c>
    </row>
    <row r="275" spans="1:24" x14ac:dyDescent="0.25">
      <c r="A275" s="8">
        <v>42441.333333333336</v>
      </c>
      <c r="B275" s="40">
        <f t="shared" si="54"/>
        <v>8</v>
      </c>
      <c r="C275" s="87">
        <v>55.498249053955099</v>
      </c>
      <c r="D275" s="85">
        <f t="shared" si="55"/>
        <v>0</v>
      </c>
      <c r="E275">
        <v>81.919113159179702</v>
      </c>
      <c r="F275" s="85">
        <f t="shared" si="56"/>
        <v>3.0441284179971717</v>
      </c>
      <c r="G275">
        <v>168.73448181152301</v>
      </c>
      <c r="H275" s="86">
        <f t="shared" si="57"/>
        <v>0</v>
      </c>
      <c r="I275">
        <v>128.449462890625</v>
      </c>
      <c r="J275" s="86">
        <f t="shared" si="58"/>
        <v>9.4604492190057954</v>
      </c>
      <c r="K275">
        <v>193.36195373535199</v>
      </c>
      <c r="L275" s="86">
        <f t="shared" si="59"/>
        <v>15.197753906022626</v>
      </c>
      <c r="M275">
        <v>220.125732421875</v>
      </c>
      <c r="N275" s="86">
        <f t="shared" si="60"/>
        <v>0</v>
      </c>
      <c r="O275">
        <v>1501.92785644531</v>
      </c>
      <c r="P275" s="40">
        <f t="shared" si="51"/>
        <v>95.09277344000111</v>
      </c>
      <c r="Q275">
        <v>1127.45593261719</v>
      </c>
      <c r="R275" s="40">
        <f t="shared" si="52"/>
        <v>0.73242186999777914</v>
      </c>
      <c r="S275">
        <v>2765.2568359375</v>
      </c>
      <c r="T275" s="40">
        <f t="shared" si="53"/>
        <v>116.2109375</v>
      </c>
      <c r="U275">
        <v>34.39453125</v>
      </c>
      <c r="V275" s="33">
        <f t="shared" si="61"/>
        <v>0.16784667970171085</v>
      </c>
      <c r="W275">
        <v>229.61444091796901</v>
      </c>
      <c r="X275" s="90">
        <f t="shared" si="62"/>
        <v>8.1481933590055178</v>
      </c>
    </row>
    <row r="276" spans="1:24" x14ac:dyDescent="0.25">
      <c r="A276" s="8">
        <v>42441.375</v>
      </c>
      <c r="B276" s="40">
        <f t="shared" si="54"/>
        <v>9</v>
      </c>
      <c r="C276" s="87">
        <v>55.498249053955099</v>
      </c>
      <c r="D276" s="85">
        <f t="shared" si="55"/>
        <v>0</v>
      </c>
      <c r="E276">
        <v>81.922157287597699</v>
      </c>
      <c r="F276" s="85">
        <f t="shared" si="56"/>
        <v>1.4801025390056566</v>
      </c>
      <c r="G276">
        <v>168.73448181152301</v>
      </c>
      <c r="H276" s="86">
        <f t="shared" si="57"/>
        <v>0</v>
      </c>
      <c r="I276">
        <v>128.45892333984401</v>
      </c>
      <c r="J276" s="86">
        <f t="shared" si="58"/>
        <v>9.4604492190057954</v>
      </c>
      <c r="K276">
        <v>193.37715148925801</v>
      </c>
      <c r="L276" s="86">
        <f t="shared" si="59"/>
        <v>15.167236327982891</v>
      </c>
      <c r="M276">
        <v>220.125732421875</v>
      </c>
      <c r="N276" s="86">
        <f t="shared" si="60"/>
        <v>0</v>
      </c>
      <c r="O276">
        <v>1502.02294921875</v>
      </c>
      <c r="P276" s="40">
        <f t="shared" si="51"/>
        <v>112.42675780999889</v>
      </c>
      <c r="Q276">
        <v>1127.45666503906</v>
      </c>
      <c r="R276" s="40">
        <f t="shared" si="52"/>
        <v>0.85449219000111043</v>
      </c>
      <c r="S276">
        <v>2765.373046875</v>
      </c>
      <c r="T276" s="40">
        <f t="shared" si="53"/>
        <v>28.3203125</v>
      </c>
      <c r="U276">
        <v>34.394699096679702</v>
      </c>
      <c r="V276" s="33">
        <f t="shared" si="61"/>
        <v>0.16021728509940658</v>
      </c>
      <c r="W276">
        <v>229.62258911132801</v>
      </c>
      <c r="X276" s="90">
        <f t="shared" si="62"/>
        <v>4.4097900389772349</v>
      </c>
    </row>
    <row r="277" spans="1:24" x14ac:dyDescent="0.25">
      <c r="A277" s="8">
        <v>42441.416666666664</v>
      </c>
      <c r="B277" s="40">
        <f t="shared" si="54"/>
        <v>10</v>
      </c>
      <c r="C277" s="87">
        <v>55.498249053955099</v>
      </c>
      <c r="D277" s="85">
        <f t="shared" si="55"/>
        <v>1.1444091803980427E-2</v>
      </c>
      <c r="E277">
        <v>81.923637390136705</v>
      </c>
      <c r="F277" s="85">
        <f t="shared" si="56"/>
        <v>5.6838989257954609</v>
      </c>
      <c r="G277">
        <v>168.73448181152301</v>
      </c>
      <c r="H277" s="86">
        <f t="shared" si="57"/>
        <v>0</v>
      </c>
      <c r="I277">
        <v>128.46838378906301</v>
      </c>
      <c r="J277" s="86">
        <f t="shared" si="58"/>
        <v>9.7198486319882704</v>
      </c>
      <c r="K277">
        <v>193.39231872558599</v>
      </c>
      <c r="L277" s="86">
        <f t="shared" si="59"/>
        <v>15.197753905994205</v>
      </c>
      <c r="M277">
        <v>220.125732421875</v>
      </c>
      <c r="N277" s="86">
        <f t="shared" si="60"/>
        <v>0</v>
      </c>
      <c r="O277">
        <v>1502.13537597656</v>
      </c>
      <c r="P277" s="40">
        <f t="shared" si="51"/>
        <v>111.328125</v>
      </c>
      <c r="Q277">
        <v>1127.45751953125</v>
      </c>
      <c r="R277" s="40">
        <f t="shared" si="52"/>
        <v>0.73242188000222086</v>
      </c>
      <c r="S277">
        <v>2765.4013671875</v>
      </c>
      <c r="T277" s="40">
        <f t="shared" si="53"/>
        <v>106.4453125</v>
      </c>
      <c r="U277">
        <v>34.394859313964801</v>
      </c>
      <c r="V277" s="33">
        <f t="shared" si="61"/>
        <v>0.17166137699575756</v>
      </c>
      <c r="W277">
        <v>229.62699890136699</v>
      </c>
      <c r="X277" s="90">
        <f t="shared" si="62"/>
        <v>4.3182373050001388</v>
      </c>
    </row>
    <row r="278" spans="1:24" x14ac:dyDescent="0.25">
      <c r="A278" s="8">
        <v>42441.458333333336</v>
      </c>
      <c r="B278" s="40">
        <f t="shared" si="54"/>
        <v>11</v>
      </c>
      <c r="C278" s="87">
        <v>55.498260498046903</v>
      </c>
      <c r="D278" s="85">
        <f t="shared" si="55"/>
        <v>0</v>
      </c>
      <c r="E278">
        <v>81.9293212890625</v>
      </c>
      <c r="F278" s="85">
        <f t="shared" si="56"/>
        <v>5.6762695313068434</v>
      </c>
      <c r="G278">
        <v>168.73448181152301</v>
      </c>
      <c r="H278" s="86">
        <f t="shared" si="57"/>
        <v>0</v>
      </c>
      <c r="I278">
        <v>128.478103637695</v>
      </c>
      <c r="J278" s="86">
        <f t="shared" si="58"/>
        <v>9.5062255859943434</v>
      </c>
      <c r="K278">
        <v>193.40751647949199</v>
      </c>
      <c r="L278" s="86">
        <f t="shared" si="59"/>
        <v>15.045166016022904</v>
      </c>
      <c r="M278">
        <v>220.125732421875</v>
      </c>
      <c r="N278" s="86">
        <f t="shared" si="60"/>
        <v>0</v>
      </c>
      <c r="O278">
        <v>1502.24670410156</v>
      </c>
      <c r="P278" s="40">
        <f t="shared" si="51"/>
        <v>113.64746094000111</v>
      </c>
      <c r="Q278">
        <v>1127.45825195313</v>
      </c>
      <c r="R278" s="40">
        <f t="shared" si="52"/>
        <v>0.85449217999666871</v>
      </c>
      <c r="S278">
        <v>2765.5078125</v>
      </c>
      <c r="T278" s="40">
        <f t="shared" si="53"/>
        <v>113.76953125</v>
      </c>
      <c r="U278">
        <v>34.395030975341797</v>
      </c>
      <c r="V278" s="33">
        <f t="shared" si="61"/>
        <v>0.16784667970171085</v>
      </c>
      <c r="W278">
        <v>229.63131713867199</v>
      </c>
      <c r="X278" s="90">
        <f t="shared" si="62"/>
        <v>4.8828125</v>
      </c>
    </row>
    <row r="279" spans="1:24" x14ac:dyDescent="0.25">
      <c r="A279" s="8">
        <v>42441.5</v>
      </c>
      <c r="B279" s="40">
        <f t="shared" si="54"/>
        <v>12</v>
      </c>
      <c r="C279" s="87">
        <v>55.498260498046903</v>
      </c>
      <c r="D279" s="85">
        <f t="shared" si="55"/>
        <v>0</v>
      </c>
      <c r="E279">
        <v>81.934997558593807</v>
      </c>
      <c r="F279" s="85">
        <f t="shared" si="56"/>
        <v>5.6533813475994066</v>
      </c>
      <c r="G279">
        <v>168.73448181152301</v>
      </c>
      <c r="H279" s="86">
        <f t="shared" si="57"/>
        <v>0.19836425798303026</v>
      </c>
      <c r="I279">
        <v>128.48760986328099</v>
      </c>
      <c r="J279" s="86">
        <f t="shared" si="58"/>
        <v>9.3231201170169697</v>
      </c>
      <c r="K279">
        <v>193.42256164550801</v>
      </c>
      <c r="L279" s="86">
        <f t="shared" si="59"/>
        <v>15.197753905994205</v>
      </c>
      <c r="M279">
        <v>220.125732421875</v>
      </c>
      <c r="N279" s="86">
        <f t="shared" si="60"/>
        <v>0</v>
      </c>
      <c r="O279">
        <v>1502.3603515625</v>
      </c>
      <c r="P279" s="40">
        <f t="shared" si="51"/>
        <v>111.69433594000111</v>
      </c>
      <c r="Q279">
        <v>1127.45910644531</v>
      </c>
      <c r="R279" s="40">
        <f t="shared" si="52"/>
        <v>0.73242188000222086</v>
      </c>
      <c r="S279">
        <v>2765.62158203125</v>
      </c>
      <c r="T279" s="40">
        <f t="shared" si="53"/>
        <v>115.96679688000222</v>
      </c>
      <c r="U279">
        <v>34.395198822021499</v>
      </c>
      <c r="V279" s="33">
        <f t="shared" si="61"/>
        <v>0.16021728509940658</v>
      </c>
      <c r="W279">
        <v>229.63619995117199</v>
      </c>
      <c r="X279" s="90">
        <f t="shared" si="62"/>
        <v>5.5999755860227651</v>
      </c>
    </row>
    <row r="280" spans="1:24" x14ac:dyDescent="0.25">
      <c r="A280" s="8">
        <v>42441.541666666664</v>
      </c>
      <c r="B280" s="40">
        <f t="shared" si="54"/>
        <v>13</v>
      </c>
      <c r="C280" s="87">
        <v>55.498260498046903</v>
      </c>
      <c r="D280" s="85">
        <f t="shared" si="55"/>
        <v>0</v>
      </c>
      <c r="E280">
        <v>81.940650939941406</v>
      </c>
      <c r="F280" s="85">
        <f t="shared" si="56"/>
        <v>5.5313110351988826</v>
      </c>
      <c r="G280">
        <v>168.73468017578099</v>
      </c>
      <c r="H280" s="86">
        <f t="shared" si="57"/>
        <v>9.597778320994621</v>
      </c>
      <c r="I280">
        <v>128.49693298339801</v>
      </c>
      <c r="J280" s="86">
        <f t="shared" si="58"/>
        <v>8.3465576179833079</v>
      </c>
      <c r="K280">
        <v>193.43775939941401</v>
      </c>
      <c r="L280" s="86">
        <f t="shared" si="59"/>
        <v>15.441894530994205</v>
      </c>
      <c r="M280">
        <v>220.125732421875</v>
      </c>
      <c r="N280" s="86">
        <f t="shared" si="60"/>
        <v>14.694213866988548</v>
      </c>
      <c r="O280">
        <v>1502.47204589844</v>
      </c>
      <c r="P280" s="40">
        <f t="shared" si="51"/>
        <v>112.91503905999889</v>
      </c>
      <c r="Q280">
        <v>1127.45983886719</v>
      </c>
      <c r="R280" s="40">
        <f t="shared" si="52"/>
        <v>0.85449219000111043</v>
      </c>
      <c r="S280">
        <v>2765.73754882813</v>
      </c>
      <c r="T280" s="40">
        <f t="shared" si="53"/>
        <v>116.2109375</v>
      </c>
      <c r="U280">
        <v>34.395359039306598</v>
      </c>
      <c r="V280" s="33">
        <f t="shared" si="61"/>
        <v>1.6899108887002967</v>
      </c>
      <c r="W280">
        <v>229.64179992675801</v>
      </c>
      <c r="X280" s="90">
        <f t="shared" si="62"/>
        <v>14.282226561988409</v>
      </c>
    </row>
    <row r="281" spans="1:24" x14ac:dyDescent="0.25">
      <c r="A281" s="8">
        <v>42441.583333333336</v>
      </c>
      <c r="B281" s="40">
        <f t="shared" si="54"/>
        <v>14</v>
      </c>
      <c r="C281" s="87">
        <v>55.498260498046903</v>
      </c>
      <c r="D281" s="85">
        <f t="shared" si="55"/>
        <v>0</v>
      </c>
      <c r="E281">
        <v>81.946182250976605</v>
      </c>
      <c r="F281" s="85">
        <f t="shared" si="56"/>
        <v>5.6304931639914457</v>
      </c>
      <c r="G281">
        <v>168.74427795410199</v>
      </c>
      <c r="H281" s="86">
        <f t="shared" si="57"/>
        <v>11.993408203011313</v>
      </c>
      <c r="I281">
        <v>128.50527954101599</v>
      </c>
      <c r="J281" s="86">
        <f t="shared" si="58"/>
        <v>10.406494139999722</v>
      </c>
      <c r="K281">
        <v>193.453201293945</v>
      </c>
      <c r="L281" s="86">
        <f t="shared" si="59"/>
        <v>15.151977539005657</v>
      </c>
      <c r="M281">
        <v>220.14042663574199</v>
      </c>
      <c r="N281" s="86">
        <f t="shared" si="60"/>
        <v>15.289306641022904</v>
      </c>
      <c r="O281">
        <v>1502.5849609375</v>
      </c>
      <c r="P281" s="40">
        <f t="shared" si="51"/>
        <v>112.91503905999889</v>
      </c>
      <c r="Q281">
        <v>1127.46069335938</v>
      </c>
      <c r="R281" s="40">
        <f t="shared" si="52"/>
        <v>0.9765625</v>
      </c>
      <c r="S281">
        <v>2765.85375976563</v>
      </c>
      <c r="T281" s="40">
        <f t="shared" si="53"/>
        <v>115.234375</v>
      </c>
      <c r="U281">
        <v>34.397048950195298</v>
      </c>
      <c r="V281" s="33">
        <f t="shared" si="61"/>
        <v>3.1318664550994413</v>
      </c>
      <c r="W281">
        <v>229.65608215332</v>
      </c>
      <c r="X281" s="90">
        <f t="shared" si="62"/>
        <v>19.561767578011313</v>
      </c>
    </row>
    <row r="282" spans="1:24" x14ac:dyDescent="0.25">
      <c r="A282" s="8">
        <v>42441.625</v>
      </c>
      <c r="B282" s="40">
        <f t="shared" si="54"/>
        <v>15</v>
      </c>
      <c r="C282" s="87">
        <v>55.498260498046903</v>
      </c>
      <c r="D282" s="85">
        <f t="shared" si="55"/>
        <v>0</v>
      </c>
      <c r="E282">
        <v>81.951812744140597</v>
      </c>
      <c r="F282" s="85">
        <f t="shared" si="56"/>
        <v>5.5541992188068434</v>
      </c>
      <c r="G282">
        <v>168.756271362305</v>
      </c>
      <c r="H282" s="86">
        <f t="shared" si="57"/>
        <v>11.871337889999722</v>
      </c>
      <c r="I282">
        <v>128.51568603515599</v>
      </c>
      <c r="J282" s="86">
        <f t="shared" si="58"/>
        <v>10.330200195994621</v>
      </c>
      <c r="K282">
        <v>193.46835327148401</v>
      </c>
      <c r="L282" s="86">
        <f t="shared" si="59"/>
        <v>15.441894531988964</v>
      </c>
      <c r="M282">
        <v>220.15571594238301</v>
      </c>
      <c r="N282" s="86">
        <f t="shared" si="60"/>
        <v>15.365600585994343</v>
      </c>
      <c r="O282">
        <v>1502.69787597656</v>
      </c>
      <c r="P282" s="40">
        <f t="shared" si="51"/>
        <v>111.93847657000333</v>
      </c>
      <c r="Q282">
        <v>1127.46166992188</v>
      </c>
      <c r="R282" s="40">
        <f t="shared" si="52"/>
        <v>0.85449217999666871</v>
      </c>
      <c r="S282">
        <v>2765.96899414063</v>
      </c>
      <c r="T282" s="40">
        <f t="shared" si="53"/>
        <v>113.52539061999778</v>
      </c>
      <c r="U282">
        <v>34.400180816650398</v>
      </c>
      <c r="V282" s="33">
        <f t="shared" si="61"/>
        <v>3.1700134276988479</v>
      </c>
      <c r="W282">
        <v>229.67564392089801</v>
      </c>
      <c r="X282" s="90">
        <f t="shared" si="62"/>
        <v>19.775390625</v>
      </c>
    </row>
    <row r="283" spans="1:24" x14ac:dyDescent="0.25">
      <c r="A283" s="8">
        <v>42441.666666666664</v>
      </c>
      <c r="B283" s="40">
        <f t="shared" si="54"/>
        <v>16</v>
      </c>
      <c r="C283" s="87">
        <v>55.498260498046903</v>
      </c>
      <c r="D283" s="85">
        <f t="shared" si="55"/>
        <v>0</v>
      </c>
      <c r="E283">
        <v>81.957366943359403</v>
      </c>
      <c r="F283" s="85">
        <f t="shared" si="56"/>
        <v>1.2893676757954609</v>
      </c>
      <c r="G283">
        <v>168.768142700195</v>
      </c>
      <c r="H283" s="86">
        <f t="shared" si="57"/>
        <v>11.169433594005795</v>
      </c>
      <c r="I283">
        <v>128.52601623535199</v>
      </c>
      <c r="J283" s="86">
        <f t="shared" si="58"/>
        <v>9.7503662110227651</v>
      </c>
      <c r="K283">
        <v>193.48379516601599</v>
      </c>
      <c r="L283" s="86">
        <f t="shared" si="59"/>
        <v>15.289306639999722</v>
      </c>
      <c r="M283">
        <v>220.17108154296901</v>
      </c>
      <c r="N283" s="86">
        <f t="shared" si="60"/>
        <v>15.274047850994066</v>
      </c>
      <c r="O283">
        <v>1502.80981445313</v>
      </c>
      <c r="P283" s="40">
        <f t="shared" si="51"/>
        <v>112.91503905999889</v>
      </c>
      <c r="Q283">
        <v>1127.46252441406</v>
      </c>
      <c r="R283" s="40">
        <f t="shared" si="52"/>
        <v>0.73242188000222086</v>
      </c>
      <c r="S283">
        <v>2766.08251953125</v>
      </c>
      <c r="T283" s="40">
        <f t="shared" si="53"/>
        <v>23.92578125</v>
      </c>
      <c r="U283">
        <v>34.403350830078097</v>
      </c>
      <c r="V283" s="33">
        <f t="shared" si="61"/>
        <v>3.2196044922017109</v>
      </c>
      <c r="W283">
        <v>229.69541931152301</v>
      </c>
      <c r="X283" s="90">
        <f t="shared" si="62"/>
        <v>19.653320312983169</v>
      </c>
    </row>
    <row r="284" spans="1:24" x14ac:dyDescent="0.25">
      <c r="A284" s="8">
        <v>42441.708333333336</v>
      </c>
      <c r="B284" s="40">
        <f t="shared" si="54"/>
        <v>17</v>
      </c>
      <c r="C284" s="87">
        <v>55.498260498046903</v>
      </c>
      <c r="D284" s="85">
        <f t="shared" si="55"/>
        <v>0</v>
      </c>
      <c r="E284">
        <v>81.958656311035199</v>
      </c>
      <c r="F284" s="85">
        <f t="shared" si="56"/>
        <v>0</v>
      </c>
      <c r="G284">
        <v>168.77931213378901</v>
      </c>
      <c r="H284" s="86">
        <f t="shared" si="57"/>
        <v>11.413574219005795</v>
      </c>
      <c r="I284">
        <v>128.53576660156301</v>
      </c>
      <c r="J284" s="86">
        <f t="shared" si="58"/>
        <v>9.8876953119884092</v>
      </c>
      <c r="K284">
        <v>193.49908447265599</v>
      </c>
      <c r="L284" s="86">
        <f t="shared" si="59"/>
        <v>15.228271485000278</v>
      </c>
      <c r="M284">
        <v>220.18635559082</v>
      </c>
      <c r="N284" s="86">
        <f t="shared" si="60"/>
        <v>15.274047851988826</v>
      </c>
      <c r="O284">
        <v>1502.92272949219</v>
      </c>
      <c r="P284" s="40">
        <f t="shared" si="51"/>
        <v>111.69433594000111</v>
      </c>
      <c r="Q284">
        <v>1127.46325683594</v>
      </c>
      <c r="R284" s="40">
        <f t="shared" si="52"/>
        <v>0.73242186999777914</v>
      </c>
      <c r="S284">
        <v>2766.1064453125</v>
      </c>
      <c r="T284" s="40">
        <f t="shared" si="53"/>
        <v>0.9765625</v>
      </c>
      <c r="U284">
        <v>34.406570434570298</v>
      </c>
      <c r="V284" s="33">
        <f t="shared" si="61"/>
        <v>3.3073425293039804</v>
      </c>
      <c r="W284">
        <v>229.71507263183599</v>
      </c>
      <c r="X284" s="90">
        <f t="shared" si="62"/>
        <v>19.866943359005518</v>
      </c>
    </row>
    <row r="285" spans="1:24" x14ac:dyDescent="0.25">
      <c r="A285" s="8">
        <v>42441.75</v>
      </c>
      <c r="B285" s="40">
        <f t="shared" si="54"/>
        <v>18</v>
      </c>
      <c r="C285" s="87">
        <v>55.498260498046903</v>
      </c>
      <c r="D285" s="85">
        <f t="shared" si="55"/>
        <v>0</v>
      </c>
      <c r="E285">
        <v>81.958656311035199</v>
      </c>
      <c r="F285" s="85">
        <f t="shared" si="56"/>
        <v>5.0430297850994066</v>
      </c>
      <c r="G285">
        <v>168.79072570800801</v>
      </c>
      <c r="H285" s="86">
        <f t="shared" si="57"/>
        <v>11.840820311988409</v>
      </c>
      <c r="I285">
        <v>128.545654296875</v>
      </c>
      <c r="J285" s="86">
        <f t="shared" si="58"/>
        <v>10.406494140994482</v>
      </c>
      <c r="K285">
        <v>193.51431274414099</v>
      </c>
      <c r="L285" s="86">
        <f t="shared" si="59"/>
        <v>14.923095703011313</v>
      </c>
      <c r="M285">
        <v>220.20162963867199</v>
      </c>
      <c r="N285" s="86">
        <f t="shared" si="60"/>
        <v>15.151977539005657</v>
      </c>
      <c r="O285">
        <v>1503.03442382813</v>
      </c>
      <c r="P285" s="40">
        <f t="shared" si="51"/>
        <v>111.328125</v>
      </c>
      <c r="Q285">
        <v>1127.46398925781</v>
      </c>
      <c r="R285" s="40">
        <f t="shared" si="52"/>
        <v>0.73242188000222086</v>
      </c>
      <c r="S285">
        <v>2766.107421875</v>
      </c>
      <c r="T285" s="40">
        <f t="shared" si="53"/>
        <v>94.7265625</v>
      </c>
      <c r="U285">
        <v>34.409877777099602</v>
      </c>
      <c r="V285" s="33">
        <f t="shared" si="61"/>
        <v>3.3416748046946054</v>
      </c>
      <c r="W285">
        <v>229.734939575195</v>
      </c>
      <c r="X285" s="90">
        <f t="shared" si="62"/>
        <v>19.439697265994482</v>
      </c>
    </row>
    <row r="286" spans="1:24" x14ac:dyDescent="0.25">
      <c r="A286" s="8">
        <v>42441.791666666664</v>
      </c>
      <c r="B286" s="40">
        <f t="shared" si="54"/>
        <v>19</v>
      </c>
      <c r="C286" s="87">
        <v>55.498260498046903</v>
      </c>
      <c r="D286" s="85">
        <f t="shared" si="55"/>
        <v>7.6293944957228632E-3</v>
      </c>
      <c r="E286">
        <v>81.963699340820298</v>
      </c>
      <c r="F286" s="85">
        <f t="shared" si="56"/>
        <v>5.5465698242045391</v>
      </c>
      <c r="G286">
        <v>168.80256652832</v>
      </c>
      <c r="H286" s="86">
        <f t="shared" si="57"/>
        <v>11.871337890994482</v>
      </c>
      <c r="I286">
        <v>128.55606079101599</v>
      </c>
      <c r="J286" s="86">
        <f t="shared" si="58"/>
        <v>10.528564453011313</v>
      </c>
      <c r="K286">
        <v>193.52923583984401</v>
      </c>
      <c r="L286" s="86">
        <f t="shared" si="59"/>
        <v>15.167236327982891</v>
      </c>
      <c r="M286">
        <v>220.21678161621099</v>
      </c>
      <c r="N286" s="86">
        <f t="shared" si="60"/>
        <v>14.984130859005518</v>
      </c>
      <c r="O286">
        <v>1503.14575195313</v>
      </c>
      <c r="P286" s="40">
        <f t="shared" si="51"/>
        <v>112.79296875</v>
      </c>
      <c r="Q286">
        <v>1127.46472167969</v>
      </c>
      <c r="R286" s="40">
        <f t="shared" si="52"/>
        <v>0.85449219000111043</v>
      </c>
      <c r="S286">
        <v>2766.2021484375</v>
      </c>
      <c r="T286" s="40">
        <f t="shared" si="53"/>
        <v>109.13085938000222</v>
      </c>
      <c r="U286">
        <v>34.413219451904297</v>
      </c>
      <c r="V286" s="33">
        <f t="shared" si="61"/>
        <v>3.3187866211008554</v>
      </c>
      <c r="W286">
        <v>229.75437927246099</v>
      </c>
      <c r="X286" s="90">
        <f t="shared" si="62"/>
        <v>19.668579102017247</v>
      </c>
    </row>
    <row r="287" spans="1:24" x14ac:dyDescent="0.25">
      <c r="A287" s="8">
        <v>42441.833333333336</v>
      </c>
      <c r="B287" s="40">
        <f t="shared" si="54"/>
        <v>20</v>
      </c>
      <c r="C287" s="87">
        <v>55.498268127441399</v>
      </c>
      <c r="D287" s="85">
        <f t="shared" si="55"/>
        <v>0</v>
      </c>
      <c r="E287">
        <v>81.969245910644503</v>
      </c>
      <c r="F287" s="85">
        <f t="shared" si="56"/>
        <v>5.5770874024005934</v>
      </c>
      <c r="G287">
        <v>168.81443786621099</v>
      </c>
      <c r="H287" s="86">
        <f t="shared" si="57"/>
        <v>11.917114258011452</v>
      </c>
      <c r="I287">
        <v>128.56658935546901</v>
      </c>
      <c r="J287" s="86">
        <f t="shared" si="58"/>
        <v>10.45227050798303</v>
      </c>
      <c r="K287">
        <v>193.54440307617199</v>
      </c>
      <c r="L287" s="86">
        <f t="shared" si="59"/>
        <v>15.243530273011174</v>
      </c>
      <c r="M287">
        <v>220.23176574707</v>
      </c>
      <c r="N287" s="86">
        <f t="shared" si="60"/>
        <v>15.274047851988826</v>
      </c>
      <c r="O287">
        <v>1503.25854492188</v>
      </c>
      <c r="P287" s="40">
        <f t="shared" si="51"/>
        <v>110.22949217999667</v>
      </c>
      <c r="Q287">
        <v>1127.46557617188</v>
      </c>
      <c r="R287" s="40">
        <f t="shared" si="52"/>
        <v>0.9765625</v>
      </c>
      <c r="S287">
        <v>2766.31127929688</v>
      </c>
      <c r="T287" s="40">
        <f t="shared" si="53"/>
        <v>107.66601561999778</v>
      </c>
      <c r="U287">
        <v>34.416538238525398</v>
      </c>
      <c r="V287" s="33">
        <f t="shared" si="61"/>
        <v>3.3836364746022696</v>
      </c>
      <c r="W287">
        <v>229.77404785156301</v>
      </c>
      <c r="X287" s="90">
        <f t="shared" si="62"/>
        <v>19.332885741988548</v>
      </c>
    </row>
    <row r="288" spans="1:24" x14ac:dyDescent="0.25">
      <c r="A288" s="8">
        <v>42441.875</v>
      </c>
      <c r="B288" s="40">
        <f t="shared" si="54"/>
        <v>21</v>
      </c>
      <c r="C288" s="87">
        <v>55.498268127441399</v>
      </c>
      <c r="D288" s="85">
        <f t="shared" si="55"/>
        <v>0</v>
      </c>
      <c r="E288">
        <v>81.974822998046903</v>
      </c>
      <c r="F288" s="85">
        <f t="shared" si="56"/>
        <v>5.5770874023011174</v>
      </c>
      <c r="G288">
        <v>168.82635498046901</v>
      </c>
      <c r="H288" s="86">
        <f t="shared" si="57"/>
        <v>11.825561522982753</v>
      </c>
      <c r="I288">
        <v>128.57704162597699</v>
      </c>
      <c r="J288" s="86">
        <f t="shared" si="58"/>
        <v>10.421752929005379</v>
      </c>
      <c r="K288">
        <v>193.559646606445</v>
      </c>
      <c r="L288" s="86">
        <f t="shared" si="59"/>
        <v>15.258789063011591</v>
      </c>
      <c r="M288">
        <v>220.24703979492199</v>
      </c>
      <c r="N288" s="86">
        <f t="shared" si="60"/>
        <v>15.014648437016831</v>
      </c>
      <c r="O288">
        <v>1503.36877441406</v>
      </c>
      <c r="P288" s="40">
        <f t="shared" si="51"/>
        <v>112.67089844000111</v>
      </c>
      <c r="Q288">
        <v>1127.46655273438</v>
      </c>
      <c r="R288" s="40">
        <f t="shared" si="52"/>
        <v>0.85449217999666871</v>
      </c>
      <c r="S288">
        <v>2766.4189453125</v>
      </c>
      <c r="T288" s="40">
        <f t="shared" si="53"/>
        <v>109.375</v>
      </c>
      <c r="U288">
        <v>34.419921875</v>
      </c>
      <c r="V288" s="33">
        <f t="shared" si="61"/>
        <v>3.2882690429971717</v>
      </c>
      <c r="W288">
        <v>229.793380737305</v>
      </c>
      <c r="X288" s="90">
        <f t="shared" si="62"/>
        <v>19.821166991988548</v>
      </c>
    </row>
    <row r="289" spans="1:24" x14ac:dyDescent="0.25">
      <c r="A289" s="8">
        <v>42441.916666666664</v>
      </c>
      <c r="B289" s="40">
        <f t="shared" si="54"/>
        <v>22</v>
      </c>
      <c r="C289" s="87">
        <v>55.498268127441399</v>
      </c>
      <c r="D289" s="85">
        <f t="shared" si="55"/>
        <v>0</v>
      </c>
      <c r="E289">
        <v>81.980400085449205</v>
      </c>
      <c r="F289" s="85">
        <f t="shared" si="56"/>
        <v>1.5029907226988826</v>
      </c>
      <c r="G289">
        <v>168.83818054199199</v>
      </c>
      <c r="H289" s="86">
        <f t="shared" si="57"/>
        <v>11.367797852017247</v>
      </c>
      <c r="I289">
        <v>128.58746337890599</v>
      </c>
      <c r="J289" s="86">
        <f t="shared" si="58"/>
        <v>9.9029541020172474</v>
      </c>
      <c r="K289">
        <v>193.57490539550801</v>
      </c>
      <c r="L289" s="86">
        <f t="shared" si="59"/>
        <v>15.380859375</v>
      </c>
      <c r="M289">
        <v>220.26205444335901</v>
      </c>
      <c r="N289" s="86">
        <f t="shared" si="60"/>
        <v>15.350341796988687</v>
      </c>
      <c r="O289">
        <v>1503.4814453125</v>
      </c>
      <c r="P289" s="40">
        <f t="shared" si="51"/>
        <v>112.67089844000111</v>
      </c>
      <c r="Q289">
        <v>1127.46740722656</v>
      </c>
      <c r="R289" s="40">
        <f t="shared" si="52"/>
        <v>0.73242188000222086</v>
      </c>
      <c r="S289">
        <v>2766.5283203125</v>
      </c>
      <c r="T289" s="40">
        <f t="shared" si="53"/>
        <v>27.099609380002221</v>
      </c>
      <c r="U289">
        <v>34.423210144042997</v>
      </c>
      <c r="V289" s="33">
        <f t="shared" si="61"/>
        <v>3.3111572265056566</v>
      </c>
      <c r="W289">
        <v>229.81320190429699</v>
      </c>
      <c r="X289" s="90">
        <f t="shared" si="62"/>
        <v>19.775390625</v>
      </c>
    </row>
    <row r="290" spans="1:24" x14ac:dyDescent="0.25">
      <c r="A290" s="8">
        <v>42441.958333333336</v>
      </c>
      <c r="B290" s="40">
        <f t="shared" si="54"/>
        <v>23</v>
      </c>
      <c r="C290" s="87">
        <v>55.498268127441399</v>
      </c>
      <c r="D290" s="85">
        <f t="shared" si="55"/>
        <v>0</v>
      </c>
      <c r="E290">
        <v>81.981903076171903</v>
      </c>
      <c r="F290" s="85">
        <f t="shared" si="56"/>
        <v>0</v>
      </c>
      <c r="G290">
        <v>168.84954833984401</v>
      </c>
      <c r="H290" s="86">
        <f t="shared" si="57"/>
        <v>11.367797850994066</v>
      </c>
      <c r="I290">
        <v>128.59736633300801</v>
      </c>
      <c r="J290" s="86">
        <f t="shared" si="58"/>
        <v>9.9029541009940658</v>
      </c>
      <c r="K290">
        <v>193.59028625488301</v>
      </c>
      <c r="L290" s="86">
        <f t="shared" si="59"/>
        <v>15.151977538977235</v>
      </c>
      <c r="M290">
        <v>220.27740478515599</v>
      </c>
      <c r="N290" s="86">
        <f t="shared" si="60"/>
        <v>15.289306640994482</v>
      </c>
      <c r="O290">
        <v>1503.59411621094</v>
      </c>
      <c r="P290" s="40">
        <f t="shared" si="51"/>
        <v>112.67089844000111</v>
      </c>
      <c r="Q290">
        <v>1127.46813964844</v>
      </c>
      <c r="R290" s="40">
        <f t="shared" si="52"/>
        <v>0.73242186999777914</v>
      </c>
      <c r="S290">
        <v>2766.55541992188</v>
      </c>
      <c r="T290" s="40">
        <f t="shared" si="53"/>
        <v>0.73242186999777914</v>
      </c>
      <c r="U290">
        <v>34.426521301269503</v>
      </c>
      <c r="V290" s="33">
        <f t="shared" si="61"/>
        <v>3.2157897950000347</v>
      </c>
      <c r="W290">
        <v>229.83297729492199</v>
      </c>
      <c r="X290" s="90">
        <f t="shared" si="62"/>
        <v>19.714355469005795</v>
      </c>
    </row>
    <row r="291" spans="1:24" x14ac:dyDescent="0.25">
      <c r="A291" s="8">
        <v>42442</v>
      </c>
      <c r="B291" s="40">
        <f t="shared" si="54"/>
        <v>0</v>
      </c>
      <c r="C291" s="87">
        <v>55.498268127441399</v>
      </c>
      <c r="D291" s="85">
        <f t="shared" si="55"/>
        <v>0.39291381840200756</v>
      </c>
      <c r="E291">
        <v>81.981903076171903</v>
      </c>
      <c r="F291" s="85">
        <f t="shared" si="56"/>
        <v>3.7536621094034217</v>
      </c>
      <c r="G291">
        <v>168.860916137695</v>
      </c>
      <c r="H291" s="86">
        <f t="shared" si="57"/>
        <v>11.169433594005795</v>
      </c>
      <c r="I291">
        <v>128.60726928710901</v>
      </c>
      <c r="J291" s="86">
        <f t="shared" si="58"/>
        <v>9.7045898440057954</v>
      </c>
      <c r="K291">
        <v>193.60543823242199</v>
      </c>
      <c r="L291" s="86">
        <f t="shared" si="59"/>
        <v>14.602661133011452</v>
      </c>
      <c r="M291">
        <v>220.29269409179699</v>
      </c>
      <c r="N291" s="86">
        <f t="shared" si="60"/>
        <v>14.526367187016831</v>
      </c>
      <c r="O291">
        <v>1503.70678710938</v>
      </c>
      <c r="P291" s="40">
        <f t="shared" si="51"/>
        <v>93.139648429996669</v>
      </c>
      <c r="Q291">
        <v>1127.46887207031</v>
      </c>
      <c r="R291" s="40">
        <f t="shared" si="52"/>
        <v>0.73242188000222086</v>
      </c>
      <c r="S291">
        <v>2766.55615234375</v>
      </c>
      <c r="T291" s="40">
        <f t="shared" si="53"/>
        <v>136.23046875</v>
      </c>
      <c r="U291">
        <v>34.429737091064503</v>
      </c>
      <c r="V291" s="33">
        <f t="shared" si="61"/>
        <v>0.89263916009940658</v>
      </c>
      <c r="W291">
        <v>229.85269165039099</v>
      </c>
      <c r="X291" s="90">
        <f t="shared" si="62"/>
        <v>8.30078125</v>
      </c>
    </row>
    <row r="292" spans="1:24" x14ac:dyDescent="0.25">
      <c r="A292" s="8">
        <v>42442.041666666664</v>
      </c>
      <c r="B292" s="40">
        <f t="shared" si="54"/>
        <v>1</v>
      </c>
      <c r="C292" s="87">
        <v>55.498661041259801</v>
      </c>
      <c r="D292" s="85">
        <f t="shared" si="55"/>
        <v>1.1444091796875E-2</v>
      </c>
      <c r="E292">
        <v>81.985656738281307</v>
      </c>
      <c r="F292" s="85">
        <f t="shared" si="56"/>
        <v>5.5618286131959849</v>
      </c>
      <c r="G292">
        <v>168.87208557128901</v>
      </c>
      <c r="H292" s="86">
        <f t="shared" si="57"/>
        <v>10.147094726988826</v>
      </c>
      <c r="I292">
        <v>128.61697387695301</v>
      </c>
      <c r="J292" s="86">
        <f t="shared" si="58"/>
        <v>10.437011718977374</v>
      </c>
      <c r="K292">
        <v>193.620040893555</v>
      </c>
      <c r="L292" s="86">
        <f t="shared" si="59"/>
        <v>14.831542968011036</v>
      </c>
      <c r="M292">
        <v>220.30722045898401</v>
      </c>
      <c r="N292" s="86">
        <f t="shared" si="60"/>
        <v>13.13781738298303</v>
      </c>
      <c r="O292">
        <v>1503.79992675781</v>
      </c>
      <c r="P292" s="40">
        <f t="shared" si="51"/>
        <v>105.22460938000222</v>
      </c>
      <c r="Q292">
        <v>1127.46960449219</v>
      </c>
      <c r="R292" s="40">
        <f t="shared" si="52"/>
        <v>0.85449219000111043</v>
      </c>
      <c r="S292">
        <v>2766.6923828125</v>
      </c>
      <c r="T292" s="40">
        <f t="shared" si="53"/>
        <v>203.36914063000222</v>
      </c>
      <c r="U292">
        <v>34.430629730224602</v>
      </c>
      <c r="V292" s="33">
        <f t="shared" si="61"/>
        <v>0.16021728519888256</v>
      </c>
      <c r="W292">
        <v>229.86099243164099</v>
      </c>
      <c r="X292" s="90">
        <f t="shared" si="62"/>
        <v>3.4637451170169697</v>
      </c>
    </row>
    <row r="293" spans="1:24" x14ac:dyDescent="0.25">
      <c r="A293" s="8">
        <v>42442.083333333336</v>
      </c>
      <c r="B293" s="40">
        <f t="shared" si="54"/>
        <v>2</v>
      </c>
      <c r="C293" s="87">
        <v>55.498672485351598</v>
      </c>
      <c r="D293" s="85">
        <f t="shared" si="55"/>
        <v>0</v>
      </c>
      <c r="E293">
        <v>81.991218566894503</v>
      </c>
      <c r="F293" s="85">
        <f t="shared" si="56"/>
        <v>5.6304931640909217</v>
      </c>
      <c r="G293">
        <v>168.88223266601599</v>
      </c>
      <c r="H293" s="86">
        <f t="shared" si="57"/>
        <v>0</v>
      </c>
      <c r="I293">
        <v>128.62741088867199</v>
      </c>
      <c r="J293" s="86">
        <f t="shared" si="58"/>
        <v>9.6435546870168309</v>
      </c>
      <c r="K293">
        <v>193.63487243652301</v>
      </c>
      <c r="L293" s="86">
        <f t="shared" si="59"/>
        <v>14.907836915000416</v>
      </c>
      <c r="M293">
        <v>220.32035827636699</v>
      </c>
      <c r="N293" s="86">
        <f t="shared" si="60"/>
        <v>0</v>
      </c>
      <c r="O293">
        <v>1503.90515136719</v>
      </c>
      <c r="P293" s="40">
        <f t="shared" si="51"/>
        <v>112.42675780999889</v>
      </c>
      <c r="Q293">
        <v>1127.47045898438</v>
      </c>
      <c r="R293" s="40">
        <f t="shared" si="52"/>
        <v>0.9765625</v>
      </c>
      <c r="S293">
        <v>2766.89575195313</v>
      </c>
      <c r="T293" s="40">
        <f t="shared" si="53"/>
        <v>109.13085936999778</v>
      </c>
      <c r="U293">
        <v>34.430789947509801</v>
      </c>
      <c r="V293" s="33">
        <f t="shared" si="61"/>
        <v>0.17166137689628158</v>
      </c>
      <c r="W293">
        <v>229.86445617675801</v>
      </c>
      <c r="X293" s="90">
        <f t="shared" si="62"/>
        <v>2.1057128899997224</v>
      </c>
    </row>
    <row r="294" spans="1:24" x14ac:dyDescent="0.25">
      <c r="A294" s="8">
        <v>42442.125</v>
      </c>
      <c r="B294" s="40">
        <f t="shared" si="54"/>
        <v>3</v>
      </c>
      <c r="C294" s="87">
        <v>55.498672485351598</v>
      </c>
      <c r="D294" s="85">
        <f t="shared" si="55"/>
        <v>0</v>
      </c>
      <c r="E294">
        <v>81.996849060058594</v>
      </c>
      <c r="F294" s="85">
        <f t="shared" si="56"/>
        <v>5.6076049805113826</v>
      </c>
      <c r="G294">
        <v>168.88223266601599</v>
      </c>
      <c r="H294" s="86">
        <f t="shared" si="57"/>
        <v>0</v>
      </c>
      <c r="I294">
        <v>128.63705444335901</v>
      </c>
      <c r="J294" s="86">
        <f t="shared" si="58"/>
        <v>9.7045898440057954</v>
      </c>
      <c r="K294">
        <v>193.64978027343801</v>
      </c>
      <c r="L294" s="86">
        <f t="shared" si="59"/>
        <v>14.984130858977096</v>
      </c>
      <c r="M294">
        <v>220.32035827636699</v>
      </c>
      <c r="N294" s="86">
        <f t="shared" si="60"/>
        <v>0</v>
      </c>
      <c r="O294">
        <v>1504.017578125</v>
      </c>
      <c r="P294" s="40">
        <f t="shared" si="51"/>
        <v>112.91503905999889</v>
      </c>
      <c r="Q294">
        <v>1127.47143554688</v>
      </c>
      <c r="R294" s="40">
        <f t="shared" si="52"/>
        <v>0.85449217999666871</v>
      </c>
      <c r="S294">
        <v>2767.0048828125</v>
      </c>
      <c r="T294" s="40">
        <f t="shared" si="53"/>
        <v>109.61914063000222</v>
      </c>
      <c r="U294">
        <v>34.430961608886697</v>
      </c>
      <c r="V294" s="33">
        <f t="shared" si="61"/>
        <v>0.16021728520598799</v>
      </c>
      <c r="W294">
        <v>229.86656188964801</v>
      </c>
      <c r="X294" s="90">
        <f t="shared" si="62"/>
        <v>2.029418945994621</v>
      </c>
    </row>
    <row r="295" spans="1:24" x14ac:dyDescent="0.25">
      <c r="A295" s="8">
        <v>42442.166666666664</v>
      </c>
      <c r="B295" s="40">
        <f t="shared" si="54"/>
        <v>4</v>
      </c>
      <c r="C295" s="87">
        <v>55.498672485351598</v>
      </c>
      <c r="D295" s="85">
        <f t="shared" si="55"/>
        <v>7.6293945028282906E-3</v>
      </c>
      <c r="E295">
        <v>82.002456665039105</v>
      </c>
      <c r="F295" s="85">
        <f t="shared" si="56"/>
        <v>5.615234375</v>
      </c>
      <c r="G295">
        <v>168.88223266601599</v>
      </c>
      <c r="H295" s="86">
        <f t="shared" si="57"/>
        <v>0</v>
      </c>
      <c r="I295">
        <v>128.64675903320301</v>
      </c>
      <c r="J295" s="86">
        <f t="shared" si="58"/>
        <v>9.6282958989775125</v>
      </c>
      <c r="K295">
        <v>193.66476440429699</v>
      </c>
      <c r="L295" s="86">
        <f t="shared" si="59"/>
        <v>14.999389648011174</v>
      </c>
      <c r="M295">
        <v>220.32035827636699</v>
      </c>
      <c r="N295" s="86">
        <f t="shared" si="60"/>
        <v>0</v>
      </c>
      <c r="O295">
        <v>1504.13049316406</v>
      </c>
      <c r="P295" s="40">
        <f t="shared" si="51"/>
        <v>112.91503907000333</v>
      </c>
      <c r="Q295">
        <v>1127.47229003906</v>
      </c>
      <c r="R295" s="40">
        <f t="shared" si="52"/>
        <v>0.73242188000222086</v>
      </c>
      <c r="S295">
        <v>2767.11450195313</v>
      </c>
      <c r="T295" s="40">
        <f t="shared" si="53"/>
        <v>111.57226561999778</v>
      </c>
      <c r="U295">
        <v>34.431121826171903</v>
      </c>
      <c r="V295" s="33">
        <f t="shared" si="61"/>
        <v>0.16784667969460543</v>
      </c>
      <c r="W295">
        <v>229.86859130859401</v>
      </c>
      <c r="X295" s="90">
        <f t="shared" si="62"/>
        <v>2.2583007809942046</v>
      </c>
    </row>
    <row r="296" spans="1:24" x14ac:dyDescent="0.25">
      <c r="A296" s="8">
        <v>42442.208333333336</v>
      </c>
      <c r="B296" s="40">
        <f t="shared" si="54"/>
        <v>5</v>
      </c>
      <c r="C296" s="87">
        <v>55.498680114746101</v>
      </c>
      <c r="D296" s="85">
        <f t="shared" si="55"/>
        <v>0</v>
      </c>
      <c r="E296">
        <v>82.008071899414105</v>
      </c>
      <c r="F296" s="85">
        <f t="shared" si="56"/>
        <v>5.615234375</v>
      </c>
      <c r="G296">
        <v>168.88223266601599</v>
      </c>
      <c r="H296" s="86">
        <f t="shared" si="57"/>
        <v>0</v>
      </c>
      <c r="I296">
        <v>128.65638732910199</v>
      </c>
      <c r="J296" s="86">
        <f t="shared" si="58"/>
        <v>9.6130371090055178</v>
      </c>
      <c r="K296">
        <v>193.679763793945</v>
      </c>
      <c r="L296" s="86">
        <f t="shared" si="59"/>
        <v>14.755249024005934</v>
      </c>
      <c r="M296">
        <v>220.32035827636699</v>
      </c>
      <c r="N296" s="86">
        <f t="shared" si="60"/>
        <v>0</v>
      </c>
      <c r="O296">
        <v>1504.24340820313</v>
      </c>
      <c r="P296" s="40">
        <f t="shared" si="51"/>
        <v>111.328125</v>
      </c>
      <c r="Q296">
        <v>1127.47302246094</v>
      </c>
      <c r="R296" s="40">
        <f t="shared" si="52"/>
        <v>0.85449219000111043</v>
      </c>
      <c r="S296">
        <v>2767.22607421875</v>
      </c>
      <c r="T296" s="40">
        <f t="shared" si="53"/>
        <v>114.99023438000222</v>
      </c>
      <c r="U296">
        <v>34.431289672851598</v>
      </c>
      <c r="V296" s="33">
        <f t="shared" si="61"/>
        <v>0.16021728509940658</v>
      </c>
      <c r="W296">
        <v>229.870849609375</v>
      </c>
      <c r="X296" s="90">
        <f t="shared" si="62"/>
        <v>2.4261474609943434</v>
      </c>
    </row>
    <row r="297" spans="1:24" x14ac:dyDescent="0.25">
      <c r="A297" s="8">
        <v>42442.25</v>
      </c>
      <c r="B297" s="40">
        <f t="shared" si="54"/>
        <v>6</v>
      </c>
      <c r="C297" s="87">
        <v>55.498680114746101</v>
      </c>
      <c r="D297" s="85">
        <f t="shared" si="55"/>
        <v>0</v>
      </c>
      <c r="E297">
        <v>82.013687133789105</v>
      </c>
      <c r="F297" s="85">
        <f t="shared" si="56"/>
        <v>5.6304931639914457</v>
      </c>
      <c r="G297">
        <v>168.88223266601599</v>
      </c>
      <c r="H297" s="86">
        <f t="shared" si="57"/>
        <v>0</v>
      </c>
      <c r="I297">
        <v>128.66600036621099</v>
      </c>
      <c r="J297" s="86">
        <f t="shared" si="58"/>
        <v>9.4604492190057954</v>
      </c>
      <c r="K297">
        <v>193.69451904296901</v>
      </c>
      <c r="L297" s="86">
        <f t="shared" si="59"/>
        <v>15.075683594005795</v>
      </c>
      <c r="M297">
        <v>220.32035827636699</v>
      </c>
      <c r="N297" s="86">
        <f t="shared" si="60"/>
        <v>0</v>
      </c>
      <c r="O297">
        <v>1504.35473632813</v>
      </c>
      <c r="P297" s="40">
        <f t="shared" si="51"/>
        <v>112.54882811999778</v>
      </c>
      <c r="Q297">
        <v>1127.47387695313</v>
      </c>
      <c r="R297" s="40">
        <f t="shared" si="52"/>
        <v>0.85449217999666871</v>
      </c>
      <c r="S297">
        <v>2767.34106445313</v>
      </c>
      <c r="T297" s="40">
        <f t="shared" si="53"/>
        <v>115.72265625</v>
      </c>
      <c r="U297">
        <v>34.431449890136697</v>
      </c>
      <c r="V297" s="33">
        <f t="shared" si="61"/>
        <v>0.17166137700286299</v>
      </c>
      <c r="W297">
        <v>229.87327575683599</v>
      </c>
      <c r="X297" s="90">
        <f t="shared" si="62"/>
        <v>2.5939941409944822</v>
      </c>
    </row>
    <row r="298" spans="1:24" x14ac:dyDescent="0.25">
      <c r="A298" s="8">
        <v>42442.291666666664</v>
      </c>
      <c r="B298" s="40">
        <f t="shared" si="54"/>
        <v>7</v>
      </c>
      <c r="C298" s="87">
        <v>55.498680114746101</v>
      </c>
      <c r="D298" s="85">
        <f t="shared" si="55"/>
        <v>0</v>
      </c>
      <c r="E298">
        <v>82.019317626953097</v>
      </c>
      <c r="F298" s="85">
        <f t="shared" si="56"/>
        <v>5.6228637696023043</v>
      </c>
      <c r="G298">
        <v>168.88223266601599</v>
      </c>
      <c r="H298" s="86">
        <f t="shared" si="57"/>
        <v>0</v>
      </c>
      <c r="I298">
        <v>128.67546081543</v>
      </c>
      <c r="J298" s="86">
        <f t="shared" si="58"/>
        <v>9.5977783199998612</v>
      </c>
      <c r="K298">
        <v>193.70959472656301</v>
      </c>
      <c r="L298" s="86">
        <f t="shared" si="59"/>
        <v>15.045166014999722</v>
      </c>
      <c r="M298">
        <v>220.32035827636699</v>
      </c>
      <c r="N298" s="86">
        <f t="shared" si="60"/>
        <v>0</v>
      </c>
      <c r="O298">
        <v>1504.46728515625</v>
      </c>
      <c r="P298" s="40">
        <f t="shared" si="51"/>
        <v>110.96191405999889</v>
      </c>
      <c r="Q298">
        <v>1127.47473144531</v>
      </c>
      <c r="R298" s="40">
        <f t="shared" si="52"/>
        <v>0.85449219000111043</v>
      </c>
      <c r="S298">
        <v>2767.45678710938</v>
      </c>
      <c r="T298" s="40">
        <f t="shared" si="53"/>
        <v>115.72265625</v>
      </c>
      <c r="U298">
        <v>34.4316215515137</v>
      </c>
      <c r="V298" s="33">
        <f t="shared" si="61"/>
        <v>0.16021728509940658</v>
      </c>
      <c r="W298">
        <v>229.87586975097699</v>
      </c>
      <c r="X298" s="90">
        <f t="shared" si="62"/>
        <v>2.685546875</v>
      </c>
    </row>
    <row r="299" spans="1:24" x14ac:dyDescent="0.25">
      <c r="A299" s="8">
        <v>42442.333333333336</v>
      </c>
      <c r="B299" s="40">
        <f t="shared" si="54"/>
        <v>8</v>
      </c>
      <c r="C299">
        <f>+C298+(C300-C298)/2</f>
        <v>55.498680114746101</v>
      </c>
      <c r="D299" s="85">
        <f t="shared" si="55"/>
        <v>0</v>
      </c>
      <c r="E299">
        <v>82.024940490722699</v>
      </c>
      <c r="F299" s="85">
        <f t="shared" si="56"/>
        <v>5.6228637695028283</v>
      </c>
      <c r="G299">
        <v>168.88223266601599</v>
      </c>
      <c r="H299" s="86">
        <f t="shared" si="57"/>
        <v>0</v>
      </c>
      <c r="I299">
        <v>128.68505859375</v>
      </c>
      <c r="J299" s="86">
        <f t="shared" si="58"/>
        <v>9.6435546880115908</v>
      </c>
      <c r="K299">
        <v>193.72463989257801</v>
      </c>
      <c r="L299" s="86">
        <f t="shared" si="59"/>
        <v>15.060424805000139</v>
      </c>
      <c r="M299">
        <v>220.32035827636699</v>
      </c>
      <c r="N299" s="86">
        <f t="shared" si="60"/>
        <v>0</v>
      </c>
      <c r="O299">
        <v>1504.57824707031</v>
      </c>
      <c r="P299" s="40">
        <f t="shared" si="51"/>
        <v>112.54882813000222</v>
      </c>
      <c r="Q299">
        <v>1127.4755859375</v>
      </c>
      <c r="R299" s="40">
        <f t="shared" si="52"/>
        <v>0.73242188000222086</v>
      </c>
      <c r="S299">
        <v>2767.57250976563</v>
      </c>
      <c r="T299" s="40">
        <f t="shared" si="53"/>
        <v>114.2578125</v>
      </c>
      <c r="U299">
        <v>34.4317817687988</v>
      </c>
      <c r="V299" s="33">
        <f t="shared" si="61"/>
        <v>0.16784667970171085</v>
      </c>
      <c r="W299">
        <v>229.87855529785199</v>
      </c>
      <c r="X299" s="90">
        <f t="shared" si="62"/>
        <v>3.0059814449998612</v>
      </c>
    </row>
    <row r="300" spans="1:24" x14ac:dyDescent="0.25">
      <c r="A300" s="8">
        <v>42442.375</v>
      </c>
      <c r="B300" s="40">
        <f t="shared" si="54"/>
        <v>9</v>
      </c>
      <c r="C300" s="87">
        <v>55.498680114746101</v>
      </c>
      <c r="D300" s="85">
        <f t="shared" si="55"/>
        <v>0</v>
      </c>
      <c r="E300">
        <v>82.030563354492202</v>
      </c>
      <c r="F300" s="85">
        <f t="shared" si="56"/>
        <v>5.615234375</v>
      </c>
      <c r="G300">
        <v>168.88223266601599</v>
      </c>
      <c r="H300" s="86">
        <f t="shared" si="57"/>
        <v>0</v>
      </c>
      <c r="I300">
        <v>128.69470214843801</v>
      </c>
      <c r="J300" s="86">
        <f t="shared" si="58"/>
        <v>9.567260741988548</v>
      </c>
      <c r="K300">
        <v>193.73970031738301</v>
      </c>
      <c r="L300" s="86">
        <f t="shared" si="59"/>
        <v>15.060424805000139</v>
      </c>
      <c r="M300">
        <v>220.32035827636699</v>
      </c>
      <c r="N300" s="86">
        <f t="shared" si="60"/>
        <v>0</v>
      </c>
      <c r="O300">
        <v>1504.69079589844</v>
      </c>
      <c r="P300" s="40">
        <f t="shared" si="51"/>
        <v>112.67089844000111</v>
      </c>
      <c r="Q300">
        <v>1127.47631835938</v>
      </c>
      <c r="R300" s="40">
        <f t="shared" si="52"/>
        <v>0.9765625</v>
      </c>
      <c r="S300">
        <v>2767.68676757813</v>
      </c>
      <c r="T300" s="40">
        <f t="shared" si="53"/>
        <v>113.28125</v>
      </c>
      <c r="U300">
        <v>34.431949615478501</v>
      </c>
      <c r="V300" s="33">
        <f t="shared" si="61"/>
        <v>0.16021728519888256</v>
      </c>
      <c r="W300">
        <v>229.88156127929699</v>
      </c>
      <c r="X300" s="90">
        <f t="shared" si="62"/>
        <v>3.6010742190057954</v>
      </c>
    </row>
    <row r="301" spans="1:24" x14ac:dyDescent="0.25">
      <c r="A301" s="8">
        <v>42442.416666666664</v>
      </c>
      <c r="B301" s="40">
        <f t="shared" si="54"/>
        <v>10</v>
      </c>
      <c r="C301" s="87">
        <v>55.498680114746101</v>
      </c>
      <c r="D301" s="85">
        <f t="shared" si="55"/>
        <v>0</v>
      </c>
      <c r="E301">
        <v>82.036178588867202</v>
      </c>
      <c r="F301" s="85">
        <f t="shared" si="56"/>
        <v>5.615234375</v>
      </c>
      <c r="G301">
        <v>168.88223266601599</v>
      </c>
      <c r="H301" s="86">
        <f t="shared" si="57"/>
        <v>0</v>
      </c>
      <c r="I301">
        <v>128.70426940918</v>
      </c>
      <c r="J301" s="86">
        <f t="shared" si="58"/>
        <v>9.567260741988548</v>
      </c>
      <c r="K301">
        <v>193.75476074218801</v>
      </c>
      <c r="L301" s="86">
        <f t="shared" si="59"/>
        <v>14.999389647982753</v>
      </c>
      <c r="M301">
        <v>220.32035827636699</v>
      </c>
      <c r="N301" s="86">
        <f t="shared" si="60"/>
        <v>0</v>
      </c>
      <c r="O301">
        <v>1504.80346679688</v>
      </c>
      <c r="P301" s="40">
        <f t="shared" si="51"/>
        <v>112.91503905999889</v>
      </c>
      <c r="Q301">
        <v>1127.47729492188</v>
      </c>
      <c r="R301" s="40">
        <f t="shared" si="52"/>
        <v>0.85449217999666871</v>
      </c>
      <c r="S301">
        <v>2767.80004882813</v>
      </c>
      <c r="T301" s="40">
        <f t="shared" si="53"/>
        <v>110.3515625</v>
      </c>
      <c r="U301">
        <v>34.4321098327637</v>
      </c>
      <c r="V301" s="33">
        <f t="shared" si="61"/>
        <v>0.17166137689628158</v>
      </c>
      <c r="W301">
        <v>229.88516235351599</v>
      </c>
      <c r="X301" s="90">
        <f t="shared" si="62"/>
        <v>4.3792724609943434</v>
      </c>
    </row>
    <row r="302" spans="1:24" x14ac:dyDescent="0.25">
      <c r="A302" s="8">
        <v>42442.458333333336</v>
      </c>
      <c r="B302" s="40">
        <f t="shared" si="54"/>
        <v>11</v>
      </c>
      <c r="C302" s="87">
        <v>55.498680114746101</v>
      </c>
      <c r="D302" s="85">
        <f t="shared" si="55"/>
        <v>0</v>
      </c>
      <c r="E302">
        <v>82.041793823242202</v>
      </c>
      <c r="F302" s="85">
        <f t="shared" si="56"/>
        <v>5.5923461913920391</v>
      </c>
      <c r="G302">
        <v>168.88223266601599</v>
      </c>
      <c r="H302" s="86">
        <f t="shared" si="57"/>
        <v>8.5601806640056566</v>
      </c>
      <c r="I302">
        <v>128.71383666992199</v>
      </c>
      <c r="J302" s="86">
        <f t="shared" si="58"/>
        <v>10.345458984005518</v>
      </c>
      <c r="K302">
        <v>193.76976013183599</v>
      </c>
      <c r="L302" s="86">
        <f t="shared" si="59"/>
        <v>15.121459960994343</v>
      </c>
      <c r="M302">
        <v>220.32035827636699</v>
      </c>
      <c r="N302" s="86">
        <f t="shared" si="60"/>
        <v>10.513305664005657</v>
      </c>
      <c r="O302">
        <v>1504.91638183594</v>
      </c>
      <c r="P302" s="40">
        <f t="shared" si="51"/>
        <v>111.45019530999889</v>
      </c>
      <c r="Q302">
        <v>1127.47814941406</v>
      </c>
      <c r="R302" s="40">
        <f t="shared" si="52"/>
        <v>0.85449219000111043</v>
      </c>
      <c r="S302">
        <v>2767.91040039063</v>
      </c>
      <c r="T302" s="40">
        <f t="shared" si="53"/>
        <v>114.2578125</v>
      </c>
      <c r="U302">
        <v>34.432281494140597</v>
      </c>
      <c r="V302" s="33">
        <f t="shared" si="61"/>
        <v>1.1863708496022696</v>
      </c>
      <c r="W302">
        <v>229.88954162597699</v>
      </c>
      <c r="X302" s="90">
        <f t="shared" si="62"/>
        <v>10.650634764999722</v>
      </c>
    </row>
    <row r="303" spans="1:24" x14ac:dyDescent="0.25">
      <c r="A303" s="8">
        <v>42442.5</v>
      </c>
      <c r="B303" s="40">
        <f t="shared" si="54"/>
        <v>12</v>
      </c>
      <c r="C303" s="87">
        <v>55.498680114746101</v>
      </c>
      <c r="D303" s="85">
        <f t="shared" si="55"/>
        <v>0</v>
      </c>
      <c r="E303">
        <v>82.047386169433594</v>
      </c>
      <c r="F303" s="85">
        <f t="shared" si="56"/>
        <v>5.5465698242045391</v>
      </c>
      <c r="G303">
        <v>168.89079284668</v>
      </c>
      <c r="H303" s="86">
        <f t="shared" si="57"/>
        <v>11.993408203011313</v>
      </c>
      <c r="I303">
        <v>128.72418212890599</v>
      </c>
      <c r="J303" s="86">
        <f t="shared" si="58"/>
        <v>10.482788085994343</v>
      </c>
      <c r="K303">
        <v>193.78488159179699</v>
      </c>
      <c r="L303" s="86">
        <f t="shared" si="59"/>
        <v>15.304565430000139</v>
      </c>
      <c r="M303">
        <v>220.33087158203099</v>
      </c>
      <c r="N303" s="86">
        <f t="shared" si="60"/>
        <v>15.335083008011452</v>
      </c>
      <c r="O303">
        <v>1505.02783203125</v>
      </c>
      <c r="P303" s="40">
        <f t="shared" si="51"/>
        <v>114.01367188000222</v>
      </c>
      <c r="Q303">
        <v>1127.47900390625</v>
      </c>
      <c r="R303" s="40">
        <f t="shared" si="52"/>
        <v>0.73242188000222086</v>
      </c>
      <c r="S303">
        <v>2768.02465820313</v>
      </c>
      <c r="T303" s="40">
        <f t="shared" si="53"/>
        <v>114.2578125</v>
      </c>
      <c r="U303">
        <v>34.433467864990199</v>
      </c>
      <c r="V303" s="33">
        <f t="shared" si="61"/>
        <v>3.0899047851988826</v>
      </c>
      <c r="W303">
        <v>229.90019226074199</v>
      </c>
      <c r="X303" s="90">
        <f t="shared" si="62"/>
        <v>19.393920899005934</v>
      </c>
    </row>
    <row r="304" spans="1:24" x14ac:dyDescent="0.25">
      <c r="A304" s="8">
        <v>42442.541666666664</v>
      </c>
      <c r="B304" s="40">
        <f t="shared" si="54"/>
        <v>13</v>
      </c>
      <c r="C304" s="87">
        <v>55.498680114746101</v>
      </c>
      <c r="D304" s="85">
        <f t="shared" si="55"/>
        <v>0</v>
      </c>
      <c r="E304">
        <v>82.052932739257798</v>
      </c>
      <c r="F304" s="85">
        <f t="shared" si="56"/>
        <v>1.7852783202982891</v>
      </c>
      <c r="G304">
        <v>168.90278625488301</v>
      </c>
      <c r="H304" s="86">
        <f t="shared" si="57"/>
        <v>11.566162108977096</v>
      </c>
      <c r="I304">
        <v>128.73466491699199</v>
      </c>
      <c r="J304" s="86">
        <f t="shared" si="58"/>
        <v>9.9029541020172474</v>
      </c>
      <c r="K304">
        <v>193.80018615722699</v>
      </c>
      <c r="L304" s="86">
        <f t="shared" si="59"/>
        <v>15.075683593011036</v>
      </c>
      <c r="M304">
        <v>220.34620666503901</v>
      </c>
      <c r="N304" s="86">
        <f t="shared" si="60"/>
        <v>15.33508300798303</v>
      </c>
      <c r="O304">
        <v>1505.14184570313</v>
      </c>
      <c r="P304" s="40">
        <f t="shared" si="51"/>
        <v>113.40332030999889</v>
      </c>
      <c r="Q304">
        <v>1127.47973632813</v>
      </c>
      <c r="R304" s="40">
        <f t="shared" si="52"/>
        <v>0.73242186999777914</v>
      </c>
      <c r="S304">
        <v>2768.13891601563</v>
      </c>
      <c r="T304" s="40">
        <f t="shared" si="53"/>
        <v>36.865234369997779</v>
      </c>
      <c r="U304">
        <v>34.436557769775398</v>
      </c>
      <c r="V304" s="33">
        <f t="shared" si="61"/>
        <v>3.2424926758025663</v>
      </c>
      <c r="W304">
        <v>229.91958618164099</v>
      </c>
      <c r="X304" s="90">
        <f t="shared" si="62"/>
        <v>19.653320312016831</v>
      </c>
    </row>
    <row r="305" spans="1:24" x14ac:dyDescent="0.25">
      <c r="A305" s="8">
        <v>42442.583333333336</v>
      </c>
      <c r="B305" s="40">
        <f t="shared" si="54"/>
        <v>14</v>
      </c>
      <c r="C305" s="87">
        <v>55.498680114746101</v>
      </c>
      <c r="D305" s="85">
        <f t="shared" si="55"/>
        <v>0</v>
      </c>
      <c r="E305">
        <v>82.054718017578097</v>
      </c>
      <c r="F305" s="85">
        <f t="shared" si="56"/>
        <v>0</v>
      </c>
      <c r="G305">
        <v>168.91435241699199</v>
      </c>
      <c r="H305" s="86">
        <f t="shared" si="57"/>
        <v>11.413574219005795</v>
      </c>
      <c r="I305">
        <v>128.74456787109401</v>
      </c>
      <c r="J305" s="86">
        <f t="shared" si="58"/>
        <v>9.8876953119884092</v>
      </c>
      <c r="K305">
        <v>193.81526184082</v>
      </c>
      <c r="L305" s="86">
        <f t="shared" si="59"/>
        <v>15.365600585994343</v>
      </c>
      <c r="M305">
        <v>220.36154174804699</v>
      </c>
      <c r="N305" s="86">
        <f t="shared" si="60"/>
        <v>15.335083008011452</v>
      </c>
      <c r="O305">
        <v>1505.25524902344</v>
      </c>
      <c r="P305" s="40">
        <f t="shared" si="51"/>
        <v>110.96191405999889</v>
      </c>
      <c r="Q305">
        <v>1127.48046875</v>
      </c>
      <c r="R305" s="40">
        <f t="shared" si="52"/>
        <v>0.85449219000111043</v>
      </c>
      <c r="S305">
        <v>2768.17578125</v>
      </c>
      <c r="T305" s="40">
        <f t="shared" si="53"/>
        <v>0.9765625</v>
      </c>
      <c r="U305">
        <v>34.4398002624512</v>
      </c>
      <c r="V305" s="33">
        <f t="shared" si="61"/>
        <v>3.1814575195028283</v>
      </c>
      <c r="W305">
        <v>229.93923950195301</v>
      </c>
      <c r="X305" s="90">
        <f t="shared" si="62"/>
        <v>19.378662110000278</v>
      </c>
    </row>
    <row r="306" spans="1:24" x14ac:dyDescent="0.25">
      <c r="A306" s="8">
        <v>42442.625</v>
      </c>
      <c r="B306" s="40">
        <f t="shared" si="54"/>
        <v>15</v>
      </c>
      <c r="C306" s="87">
        <v>55.498680114746101</v>
      </c>
      <c r="D306" s="85">
        <f t="shared" si="55"/>
        <v>0</v>
      </c>
      <c r="E306">
        <v>82.054718017578097</v>
      </c>
      <c r="F306" s="85">
        <f t="shared" si="56"/>
        <v>0</v>
      </c>
      <c r="G306">
        <v>168.92576599121099</v>
      </c>
      <c r="H306" s="86">
        <f t="shared" si="57"/>
        <v>11.383056640994482</v>
      </c>
      <c r="I306">
        <v>128.75445556640599</v>
      </c>
      <c r="J306" s="86">
        <f t="shared" si="58"/>
        <v>9.963989258011452</v>
      </c>
      <c r="K306">
        <v>193.83062744140599</v>
      </c>
      <c r="L306" s="86">
        <f t="shared" si="59"/>
        <v>15.289306640994482</v>
      </c>
      <c r="M306">
        <v>220.376876831055</v>
      </c>
      <c r="N306" s="86">
        <f t="shared" si="60"/>
        <v>15.13671875</v>
      </c>
      <c r="O306">
        <v>1505.3662109375</v>
      </c>
      <c r="P306" s="40">
        <f t="shared" si="51"/>
        <v>112.18261719000111</v>
      </c>
      <c r="Q306">
        <v>1127.48132324219</v>
      </c>
      <c r="R306" s="40">
        <f t="shared" si="52"/>
        <v>0.85449219000111043</v>
      </c>
      <c r="S306">
        <v>2768.1767578125</v>
      </c>
      <c r="T306" s="40">
        <f t="shared" si="53"/>
        <v>0.48828125</v>
      </c>
      <c r="U306">
        <v>34.442981719970703</v>
      </c>
      <c r="V306" s="33">
        <f t="shared" si="61"/>
        <v>3.1661987304971717</v>
      </c>
      <c r="W306">
        <v>229.95861816406301</v>
      </c>
      <c r="X306" s="90">
        <f t="shared" si="62"/>
        <v>19.668579100994066</v>
      </c>
    </row>
    <row r="307" spans="1:24" x14ac:dyDescent="0.25">
      <c r="A307" s="8">
        <v>42442.666666666664</v>
      </c>
      <c r="B307" s="40">
        <f t="shared" si="54"/>
        <v>16</v>
      </c>
      <c r="C307" s="87">
        <v>55.498680114746101</v>
      </c>
      <c r="D307" s="85">
        <f t="shared" si="55"/>
        <v>0</v>
      </c>
      <c r="E307">
        <v>82.054718017578097</v>
      </c>
      <c r="F307" s="85">
        <f t="shared" si="56"/>
        <v>0</v>
      </c>
      <c r="G307">
        <v>168.93714904785199</v>
      </c>
      <c r="H307" s="86">
        <f t="shared" si="57"/>
        <v>11.215209961022765</v>
      </c>
      <c r="I307">
        <v>128.76441955566401</v>
      </c>
      <c r="J307" s="86">
        <f t="shared" si="58"/>
        <v>9.9029541019888256</v>
      </c>
      <c r="K307">
        <v>193.84591674804699</v>
      </c>
      <c r="L307" s="86">
        <f t="shared" si="59"/>
        <v>15.274047851022488</v>
      </c>
      <c r="M307">
        <v>220.392013549805</v>
      </c>
      <c r="N307" s="86">
        <f t="shared" si="60"/>
        <v>15.274047850994066</v>
      </c>
      <c r="O307">
        <v>1505.47839355469</v>
      </c>
      <c r="P307" s="40">
        <f t="shared" si="51"/>
        <v>111.81640625</v>
      </c>
      <c r="Q307">
        <v>1127.48217773438</v>
      </c>
      <c r="R307" s="40">
        <f t="shared" si="52"/>
        <v>0.73242186999777914</v>
      </c>
      <c r="S307">
        <v>2768.17724609375</v>
      </c>
      <c r="T307" s="40">
        <f t="shared" si="53"/>
        <v>0.73242188000222086</v>
      </c>
      <c r="U307">
        <v>34.4461479187012</v>
      </c>
      <c r="V307" s="33">
        <f t="shared" si="61"/>
        <v>3.2615661621022696</v>
      </c>
      <c r="W307">
        <v>229.97828674316401</v>
      </c>
      <c r="X307" s="90">
        <f t="shared" si="62"/>
        <v>19.332885741988548</v>
      </c>
    </row>
    <row r="308" spans="1:24" x14ac:dyDescent="0.25">
      <c r="A308" s="8">
        <v>42442.708333333336</v>
      </c>
      <c r="B308" s="40">
        <f t="shared" si="54"/>
        <v>17</v>
      </c>
      <c r="C308" s="87">
        <v>55.498680114746101</v>
      </c>
      <c r="D308" s="85">
        <f t="shared" si="55"/>
        <v>0</v>
      </c>
      <c r="E308">
        <v>82.054718017578097</v>
      </c>
      <c r="F308" s="85">
        <f t="shared" si="56"/>
        <v>0</v>
      </c>
      <c r="G308">
        <v>168.94836425781301</v>
      </c>
      <c r="H308" s="86">
        <f t="shared" si="57"/>
        <v>11.367797850994066</v>
      </c>
      <c r="I308">
        <v>128.77432250976599</v>
      </c>
      <c r="J308" s="86">
        <f t="shared" si="58"/>
        <v>9.9029541009940658</v>
      </c>
      <c r="K308">
        <v>193.86119079589801</v>
      </c>
      <c r="L308" s="86">
        <f t="shared" si="59"/>
        <v>15.121459960994343</v>
      </c>
      <c r="M308">
        <v>220.40728759765599</v>
      </c>
      <c r="N308" s="86">
        <f t="shared" si="60"/>
        <v>15.335083008011452</v>
      </c>
      <c r="O308">
        <v>1505.59020996094</v>
      </c>
      <c r="P308" s="40">
        <f t="shared" si="51"/>
        <v>111.45019530999889</v>
      </c>
      <c r="Q308">
        <v>1127.48291015625</v>
      </c>
      <c r="R308" s="40">
        <f t="shared" si="52"/>
        <v>0.73242188000222086</v>
      </c>
      <c r="S308">
        <v>2768.17797851563</v>
      </c>
      <c r="T308" s="40">
        <f t="shared" si="53"/>
        <v>0.9765625</v>
      </c>
      <c r="U308">
        <v>34.449409484863303</v>
      </c>
      <c r="V308" s="33">
        <f t="shared" si="61"/>
        <v>3.2997131346945707</v>
      </c>
      <c r="W308">
        <v>229.99761962890599</v>
      </c>
      <c r="X308" s="90">
        <f t="shared" si="62"/>
        <v>19.500732422017109</v>
      </c>
    </row>
    <row r="309" spans="1:24" x14ac:dyDescent="0.25">
      <c r="A309" s="8">
        <v>42442.75</v>
      </c>
      <c r="B309" s="40">
        <f t="shared" si="54"/>
        <v>18</v>
      </c>
      <c r="C309" s="87">
        <v>55.498680114746101</v>
      </c>
      <c r="D309" s="85">
        <f t="shared" si="55"/>
        <v>0</v>
      </c>
      <c r="E309">
        <v>82.054718017578097</v>
      </c>
      <c r="F309" s="85">
        <f t="shared" si="56"/>
        <v>4.85992431640625</v>
      </c>
      <c r="G309">
        <v>168.95973205566401</v>
      </c>
      <c r="H309" s="86">
        <f t="shared" si="57"/>
        <v>11.779785155994205</v>
      </c>
      <c r="I309">
        <v>128.78422546386699</v>
      </c>
      <c r="J309" s="86">
        <f t="shared" si="58"/>
        <v>10.345458985000278</v>
      </c>
      <c r="K309">
        <v>193.87631225585901</v>
      </c>
      <c r="L309" s="86">
        <f t="shared" si="59"/>
        <v>15.121459960994343</v>
      </c>
      <c r="M309">
        <v>220.42262268066401</v>
      </c>
      <c r="N309" s="86">
        <f t="shared" si="60"/>
        <v>15.014648437983169</v>
      </c>
      <c r="O309">
        <v>1505.70166015625</v>
      </c>
      <c r="P309" s="40">
        <f t="shared" si="51"/>
        <v>110.96191405999889</v>
      </c>
      <c r="Q309">
        <v>1127.48364257813</v>
      </c>
      <c r="R309" s="40">
        <f t="shared" si="52"/>
        <v>0.85449217999666871</v>
      </c>
      <c r="S309">
        <v>2768.17895507813</v>
      </c>
      <c r="T309" s="40">
        <f t="shared" si="53"/>
        <v>93.994140619997779</v>
      </c>
      <c r="U309">
        <v>34.452709197997997</v>
      </c>
      <c r="V309" s="33">
        <f t="shared" si="61"/>
        <v>3.2386779786008901</v>
      </c>
      <c r="W309">
        <v>230.01712036132801</v>
      </c>
      <c r="X309" s="90">
        <f t="shared" si="62"/>
        <v>19.439697265994482</v>
      </c>
    </row>
    <row r="310" spans="1:24" x14ac:dyDescent="0.25">
      <c r="A310" s="8">
        <v>42442.791666666664</v>
      </c>
      <c r="B310" s="40">
        <f t="shared" si="54"/>
        <v>19</v>
      </c>
      <c r="C310" s="87">
        <v>55.498680114746101</v>
      </c>
      <c r="D310" s="85">
        <f t="shared" si="55"/>
        <v>0</v>
      </c>
      <c r="E310">
        <v>82.059577941894503</v>
      </c>
      <c r="F310" s="85">
        <f t="shared" si="56"/>
        <v>5.3558349609943434</v>
      </c>
      <c r="G310">
        <v>168.97151184082</v>
      </c>
      <c r="H310" s="86">
        <f t="shared" si="57"/>
        <v>11.932373046988687</v>
      </c>
      <c r="I310">
        <v>128.79457092285199</v>
      </c>
      <c r="J310" s="86">
        <f t="shared" si="58"/>
        <v>10.467529296022349</v>
      </c>
      <c r="K310">
        <v>193.89143371582</v>
      </c>
      <c r="L310" s="86">
        <f t="shared" si="59"/>
        <v>14.984130860000278</v>
      </c>
      <c r="M310">
        <v>220.43763732910199</v>
      </c>
      <c r="N310" s="86">
        <f t="shared" si="60"/>
        <v>14.801025389999722</v>
      </c>
      <c r="O310">
        <v>1505.81262207031</v>
      </c>
      <c r="P310" s="40">
        <f t="shared" si="51"/>
        <v>100.46386719000111</v>
      </c>
      <c r="Q310">
        <v>1127.48449707031</v>
      </c>
      <c r="R310" s="40">
        <f t="shared" si="52"/>
        <v>0.73242188000222086</v>
      </c>
      <c r="S310">
        <v>2768.27294921875</v>
      </c>
      <c r="T310" s="40">
        <f t="shared" si="53"/>
        <v>102.29492188000222</v>
      </c>
      <c r="U310">
        <v>34.455947875976598</v>
      </c>
      <c r="V310" s="33">
        <f t="shared" si="61"/>
        <v>3.2310485838991099</v>
      </c>
      <c r="W310">
        <v>230.03656005859401</v>
      </c>
      <c r="X310" s="90">
        <f t="shared" si="62"/>
        <v>17.562866210994343</v>
      </c>
    </row>
    <row r="311" spans="1:24" x14ac:dyDescent="0.25">
      <c r="A311" s="8">
        <v>42442.833333333336</v>
      </c>
      <c r="B311" s="40">
        <f t="shared" si="54"/>
        <v>20</v>
      </c>
      <c r="C311" s="87">
        <v>55.498680114746101</v>
      </c>
      <c r="D311" s="85">
        <f t="shared" si="55"/>
        <v>0</v>
      </c>
      <c r="E311">
        <v>82.064933776855497</v>
      </c>
      <c r="F311" s="85">
        <f t="shared" si="56"/>
        <v>5.59234619140625</v>
      </c>
      <c r="G311">
        <v>168.98344421386699</v>
      </c>
      <c r="H311" s="86">
        <f t="shared" si="57"/>
        <v>11.871337891022904</v>
      </c>
      <c r="I311">
        <v>128.80503845214801</v>
      </c>
      <c r="J311" s="86">
        <f t="shared" si="58"/>
        <v>10.437011718977374</v>
      </c>
      <c r="K311">
        <v>193.90641784668</v>
      </c>
      <c r="L311" s="86">
        <f t="shared" si="59"/>
        <v>15.060424804005379</v>
      </c>
      <c r="M311">
        <v>220.45243835449199</v>
      </c>
      <c r="N311" s="86">
        <f t="shared" si="60"/>
        <v>15.045166016022904</v>
      </c>
      <c r="O311">
        <v>1505.9130859375</v>
      </c>
      <c r="P311" s="40">
        <f t="shared" si="51"/>
        <v>103.88183594000111</v>
      </c>
      <c r="Q311">
        <v>1127.48522949219</v>
      </c>
      <c r="R311" s="40">
        <f t="shared" si="52"/>
        <v>0.85449219000111043</v>
      </c>
      <c r="S311">
        <v>2768.37524414063</v>
      </c>
      <c r="T311" s="40">
        <f t="shared" si="53"/>
        <v>101.31835936999778</v>
      </c>
      <c r="U311">
        <v>34.459178924560497</v>
      </c>
      <c r="V311" s="33">
        <f t="shared" si="61"/>
        <v>2.2010803223011521</v>
      </c>
      <c r="W311">
        <v>230.054122924805</v>
      </c>
      <c r="X311" s="90">
        <f t="shared" si="62"/>
        <v>14.312744139999722</v>
      </c>
    </row>
    <row r="312" spans="1:24" x14ac:dyDescent="0.25">
      <c r="A312" s="8">
        <v>42442.875</v>
      </c>
      <c r="B312" s="40">
        <f t="shared" si="54"/>
        <v>21</v>
      </c>
      <c r="C312" s="87">
        <v>55.498680114746101</v>
      </c>
      <c r="D312" s="85">
        <f t="shared" si="55"/>
        <v>1.1444091796875E-2</v>
      </c>
      <c r="E312">
        <v>82.070526123046903</v>
      </c>
      <c r="F312" s="85">
        <f t="shared" si="56"/>
        <v>5.5923461913920391</v>
      </c>
      <c r="G312">
        <v>168.99531555175801</v>
      </c>
      <c r="H312" s="86">
        <f t="shared" si="57"/>
        <v>11.871337889999722</v>
      </c>
      <c r="I312">
        <v>128.81547546386699</v>
      </c>
      <c r="J312" s="86">
        <f t="shared" si="58"/>
        <v>10.452270508011452</v>
      </c>
      <c r="K312">
        <v>193.92147827148401</v>
      </c>
      <c r="L312" s="86">
        <f t="shared" si="59"/>
        <v>15.121459960994343</v>
      </c>
      <c r="M312">
        <v>220.46748352050801</v>
      </c>
      <c r="N312" s="86">
        <f t="shared" si="60"/>
        <v>15.106201171988687</v>
      </c>
      <c r="O312">
        <v>1506.01696777344</v>
      </c>
      <c r="P312" s="40">
        <f t="shared" si="51"/>
        <v>111.57226561999778</v>
      </c>
      <c r="Q312">
        <v>1127.48608398438</v>
      </c>
      <c r="R312" s="40">
        <f t="shared" si="52"/>
        <v>0.9765625</v>
      </c>
      <c r="S312">
        <v>2768.4765625</v>
      </c>
      <c r="T312" s="40">
        <f t="shared" si="53"/>
        <v>112.54882813000222</v>
      </c>
      <c r="U312">
        <v>34.461380004882798</v>
      </c>
      <c r="V312" s="33">
        <f t="shared" si="61"/>
        <v>3.040313720703125</v>
      </c>
      <c r="W312">
        <v>230.068435668945</v>
      </c>
      <c r="X312" s="90">
        <f t="shared" si="62"/>
        <v>14.282226563011591</v>
      </c>
    </row>
    <row r="313" spans="1:24" x14ac:dyDescent="0.25">
      <c r="A313" s="8">
        <v>42442.916666666664</v>
      </c>
      <c r="B313" s="40">
        <f t="shared" si="54"/>
        <v>22</v>
      </c>
      <c r="C313" s="87">
        <v>55.498691558837898</v>
      </c>
      <c r="D313" s="85">
        <f t="shared" si="55"/>
        <v>0</v>
      </c>
      <c r="E313">
        <v>82.076118469238295</v>
      </c>
      <c r="F313" s="85">
        <f t="shared" si="56"/>
        <v>5.5847167969034217</v>
      </c>
      <c r="G313">
        <v>169.00718688964801</v>
      </c>
      <c r="H313" s="86">
        <f t="shared" si="57"/>
        <v>11.688232421988687</v>
      </c>
      <c r="I313">
        <v>128.825927734375</v>
      </c>
      <c r="J313" s="86">
        <f t="shared" si="58"/>
        <v>10.437011719005795</v>
      </c>
      <c r="K313">
        <v>193.936599731445</v>
      </c>
      <c r="L313" s="86">
        <f t="shared" si="59"/>
        <v>14.846801758011452</v>
      </c>
      <c r="M313">
        <v>220.48258972168</v>
      </c>
      <c r="N313" s="86">
        <f t="shared" si="60"/>
        <v>15.090942383011452</v>
      </c>
      <c r="O313">
        <v>1506.12854003906</v>
      </c>
      <c r="P313" s="40">
        <f t="shared" si="51"/>
        <v>111.08398438000222</v>
      </c>
      <c r="Q313">
        <v>1127.48706054688</v>
      </c>
      <c r="R313" s="40">
        <f t="shared" si="52"/>
        <v>0.73242186999777914</v>
      </c>
      <c r="S313">
        <v>2768.58911132813</v>
      </c>
      <c r="T313" s="40">
        <f t="shared" si="53"/>
        <v>111.81640625</v>
      </c>
      <c r="U313">
        <v>34.464420318603501</v>
      </c>
      <c r="V313" s="33">
        <f t="shared" si="61"/>
        <v>3.1585693360014488</v>
      </c>
      <c r="W313">
        <v>230.08271789550801</v>
      </c>
      <c r="X313" s="90">
        <f t="shared" si="62"/>
        <v>14.236450194999861</v>
      </c>
    </row>
    <row r="314" spans="1:24" x14ac:dyDescent="0.25">
      <c r="A314" s="8">
        <v>42442.958333333336</v>
      </c>
      <c r="B314" s="40">
        <f t="shared" si="54"/>
        <v>23</v>
      </c>
      <c r="C314" s="87">
        <v>55.498691558837898</v>
      </c>
      <c r="D314" s="85">
        <f t="shared" si="55"/>
        <v>0</v>
      </c>
      <c r="E314">
        <v>82.081703186035199</v>
      </c>
      <c r="F314" s="85">
        <f t="shared" si="56"/>
        <v>4.0359497070028283</v>
      </c>
      <c r="G314">
        <v>169.01887512207</v>
      </c>
      <c r="H314" s="86">
        <f t="shared" si="57"/>
        <v>11.71875</v>
      </c>
      <c r="I314">
        <v>128.83636474609401</v>
      </c>
      <c r="J314" s="86">
        <f t="shared" si="58"/>
        <v>10.177612304005379</v>
      </c>
      <c r="K314">
        <v>193.95144653320301</v>
      </c>
      <c r="L314" s="86">
        <f t="shared" si="59"/>
        <v>15.33508300798303</v>
      </c>
      <c r="M314">
        <v>220.49768066406301</v>
      </c>
      <c r="N314" s="86">
        <f t="shared" si="60"/>
        <v>15.182495116988548</v>
      </c>
      <c r="O314">
        <v>1506.23962402344</v>
      </c>
      <c r="P314" s="40">
        <f t="shared" si="51"/>
        <v>110.83984375</v>
      </c>
      <c r="Q314">
        <v>1127.48779296875</v>
      </c>
      <c r="R314" s="40">
        <f t="shared" si="52"/>
        <v>0.73242188000222086</v>
      </c>
      <c r="S314">
        <v>2768.70092773438</v>
      </c>
      <c r="T314" s="40">
        <f t="shared" si="53"/>
        <v>76.66015625</v>
      </c>
      <c r="U314">
        <v>34.467578887939503</v>
      </c>
      <c r="V314" s="33">
        <f t="shared" si="61"/>
        <v>3.1318664549999653</v>
      </c>
      <c r="W314">
        <v>230.09695434570301</v>
      </c>
      <c r="X314" s="90">
        <f t="shared" si="62"/>
        <v>14.282226562983169</v>
      </c>
    </row>
    <row r="315" spans="1:24" x14ac:dyDescent="0.25">
      <c r="A315" s="8">
        <v>42443</v>
      </c>
      <c r="B315" s="40">
        <f t="shared" si="54"/>
        <v>0</v>
      </c>
      <c r="C315" s="87">
        <v>55.498691558837898</v>
      </c>
      <c r="D315" s="85">
        <f t="shared" si="55"/>
        <v>0</v>
      </c>
      <c r="E315">
        <v>82.085739135742202</v>
      </c>
      <c r="F315" s="85">
        <f t="shared" si="56"/>
        <v>0</v>
      </c>
      <c r="G315">
        <v>169.03059387207</v>
      </c>
      <c r="H315" s="86">
        <f t="shared" si="57"/>
        <v>11.322021485000278</v>
      </c>
      <c r="I315">
        <v>128.84654235839801</v>
      </c>
      <c r="J315" s="86">
        <f t="shared" si="58"/>
        <v>9.9639892579830303</v>
      </c>
      <c r="K315">
        <v>193.96678161621099</v>
      </c>
      <c r="L315" s="86">
        <f t="shared" si="59"/>
        <v>15.167236328011313</v>
      </c>
      <c r="M315">
        <v>220.51286315918</v>
      </c>
      <c r="N315" s="86">
        <f t="shared" si="60"/>
        <v>15.182495116988548</v>
      </c>
      <c r="O315">
        <v>1506.35046386719</v>
      </c>
      <c r="P315" s="40">
        <f t="shared" si="51"/>
        <v>111.328125</v>
      </c>
      <c r="Q315">
        <v>1127.48852539063</v>
      </c>
      <c r="R315" s="40">
        <f t="shared" si="52"/>
        <v>0.85449217999666871</v>
      </c>
      <c r="S315">
        <v>2768.77758789063</v>
      </c>
      <c r="T315" s="40">
        <f t="shared" si="53"/>
        <v>0.73242186999777914</v>
      </c>
      <c r="U315">
        <v>34.470710754394503</v>
      </c>
      <c r="V315" s="33">
        <f t="shared" si="61"/>
        <v>3.0517578125</v>
      </c>
      <c r="W315">
        <v>230.11123657226599</v>
      </c>
      <c r="X315" s="90">
        <f t="shared" si="62"/>
        <v>14.038085937016831</v>
      </c>
    </row>
    <row r="316" spans="1:24" x14ac:dyDescent="0.25">
      <c r="A316" s="8">
        <v>42443.041666666664</v>
      </c>
      <c r="B316" s="40">
        <f t="shared" si="54"/>
        <v>1</v>
      </c>
      <c r="C316" s="87">
        <v>55.498691558837898</v>
      </c>
      <c r="D316" s="85">
        <f t="shared" si="55"/>
        <v>0</v>
      </c>
      <c r="E316">
        <v>82.085739135742202</v>
      </c>
      <c r="F316" s="85">
        <f t="shared" si="56"/>
        <v>0</v>
      </c>
      <c r="G316">
        <v>169.041915893555</v>
      </c>
      <c r="H316" s="86">
        <f t="shared" si="57"/>
        <v>11.245727539005657</v>
      </c>
      <c r="I316">
        <v>128.85650634765599</v>
      </c>
      <c r="J316" s="86">
        <f t="shared" si="58"/>
        <v>9.8876953130115908</v>
      </c>
      <c r="K316">
        <v>193.98194885253901</v>
      </c>
      <c r="L316" s="86">
        <f t="shared" si="59"/>
        <v>15.319824219005795</v>
      </c>
      <c r="M316">
        <v>220.52804565429699</v>
      </c>
      <c r="N316" s="86">
        <f t="shared" si="60"/>
        <v>15.258789062016831</v>
      </c>
      <c r="O316">
        <v>1506.46179199219</v>
      </c>
      <c r="P316" s="40">
        <f t="shared" si="51"/>
        <v>111.20605469000111</v>
      </c>
      <c r="Q316">
        <v>1127.48937988281</v>
      </c>
      <c r="R316" s="40">
        <f t="shared" si="52"/>
        <v>0.73242188000222086</v>
      </c>
      <c r="S316">
        <v>2768.7783203125</v>
      </c>
      <c r="T316" s="40">
        <f t="shared" si="53"/>
        <v>0.9765625</v>
      </c>
      <c r="U316">
        <v>34.473762512207003</v>
      </c>
      <c r="V316" s="33">
        <f t="shared" si="61"/>
        <v>2.758026123096613</v>
      </c>
      <c r="W316">
        <v>230.12527465820301</v>
      </c>
      <c r="X316" s="90">
        <f t="shared" si="62"/>
        <v>14.419555663977235</v>
      </c>
    </row>
    <row r="317" spans="1:24" x14ac:dyDescent="0.25">
      <c r="A317" s="8">
        <v>42443.083333333336</v>
      </c>
      <c r="B317" s="40">
        <f t="shared" si="54"/>
        <v>2</v>
      </c>
      <c r="C317" s="87">
        <v>55.498691558837898</v>
      </c>
      <c r="D317" s="85">
        <f t="shared" si="55"/>
        <v>0</v>
      </c>
      <c r="E317">
        <v>82.085739135742202</v>
      </c>
      <c r="F317" s="85">
        <f t="shared" si="56"/>
        <v>0</v>
      </c>
      <c r="G317">
        <v>169.05316162109401</v>
      </c>
      <c r="H317" s="86">
        <f t="shared" si="57"/>
        <v>11.352539061988409</v>
      </c>
      <c r="I317">
        <v>128.86639404296901</v>
      </c>
      <c r="J317" s="86">
        <f t="shared" si="58"/>
        <v>9.7503662109943434</v>
      </c>
      <c r="K317">
        <v>193.99726867675801</v>
      </c>
      <c r="L317" s="86">
        <f t="shared" si="59"/>
        <v>15.213012694999861</v>
      </c>
      <c r="M317">
        <v>220.54330444335901</v>
      </c>
      <c r="N317" s="86">
        <f t="shared" si="60"/>
        <v>14.999389649005934</v>
      </c>
      <c r="O317">
        <v>1506.57299804688</v>
      </c>
      <c r="P317" s="40">
        <f t="shared" si="51"/>
        <v>110.83984375</v>
      </c>
      <c r="Q317">
        <v>1127.49011230469</v>
      </c>
      <c r="R317" s="40">
        <f t="shared" si="52"/>
        <v>0.85449219000111043</v>
      </c>
      <c r="S317">
        <v>2768.779296875</v>
      </c>
      <c r="T317" s="40">
        <f t="shared" si="53"/>
        <v>0.48828125</v>
      </c>
      <c r="U317">
        <v>34.476520538330099</v>
      </c>
      <c r="V317" s="33">
        <f t="shared" si="61"/>
        <v>2.7694702148011174</v>
      </c>
      <c r="W317">
        <v>230.13969421386699</v>
      </c>
      <c r="X317" s="90">
        <f t="shared" si="62"/>
        <v>14.221191406022626</v>
      </c>
    </row>
    <row r="318" spans="1:24" x14ac:dyDescent="0.25">
      <c r="A318" s="8">
        <v>42443.125</v>
      </c>
      <c r="B318" s="40">
        <f t="shared" si="54"/>
        <v>3</v>
      </c>
      <c r="C318" s="87">
        <v>55.498691558837898</v>
      </c>
      <c r="D318" s="85">
        <f t="shared" si="55"/>
        <v>0</v>
      </c>
      <c r="E318">
        <v>82.085739135742202</v>
      </c>
      <c r="F318" s="85">
        <f t="shared" si="56"/>
        <v>0</v>
      </c>
      <c r="G318">
        <v>169.06451416015599</v>
      </c>
      <c r="H318" s="86">
        <f t="shared" si="57"/>
        <v>11.489868164005657</v>
      </c>
      <c r="I318">
        <v>128.87614440918</v>
      </c>
      <c r="J318" s="86">
        <f t="shared" si="58"/>
        <v>9.9182128899997224</v>
      </c>
      <c r="K318">
        <v>194.01248168945301</v>
      </c>
      <c r="L318" s="86">
        <f t="shared" si="59"/>
        <v>15.319824218977374</v>
      </c>
      <c r="M318">
        <v>220.55830383300801</v>
      </c>
      <c r="N318" s="86">
        <f t="shared" si="60"/>
        <v>15.258789061988409</v>
      </c>
      <c r="O318">
        <v>1506.68383789063</v>
      </c>
      <c r="P318" s="40">
        <f t="shared" si="51"/>
        <v>110.96191405999889</v>
      </c>
      <c r="Q318">
        <v>1127.49096679688</v>
      </c>
      <c r="R318" s="40">
        <f t="shared" si="52"/>
        <v>0.61035155999888957</v>
      </c>
      <c r="S318">
        <v>2768.77978515625</v>
      </c>
      <c r="T318" s="40">
        <f t="shared" si="53"/>
        <v>0.73242188000222086</v>
      </c>
      <c r="U318">
        <v>34.479290008544901</v>
      </c>
      <c r="V318" s="33">
        <f t="shared" si="61"/>
        <v>2.7503967285014141</v>
      </c>
      <c r="W318">
        <v>230.15391540527301</v>
      </c>
      <c r="X318" s="90">
        <f t="shared" si="62"/>
        <v>14.175415040000416</v>
      </c>
    </row>
    <row r="319" spans="1:24" x14ac:dyDescent="0.25">
      <c r="A319" s="8">
        <v>42443.166666666664</v>
      </c>
      <c r="B319" s="40">
        <f t="shared" si="54"/>
        <v>4</v>
      </c>
      <c r="C319" s="87">
        <v>55.498691558837898</v>
      </c>
      <c r="D319" s="85">
        <f t="shared" si="55"/>
        <v>0</v>
      </c>
      <c r="E319">
        <v>82.085739135742202</v>
      </c>
      <c r="F319" s="85">
        <f t="shared" si="56"/>
        <v>0</v>
      </c>
      <c r="G319">
        <v>169.07600402832</v>
      </c>
      <c r="H319" s="86">
        <f t="shared" si="57"/>
        <v>11.398315430000139</v>
      </c>
      <c r="I319">
        <v>128.88606262207</v>
      </c>
      <c r="J319" s="86">
        <f t="shared" si="58"/>
        <v>9.9029541019888256</v>
      </c>
      <c r="K319">
        <v>194.02780151367199</v>
      </c>
      <c r="L319" s="86">
        <f t="shared" si="59"/>
        <v>15.42663574201697</v>
      </c>
      <c r="M319">
        <v>220.57356262207</v>
      </c>
      <c r="N319" s="86">
        <f t="shared" si="60"/>
        <v>15.365600585994343</v>
      </c>
      <c r="O319">
        <v>1506.79479980469</v>
      </c>
      <c r="P319" s="40">
        <f t="shared" si="51"/>
        <v>110.83984375</v>
      </c>
      <c r="Q319">
        <v>1127.49157714844</v>
      </c>
      <c r="R319" s="40">
        <f t="shared" si="52"/>
        <v>0.9765625</v>
      </c>
      <c r="S319">
        <v>2768.78051757813</v>
      </c>
      <c r="T319" s="40">
        <f t="shared" si="53"/>
        <v>0.9765625</v>
      </c>
      <c r="U319">
        <v>34.482040405273402</v>
      </c>
      <c r="V319" s="33">
        <f t="shared" si="61"/>
        <v>2.7618408203977651</v>
      </c>
      <c r="W319">
        <v>230.16809082031301</v>
      </c>
      <c r="X319" s="90">
        <f t="shared" si="62"/>
        <v>14.11437988198827</v>
      </c>
    </row>
    <row r="320" spans="1:24" x14ac:dyDescent="0.25">
      <c r="A320" s="8">
        <v>42443.208333333336</v>
      </c>
      <c r="B320" s="40">
        <f t="shared" si="54"/>
        <v>5</v>
      </c>
      <c r="C320" s="87">
        <v>55.498691558837898</v>
      </c>
      <c r="D320" s="85">
        <f t="shared" si="55"/>
        <v>0</v>
      </c>
      <c r="E320">
        <v>82.085739135742202</v>
      </c>
      <c r="F320" s="85">
        <f t="shared" si="56"/>
        <v>0</v>
      </c>
      <c r="G320">
        <v>169.08740234375</v>
      </c>
      <c r="H320" s="86">
        <f t="shared" si="57"/>
        <v>11.260986328011313</v>
      </c>
      <c r="I320">
        <v>128.89596557617199</v>
      </c>
      <c r="J320" s="86">
        <f t="shared" si="58"/>
        <v>9.9029541010224875</v>
      </c>
      <c r="K320">
        <v>194.04322814941401</v>
      </c>
      <c r="L320" s="86">
        <f t="shared" si="59"/>
        <v>15.213012694999861</v>
      </c>
      <c r="M320">
        <v>220.58892822265599</v>
      </c>
      <c r="N320" s="86">
        <f t="shared" si="60"/>
        <v>15.274047852017247</v>
      </c>
      <c r="O320">
        <v>1506.90563964844</v>
      </c>
      <c r="P320" s="40">
        <f t="shared" si="51"/>
        <v>109.61914061999778</v>
      </c>
      <c r="Q320">
        <v>1127.49255371094</v>
      </c>
      <c r="R320" s="40">
        <f t="shared" si="52"/>
        <v>0.73242186999777914</v>
      </c>
      <c r="S320">
        <v>2768.78149414063</v>
      </c>
      <c r="T320" s="40">
        <f t="shared" si="53"/>
        <v>0.48828125</v>
      </c>
      <c r="U320">
        <v>34.4848022460938</v>
      </c>
      <c r="V320" s="33">
        <f t="shared" si="61"/>
        <v>2.7694702148011174</v>
      </c>
      <c r="W320">
        <v>230.182205200195</v>
      </c>
      <c r="X320" s="90">
        <f t="shared" si="62"/>
        <v>14.251708985000278</v>
      </c>
    </row>
    <row r="321" spans="1:24" x14ac:dyDescent="0.25">
      <c r="A321" s="8">
        <v>42443.25</v>
      </c>
      <c r="B321" s="40">
        <f t="shared" si="54"/>
        <v>6</v>
      </c>
      <c r="C321" s="87">
        <v>55.498691558837898</v>
      </c>
      <c r="D321" s="85">
        <f t="shared" si="55"/>
        <v>0</v>
      </c>
      <c r="E321">
        <v>82.085739135742202</v>
      </c>
      <c r="F321" s="85">
        <f t="shared" si="56"/>
        <v>2.3727416992045391</v>
      </c>
      <c r="G321">
        <v>169.09866333007801</v>
      </c>
      <c r="H321" s="86">
        <f t="shared" si="57"/>
        <v>11.611938476988826</v>
      </c>
      <c r="I321">
        <v>128.90586853027301</v>
      </c>
      <c r="J321" s="86">
        <f t="shared" si="58"/>
        <v>10.177612305000139</v>
      </c>
      <c r="K321">
        <v>194.05844116210901</v>
      </c>
      <c r="L321" s="86">
        <f t="shared" si="59"/>
        <v>15.350341796988687</v>
      </c>
      <c r="M321">
        <v>220.60420227050801</v>
      </c>
      <c r="N321" s="86">
        <f t="shared" si="60"/>
        <v>15.228271483977096</v>
      </c>
      <c r="O321">
        <v>1507.01525878906</v>
      </c>
      <c r="P321" s="40">
        <f t="shared" si="51"/>
        <v>110.83984375</v>
      </c>
      <c r="Q321">
        <v>1127.49328613281</v>
      </c>
      <c r="R321" s="40">
        <f t="shared" si="52"/>
        <v>0.85449219000111043</v>
      </c>
      <c r="S321">
        <v>2768.78198242188</v>
      </c>
      <c r="T321" s="40">
        <f t="shared" si="53"/>
        <v>42.236328119997779</v>
      </c>
      <c r="U321">
        <v>34.487571716308601</v>
      </c>
      <c r="V321" s="33">
        <f t="shared" si="61"/>
        <v>3.0174255371022696</v>
      </c>
      <c r="W321">
        <v>230.19645690918</v>
      </c>
      <c r="X321" s="90">
        <f t="shared" si="62"/>
        <v>14.266967773011174</v>
      </c>
    </row>
    <row r="322" spans="1:24" x14ac:dyDescent="0.25">
      <c r="A322" s="8">
        <v>42443.291666666664</v>
      </c>
      <c r="B322" s="40">
        <f t="shared" si="54"/>
        <v>7</v>
      </c>
      <c r="C322" s="87">
        <v>55.498691558837898</v>
      </c>
      <c r="D322" s="85">
        <f t="shared" si="55"/>
        <v>0</v>
      </c>
      <c r="E322">
        <v>82.088111877441406</v>
      </c>
      <c r="F322" s="85">
        <f t="shared" si="56"/>
        <v>5.5770874024005934</v>
      </c>
      <c r="G322">
        <v>169.110275268555</v>
      </c>
      <c r="H322" s="86">
        <f t="shared" si="57"/>
        <v>11.856079100994066</v>
      </c>
      <c r="I322">
        <v>128.91604614257801</v>
      </c>
      <c r="J322" s="86">
        <f t="shared" si="58"/>
        <v>10.299682616988548</v>
      </c>
      <c r="K322">
        <v>194.07379150390599</v>
      </c>
      <c r="L322" s="86">
        <f t="shared" si="59"/>
        <v>15.213012695994621</v>
      </c>
      <c r="M322">
        <v>220.61943054199199</v>
      </c>
      <c r="N322" s="86">
        <f t="shared" si="60"/>
        <v>14.877319336022765</v>
      </c>
      <c r="O322">
        <v>1507.12609863281</v>
      </c>
      <c r="P322" s="40">
        <f t="shared" si="51"/>
        <v>112.18261719000111</v>
      </c>
      <c r="Q322">
        <v>1127.494140625</v>
      </c>
      <c r="R322" s="40">
        <f t="shared" si="52"/>
        <v>0.73242188000222086</v>
      </c>
      <c r="S322">
        <v>2768.82421875</v>
      </c>
      <c r="T322" s="40">
        <f t="shared" si="53"/>
        <v>107.91015625</v>
      </c>
      <c r="U322">
        <v>34.490589141845703</v>
      </c>
      <c r="V322" s="33">
        <f t="shared" si="61"/>
        <v>3.2196044921946054</v>
      </c>
      <c r="W322">
        <v>230.21072387695301</v>
      </c>
      <c r="X322" s="90">
        <f t="shared" si="62"/>
        <v>14.236450194999861</v>
      </c>
    </row>
    <row r="323" spans="1:24" x14ac:dyDescent="0.25">
      <c r="A323" s="8">
        <v>42443.333333333336</v>
      </c>
      <c r="B323" s="40">
        <f t="shared" si="54"/>
        <v>8</v>
      </c>
      <c r="C323" s="87">
        <v>55.498691558837898</v>
      </c>
      <c r="D323" s="85">
        <f t="shared" si="55"/>
        <v>0</v>
      </c>
      <c r="E323">
        <v>82.093688964843807</v>
      </c>
      <c r="F323" s="85">
        <f t="shared" si="56"/>
        <v>5.5847167967897349</v>
      </c>
      <c r="G323">
        <v>169.12213134765599</v>
      </c>
      <c r="H323" s="86">
        <f t="shared" si="57"/>
        <v>11.795043945994621</v>
      </c>
      <c r="I323">
        <v>128.926345825195</v>
      </c>
      <c r="J323" s="86">
        <f t="shared" si="58"/>
        <v>10.406494140994482</v>
      </c>
      <c r="K323">
        <v>194.08900451660199</v>
      </c>
      <c r="L323" s="86">
        <f t="shared" si="59"/>
        <v>14.923095703011313</v>
      </c>
      <c r="M323">
        <v>220.63430786132801</v>
      </c>
      <c r="N323" s="86">
        <f t="shared" si="60"/>
        <v>15.213012694999861</v>
      </c>
      <c r="O323">
        <v>1507.23828125</v>
      </c>
      <c r="P323" s="40">
        <f t="shared" ref="P323:P368" si="63">+(O324-O323)*1000</f>
        <v>112.67089844000111</v>
      </c>
      <c r="Q323">
        <v>1127.49487304688</v>
      </c>
      <c r="R323" s="40">
        <f t="shared" ref="R323:R368" si="64">+(Q324-Q323)*1000</f>
        <v>0.85449217999666871</v>
      </c>
      <c r="S323">
        <v>2768.93212890625</v>
      </c>
      <c r="T323" s="40">
        <f t="shared" ref="T323:T368" si="65">+(S324-S323)*1000</f>
        <v>107.91015625</v>
      </c>
      <c r="U323">
        <v>34.493808746337898</v>
      </c>
      <c r="V323" s="33">
        <f t="shared" si="61"/>
        <v>3.3531188965056913</v>
      </c>
      <c r="W323">
        <v>230.22496032714801</v>
      </c>
      <c r="X323" s="90">
        <f t="shared" si="62"/>
        <v>14.129638671988687</v>
      </c>
    </row>
    <row r="324" spans="1:24" x14ac:dyDescent="0.25">
      <c r="A324" s="8">
        <v>42443.375</v>
      </c>
      <c r="B324" s="40">
        <f t="shared" ref="B324:B387" si="66">+HOUR(A324)</f>
        <v>9</v>
      </c>
      <c r="C324" s="87">
        <v>55.498691558837898</v>
      </c>
      <c r="D324" s="85">
        <f t="shared" ref="D324:D387" si="67">+(C325-C324)*1000</f>
        <v>0</v>
      </c>
      <c r="E324">
        <v>82.099273681640597</v>
      </c>
      <c r="F324" s="85">
        <f t="shared" ref="F324:F387" si="68">+(E325-E324)*1000</f>
        <v>0.25939941410513256</v>
      </c>
      <c r="G324">
        <v>169.13392639160199</v>
      </c>
      <c r="H324" s="86">
        <f t="shared" ref="H324:H387" si="69">+(G325-G324)*1000</f>
        <v>11.27624511701697</v>
      </c>
      <c r="I324">
        <v>128.93675231933599</v>
      </c>
      <c r="J324" s="86">
        <f t="shared" ref="J324:J387" si="70">+(I325-I324)*1000</f>
        <v>9.8114013670169697</v>
      </c>
      <c r="K324">
        <v>194.103927612305</v>
      </c>
      <c r="L324" s="86">
        <f t="shared" ref="L324:L387" si="71">+(K325-K324)*1000</f>
        <v>15.365600585994343</v>
      </c>
      <c r="M324">
        <v>220.64952087402301</v>
      </c>
      <c r="N324" s="86">
        <f t="shared" ref="N324:N387" si="72">+(M325-M324)*1000</f>
        <v>15.258789062983169</v>
      </c>
      <c r="O324">
        <v>1507.35095214844</v>
      </c>
      <c r="P324" s="40">
        <f t="shared" si="63"/>
        <v>113.03710936999778</v>
      </c>
      <c r="Q324">
        <v>1127.49572753906</v>
      </c>
      <c r="R324" s="40">
        <f t="shared" si="64"/>
        <v>0.73242188000222086</v>
      </c>
      <c r="S324">
        <v>2769.0400390625</v>
      </c>
      <c r="T324" s="40">
        <f t="shared" si="65"/>
        <v>2.1972656300022209</v>
      </c>
      <c r="U324">
        <v>34.497161865234403</v>
      </c>
      <c r="V324" s="33">
        <f t="shared" ref="V324:V387" si="73">+(U325-U324)*1000</f>
        <v>3.2882690428976957</v>
      </c>
      <c r="W324">
        <v>230.23908996582</v>
      </c>
      <c r="X324" s="90">
        <f t="shared" ref="X324:X387" si="74">+(W325-W324)*1000</f>
        <v>14.266967774005934</v>
      </c>
    </row>
    <row r="325" spans="1:24" x14ac:dyDescent="0.25">
      <c r="A325" s="8">
        <v>42443.416666666664</v>
      </c>
      <c r="B325" s="40">
        <f t="shared" si="66"/>
        <v>10</v>
      </c>
      <c r="C325" s="87">
        <v>55.498691558837898</v>
      </c>
      <c r="D325" s="85">
        <f t="shared" si="67"/>
        <v>0</v>
      </c>
      <c r="E325">
        <v>82.099533081054702</v>
      </c>
      <c r="F325" s="85">
        <f t="shared" si="68"/>
        <v>0</v>
      </c>
      <c r="G325">
        <v>169.14520263671901</v>
      </c>
      <c r="H325" s="86">
        <f t="shared" si="69"/>
        <v>11.23046875</v>
      </c>
      <c r="I325">
        <v>128.94656372070301</v>
      </c>
      <c r="J325" s="86">
        <f t="shared" si="70"/>
        <v>9.6130371100002776</v>
      </c>
      <c r="K325">
        <v>194.11929321289099</v>
      </c>
      <c r="L325" s="86">
        <f t="shared" si="71"/>
        <v>15.197753905994205</v>
      </c>
      <c r="M325">
        <v>220.66477966308599</v>
      </c>
      <c r="N325" s="86">
        <f t="shared" si="72"/>
        <v>15.167236328011313</v>
      </c>
      <c r="O325">
        <v>1507.46398925781</v>
      </c>
      <c r="P325" s="40">
        <f t="shared" si="63"/>
        <v>111.69433594000111</v>
      </c>
      <c r="Q325">
        <v>1127.49645996094</v>
      </c>
      <c r="R325" s="40">
        <f t="shared" si="64"/>
        <v>0.73242186999777914</v>
      </c>
      <c r="S325">
        <v>2769.04223632813</v>
      </c>
      <c r="T325" s="40">
        <f t="shared" si="65"/>
        <v>0.73242186999777914</v>
      </c>
      <c r="U325">
        <v>34.500450134277301</v>
      </c>
      <c r="V325" s="33">
        <f t="shared" si="73"/>
        <v>3.2882690429971717</v>
      </c>
      <c r="W325">
        <v>230.25335693359401</v>
      </c>
      <c r="X325" s="90">
        <f t="shared" si="74"/>
        <v>14.297485350994066</v>
      </c>
    </row>
    <row r="326" spans="1:24" x14ac:dyDescent="0.25">
      <c r="A326" s="8">
        <v>42443.458333333336</v>
      </c>
      <c r="B326" s="40">
        <f t="shared" si="66"/>
        <v>11</v>
      </c>
      <c r="C326" s="87">
        <v>55.498691558837898</v>
      </c>
      <c r="D326" s="85">
        <f t="shared" si="67"/>
        <v>0</v>
      </c>
      <c r="E326">
        <v>82.099533081054702</v>
      </c>
      <c r="F326" s="85">
        <f t="shared" si="68"/>
        <v>0</v>
      </c>
      <c r="G326">
        <v>169.15643310546901</v>
      </c>
      <c r="H326" s="86">
        <f t="shared" si="69"/>
        <v>11.276245116988548</v>
      </c>
      <c r="I326">
        <v>128.95617675781301</v>
      </c>
      <c r="J326" s="86">
        <f t="shared" si="70"/>
        <v>9.9182128899997224</v>
      </c>
      <c r="K326">
        <v>194.13449096679699</v>
      </c>
      <c r="L326" s="86">
        <f t="shared" si="71"/>
        <v>15.350341797017109</v>
      </c>
      <c r="M326">
        <v>220.67994689941401</v>
      </c>
      <c r="N326" s="86">
        <f t="shared" si="72"/>
        <v>15.213012694999861</v>
      </c>
      <c r="O326">
        <v>1507.57568359375</v>
      </c>
      <c r="P326" s="40">
        <f t="shared" si="63"/>
        <v>111.20605469000111</v>
      </c>
      <c r="Q326">
        <v>1127.49719238281</v>
      </c>
      <c r="R326" s="40">
        <f t="shared" si="64"/>
        <v>0.9765625</v>
      </c>
      <c r="S326">
        <v>2769.04296875</v>
      </c>
      <c r="T326" s="40">
        <f t="shared" si="65"/>
        <v>0.73242188000222086</v>
      </c>
      <c r="U326">
        <v>34.503738403320298</v>
      </c>
      <c r="V326" s="33">
        <f t="shared" si="73"/>
        <v>3.3645629883025663</v>
      </c>
      <c r="W326">
        <v>230.267654418945</v>
      </c>
      <c r="X326" s="90">
        <f t="shared" si="74"/>
        <v>16.082763671988687</v>
      </c>
    </row>
    <row r="327" spans="1:24" x14ac:dyDescent="0.25">
      <c r="A327" s="8">
        <v>42443.5</v>
      </c>
      <c r="B327" s="40">
        <f t="shared" si="66"/>
        <v>12</v>
      </c>
      <c r="C327" s="87">
        <v>55.498691558837898</v>
      </c>
      <c r="D327" s="85">
        <f t="shared" si="67"/>
        <v>7.6293945028282906E-3</v>
      </c>
      <c r="E327">
        <v>82.099533081054702</v>
      </c>
      <c r="F327" s="85">
        <f t="shared" si="68"/>
        <v>2.9067993163920391</v>
      </c>
      <c r="G327">
        <v>169.16770935058599</v>
      </c>
      <c r="H327" s="86">
        <f t="shared" si="69"/>
        <v>9.521484375</v>
      </c>
      <c r="I327">
        <v>128.96609497070301</v>
      </c>
      <c r="J327" s="86">
        <f t="shared" si="70"/>
        <v>8.3160400389772349</v>
      </c>
      <c r="K327">
        <v>194.14984130859401</v>
      </c>
      <c r="L327" s="86">
        <f t="shared" si="71"/>
        <v>13.519287109005518</v>
      </c>
      <c r="M327">
        <v>220.69515991210901</v>
      </c>
      <c r="N327" s="86">
        <f t="shared" si="72"/>
        <v>13.412475585994343</v>
      </c>
      <c r="O327">
        <v>1507.68688964844</v>
      </c>
      <c r="P327" s="40">
        <f t="shared" si="63"/>
        <v>83.49609375</v>
      </c>
      <c r="Q327">
        <v>1127.49816894531</v>
      </c>
      <c r="R327" s="40">
        <f t="shared" si="64"/>
        <v>0.61035157000333129</v>
      </c>
      <c r="S327">
        <v>2769.04370117188</v>
      </c>
      <c r="T327" s="40">
        <f t="shared" si="65"/>
        <v>64.697265619997779</v>
      </c>
      <c r="U327">
        <v>34.507102966308601</v>
      </c>
      <c r="V327" s="33">
        <f t="shared" si="73"/>
        <v>0.85830688480115214</v>
      </c>
      <c r="W327">
        <v>230.28373718261699</v>
      </c>
      <c r="X327" s="90">
        <f t="shared" si="74"/>
        <v>16.494750977017247</v>
      </c>
    </row>
    <row r="328" spans="1:24" x14ac:dyDescent="0.25">
      <c r="A328" s="8">
        <v>42443.541666666664</v>
      </c>
      <c r="B328" s="40">
        <f t="shared" si="66"/>
        <v>13</v>
      </c>
      <c r="C328" s="87">
        <v>55.498699188232401</v>
      </c>
      <c r="D328" s="85">
        <f t="shared" si="67"/>
        <v>0</v>
      </c>
      <c r="E328">
        <v>82.102439880371094</v>
      </c>
      <c r="F328" s="85">
        <f t="shared" si="68"/>
        <v>3.7841796875</v>
      </c>
      <c r="G328">
        <v>169.17723083496099</v>
      </c>
      <c r="H328" s="86">
        <f t="shared" si="69"/>
        <v>7.4920654300001388</v>
      </c>
      <c r="I328">
        <v>128.97441101074199</v>
      </c>
      <c r="J328" s="86">
        <f t="shared" si="70"/>
        <v>8.5144042970171085</v>
      </c>
      <c r="K328">
        <v>194.16336059570301</v>
      </c>
      <c r="L328" s="86">
        <f t="shared" si="71"/>
        <v>10.406494140994482</v>
      </c>
      <c r="M328">
        <v>220.708572387695</v>
      </c>
      <c r="N328" s="86">
        <f t="shared" si="72"/>
        <v>13.656616210994343</v>
      </c>
      <c r="O328">
        <v>1507.77038574219</v>
      </c>
      <c r="P328" s="40">
        <f t="shared" si="63"/>
        <v>84.9609375</v>
      </c>
      <c r="Q328">
        <v>1127.49877929688</v>
      </c>
      <c r="R328" s="40">
        <f t="shared" si="64"/>
        <v>0.61035155999888957</v>
      </c>
      <c r="S328">
        <v>2769.1083984375</v>
      </c>
      <c r="T328" s="40">
        <f t="shared" si="65"/>
        <v>156.98242188000222</v>
      </c>
      <c r="U328">
        <v>34.507961273193402</v>
      </c>
      <c r="V328" s="33">
        <f t="shared" si="73"/>
        <v>0.14877319329542615</v>
      </c>
      <c r="W328">
        <v>230.30023193359401</v>
      </c>
      <c r="X328" s="90">
        <f t="shared" si="74"/>
        <v>13.610839844005795</v>
      </c>
    </row>
    <row r="329" spans="1:24" x14ac:dyDescent="0.25">
      <c r="A329" s="8">
        <v>42443.583333333336</v>
      </c>
      <c r="B329" s="40">
        <f t="shared" si="66"/>
        <v>14</v>
      </c>
      <c r="C329" s="87">
        <v>55.498699188232401</v>
      </c>
      <c r="D329" s="85">
        <f t="shared" si="67"/>
        <v>0</v>
      </c>
      <c r="E329">
        <v>82.106224060058594</v>
      </c>
      <c r="F329" s="85">
        <f t="shared" si="68"/>
        <v>5.6304931641051326</v>
      </c>
      <c r="G329">
        <v>169.18472290039099</v>
      </c>
      <c r="H329" s="86">
        <f t="shared" si="69"/>
        <v>0</v>
      </c>
      <c r="I329">
        <v>128.98292541503901</v>
      </c>
      <c r="J329" s="86">
        <f t="shared" si="70"/>
        <v>9.567260741988548</v>
      </c>
      <c r="K329">
        <v>194.17376708984401</v>
      </c>
      <c r="L329" s="86">
        <f t="shared" si="71"/>
        <v>0</v>
      </c>
      <c r="M329">
        <v>220.72222900390599</v>
      </c>
      <c r="N329" s="86">
        <f t="shared" si="72"/>
        <v>15.13671875</v>
      </c>
      <c r="O329">
        <v>1507.85534667969</v>
      </c>
      <c r="P329" s="40">
        <f t="shared" si="63"/>
        <v>112.54882811999778</v>
      </c>
      <c r="Q329">
        <v>1127.49938964844</v>
      </c>
      <c r="R329" s="40">
        <f t="shared" si="64"/>
        <v>0.85449219000111043</v>
      </c>
      <c r="S329">
        <v>2769.26538085938</v>
      </c>
      <c r="T329" s="40">
        <f t="shared" si="65"/>
        <v>258.05664061999778</v>
      </c>
      <c r="U329">
        <v>34.508110046386697</v>
      </c>
      <c r="V329" s="33">
        <f t="shared" si="73"/>
        <v>0.16021728520598799</v>
      </c>
      <c r="W329">
        <v>230.31384277343801</v>
      </c>
      <c r="X329" s="90">
        <f t="shared" si="74"/>
        <v>14.801025389999722</v>
      </c>
    </row>
    <row r="330" spans="1:24" x14ac:dyDescent="0.25">
      <c r="A330" s="8">
        <v>42443.625</v>
      </c>
      <c r="B330" s="40">
        <f t="shared" si="66"/>
        <v>15</v>
      </c>
      <c r="C330" s="87">
        <v>55.498699188232401</v>
      </c>
      <c r="D330" s="85">
        <f t="shared" si="67"/>
        <v>1.1444091796875E-2</v>
      </c>
      <c r="E330">
        <v>82.111854553222699</v>
      </c>
      <c r="F330" s="85">
        <f t="shared" si="68"/>
        <v>5.615234375</v>
      </c>
      <c r="G330">
        <v>169.18472290039099</v>
      </c>
      <c r="H330" s="86">
        <f t="shared" si="69"/>
        <v>1.8310546870168309</v>
      </c>
      <c r="I330">
        <v>128.99249267578099</v>
      </c>
      <c r="J330" s="86">
        <f t="shared" si="70"/>
        <v>9.6435546880115908</v>
      </c>
      <c r="K330">
        <v>194.17376708984401</v>
      </c>
      <c r="L330" s="86">
        <f t="shared" si="71"/>
        <v>2.4719238279828915</v>
      </c>
      <c r="M330">
        <v>220.73736572265599</v>
      </c>
      <c r="N330" s="86">
        <f t="shared" si="72"/>
        <v>14.511108399005934</v>
      </c>
      <c r="O330">
        <v>1507.96789550781</v>
      </c>
      <c r="P330" s="40">
        <f t="shared" si="63"/>
        <v>96.801757820003331</v>
      </c>
      <c r="Q330">
        <v>1127.50024414063</v>
      </c>
      <c r="R330" s="40">
        <f t="shared" si="64"/>
        <v>0.85449217999666871</v>
      </c>
      <c r="S330">
        <v>2769.5234375</v>
      </c>
      <c r="T330" s="40">
        <f t="shared" si="65"/>
        <v>251.70898438000222</v>
      </c>
      <c r="U330">
        <v>34.508270263671903</v>
      </c>
      <c r="V330" s="33">
        <f t="shared" si="73"/>
        <v>0.30899047849430872</v>
      </c>
      <c r="W330">
        <v>230.32864379882801</v>
      </c>
      <c r="X330" s="90">
        <f t="shared" si="74"/>
        <v>13.488769530994205</v>
      </c>
    </row>
    <row r="331" spans="1:24" x14ac:dyDescent="0.25">
      <c r="A331" s="8">
        <v>42443.666666666664</v>
      </c>
      <c r="B331" s="40">
        <f t="shared" si="66"/>
        <v>16</v>
      </c>
      <c r="C331" s="87">
        <v>55.498710632324197</v>
      </c>
      <c r="D331" s="85">
        <f t="shared" si="67"/>
        <v>0</v>
      </c>
      <c r="E331">
        <v>82.117469787597699</v>
      </c>
      <c r="F331" s="85">
        <f t="shared" si="68"/>
        <v>0.48065185539769573</v>
      </c>
      <c r="G331">
        <v>169.18655395507801</v>
      </c>
      <c r="H331" s="86">
        <f t="shared" si="69"/>
        <v>11.138916015994482</v>
      </c>
      <c r="I331">
        <v>129.00213623046901</v>
      </c>
      <c r="J331" s="86">
        <f t="shared" si="70"/>
        <v>9.6130371090055178</v>
      </c>
      <c r="K331">
        <v>194.17623901367199</v>
      </c>
      <c r="L331" s="86">
        <f t="shared" si="71"/>
        <v>15.396118164005657</v>
      </c>
      <c r="M331">
        <v>220.751876831055</v>
      </c>
      <c r="N331" s="86">
        <f t="shared" si="72"/>
        <v>15.335083008011452</v>
      </c>
      <c r="O331">
        <v>1508.06469726563</v>
      </c>
      <c r="P331" s="40">
        <f t="shared" si="63"/>
        <v>110.10742186999778</v>
      </c>
      <c r="Q331">
        <v>1127.50109863281</v>
      </c>
      <c r="R331" s="40">
        <f t="shared" si="64"/>
        <v>0.73242188000222086</v>
      </c>
      <c r="S331">
        <v>2769.77514648438</v>
      </c>
      <c r="T331" s="40">
        <f t="shared" si="65"/>
        <v>13.916015619997779</v>
      </c>
      <c r="U331">
        <v>34.508579254150398</v>
      </c>
      <c r="V331" s="33">
        <f t="shared" si="73"/>
        <v>2.8190612793039804</v>
      </c>
      <c r="W331">
        <v>230.34213256835901</v>
      </c>
      <c r="X331" s="90">
        <f t="shared" si="74"/>
        <v>17.868041992983308</v>
      </c>
    </row>
    <row r="332" spans="1:24" x14ac:dyDescent="0.25">
      <c r="A332" s="8">
        <v>42443.708333333336</v>
      </c>
      <c r="B332" s="40">
        <f t="shared" si="66"/>
        <v>17</v>
      </c>
      <c r="C332" s="87">
        <v>55.498710632324197</v>
      </c>
      <c r="D332" s="85">
        <f t="shared" si="67"/>
        <v>0</v>
      </c>
      <c r="E332">
        <v>82.117950439453097</v>
      </c>
      <c r="F332" s="85">
        <f t="shared" si="68"/>
        <v>0</v>
      </c>
      <c r="G332">
        <v>169.19769287109401</v>
      </c>
      <c r="H332" s="86">
        <f t="shared" si="69"/>
        <v>11.032104491988548</v>
      </c>
      <c r="I332">
        <v>129.01174926757801</v>
      </c>
      <c r="J332" s="86">
        <f t="shared" si="70"/>
        <v>9.765625</v>
      </c>
      <c r="K332">
        <v>194.19163513183599</v>
      </c>
      <c r="L332" s="86">
        <f t="shared" si="71"/>
        <v>15.167236328011313</v>
      </c>
      <c r="M332">
        <v>220.76721191406301</v>
      </c>
      <c r="N332" s="86">
        <f t="shared" si="72"/>
        <v>15.228271483977096</v>
      </c>
      <c r="O332">
        <v>1508.1748046875</v>
      </c>
      <c r="P332" s="40">
        <f t="shared" si="63"/>
        <v>111.08398438000222</v>
      </c>
      <c r="Q332">
        <v>1127.50183105469</v>
      </c>
      <c r="R332" s="40">
        <f t="shared" si="64"/>
        <v>0.9765625</v>
      </c>
      <c r="S332">
        <v>2769.7890625</v>
      </c>
      <c r="T332" s="40">
        <f t="shared" si="65"/>
        <v>0.73242188000222086</v>
      </c>
      <c r="U332">
        <v>34.511398315429702</v>
      </c>
      <c r="V332" s="33">
        <f t="shared" si="73"/>
        <v>3.1204223632954609</v>
      </c>
      <c r="W332">
        <v>230.36000061035199</v>
      </c>
      <c r="X332" s="90">
        <f t="shared" si="74"/>
        <v>19.699096679005379</v>
      </c>
    </row>
    <row r="333" spans="1:24" x14ac:dyDescent="0.25">
      <c r="A333" s="8">
        <v>42443.75</v>
      </c>
      <c r="B333" s="40">
        <f t="shared" si="66"/>
        <v>18</v>
      </c>
      <c r="C333" s="87">
        <v>55.498710632324197</v>
      </c>
      <c r="D333" s="85">
        <f t="shared" si="67"/>
        <v>0</v>
      </c>
      <c r="E333">
        <v>82.117950439453097</v>
      </c>
      <c r="F333" s="85">
        <f t="shared" si="68"/>
        <v>5.4016113282102651</v>
      </c>
      <c r="G333">
        <v>169.20872497558599</v>
      </c>
      <c r="H333" s="86">
        <f t="shared" si="69"/>
        <v>11.688232422017109</v>
      </c>
      <c r="I333">
        <v>129.02151489257801</v>
      </c>
      <c r="J333" s="86">
        <f t="shared" si="70"/>
        <v>10.299682616988548</v>
      </c>
      <c r="K333">
        <v>194.20680236816401</v>
      </c>
      <c r="L333" s="86">
        <f t="shared" si="71"/>
        <v>15.014648437983169</v>
      </c>
      <c r="M333">
        <v>220.78244018554699</v>
      </c>
      <c r="N333" s="86">
        <f t="shared" si="72"/>
        <v>15.106201172017109</v>
      </c>
      <c r="O333">
        <v>1508.28588867188</v>
      </c>
      <c r="P333" s="40">
        <f t="shared" si="63"/>
        <v>110.22949217999667</v>
      </c>
      <c r="Q333">
        <v>1127.50280761719</v>
      </c>
      <c r="R333" s="40">
        <f t="shared" si="64"/>
        <v>0.73242186999777914</v>
      </c>
      <c r="S333">
        <v>2769.78979492188</v>
      </c>
      <c r="T333" s="40">
        <f t="shared" si="65"/>
        <v>103.27148436999778</v>
      </c>
      <c r="U333">
        <v>34.514518737792997</v>
      </c>
      <c r="V333" s="33">
        <f t="shared" si="73"/>
        <v>3.1814575195028283</v>
      </c>
      <c r="W333">
        <v>230.37969970703099</v>
      </c>
      <c r="X333" s="90">
        <f t="shared" si="74"/>
        <v>19.363403320994621</v>
      </c>
    </row>
    <row r="334" spans="1:24" x14ac:dyDescent="0.25">
      <c r="A334" s="8">
        <v>42443.791666666664</v>
      </c>
      <c r="B334" s="40">
        <f t="shared" si="66"/>
        <v>19</v>
      </c>
      <c r="C334" s="87">
        <v>55.498710632324197</v>
      </c>
      <c r="D334" s="85">
        <f t="shared" si="67"/>
        <v>0</v>
      </c>
      <c r="E334">
        <v>82.123352050781307</v>
      </c>
      <c r="F334" s="85">
        <f t="shared" si="68"/>
        <v>5.516052245994274</v>
      </c>
      <c r="G334">
        <v>169.22041320800801</v>
      </c>
      <c r="H334" s="86">
        <f t="shared" si="69"/>
        <v>11.67297363298303</v>
      </c>
      <c r="I334">
        <v>129.031814575195</v>
      </c>
      <c r="J334" s="86">
        <f t="shared" si="70"/>
        <v>10.330200195994621</v>
      </c>
      <c r="K334">
        <v>194.22181701660199</v>
      </c>
      <c r="L334" s="86">
        <f t="shared" si="71"/>
        <v>15.106201171022349</v>
      </c>
      <c r="M334">
        <v>220.79754638671901</v>
      </c>
      <c r="N334" s="86">
        <f t="shared" si="72"/>
        <v>15.13671875</v>
      </c>
      <c r="O334">
        <v>1508.39611816406</v>
      </c>
      <c r="P334" s="40">
        <f t="shared" si="63"/>
        <v>110.71777344000111</v>
      </c>
      <c r="Q334">
        <v>1127.50354003906</v>
      </c>
      <c r="R334" s="40">
        <f t="shared" si="64"/>
        <v>0.85449219000111043</v>
      </c>
      <c r="S334">
        <v>2769.89306640625</v>
      </c>
      <c r="T334" s="40">
        <f t="shared" si="65"/>
        <v>115.72265625</v>
      </c>
      <c r="U334">
        <v>34.5177001953125</v>
      </c>
      <c r="V334" s="33">
        <f t="shared" si="73"/>
        <v>3.223419189502863</v>
      </c>
      <c r="W334">
        <v>230.39906311035199</v>
      </c>
      <c r="X334" s="90">
        <f t="shared" si="74"/>
        <v>19.378662109005518</v>
      </c>
    </row>
    <row r="335" spans="1:24" x14ac:dyDescent="0.25">
      <c r="A335" s="8">
        <v>42443.833333333336</v>
      </c>
      <c r="B335" s="40">
        <f t="shared" si="66"/>
        <v>20</v>
      </c>
      <c r="C335" s="87">
        <v>55.498710632324197</v>
      </c>
      <c r="D335" s="85">
        <f t="shared" si="67"/>
        <v>0</v>
      </c>
      <c r="E335">
        <v>82.128868103027301</v>
      </c>
      <c r="F335" s="85">
        <f t="shared" si="68"/>
        <v>5.5618286132954609</v>
      </c>
      <c r="G335">
        <v>169.23208618164099</v>
      </c>
      <c r="H335" s="86">
        <f t="shared" si="69"/>
        <v>11.672973632016692</v>
      </c>
      <c r="I335">
        <v>129.04214477539099</v>
      </c>
      <c r="J335" s="86">
        <f t="shared" si="70"/>
        <v>10.314941405994205</v>
      </c>
      <c r="K335">
        <v>194.23692321777301</v>
      </c>
      <c r="L335" s="86">
        <f t="shared" si="71"/>
        <v>14.999389648977512</v>
      </c>
      <c r="M335">
        <v>220.81268310546901</v>
      </c>
      <c r="N335" s="86">
        <f t="shared" si="72"/>
        <v>15.167236327982891</v>
      </c>
      <c r="O335">
        <v>1508.5068359375</v>
      </c>
      <c r="P335" s="40">
        <f t="shared" si="63"/>
        <v>110.83984375</v>
      </c>
      <c r="Q335">
        <v>1127.50439453125</v>
      </c>
      <c r="R335" s="40">
        <f t="shared" si="64"/>
        <v>0.85449219000111043</v>
      </c>
      <c r="S335">
        <v>2770.0087890625</v>
      </c>
      <c r="T335" s="40">
        <f t="shared" si="65"/>
        <v>113.52539063000222</v>
      </c>
      <c r="U335">
        <v>34.520923614502003</v>
      </c>
      <c r="V335" s="33">
        <f t="shared" si="73"/>
        <v>3.234863281200262</v>
      </c>
      <c r="W335">
        <v>230.41844177246099</v>
      </c>
      <c r="X335" s="90">
        <f t="shared" si="74"/>
        <v>19.073486328011313</v>
      </c>
    </row>
    <row r="336" spans="1:24" x14ac:dyDescent="0.25">
      <c r="A336" s="8">
        <v>42443.875</v>
      </c>
      <c r="B336" s="40">
        <f t="shared" si="66"/>
        <v>21</v>
      </c>
      <c r="C336" s="87">
        <v>55.498710632324197</v>
      </c>
      <c r="D336" s="85">
        <f t="shared" si="67"/>
        <v>0</v>
      </c>
      <c r="E336">
        <v>82.134429931640597</v>
      </c>
      <c r="F336" s="85">
        <f t="shared" si="68"/>
        <v>5.6076049804971717</v>
      </c>
      <c r="G336">
        <v>169.24375915527301</v>
      </c>
      <c r="H336" s="86">
        <f t="shared" si="69"/>
        <v>11.67297363298303</v>
      </c>
      <c r="I336">
        <v>129.05245971679699</v>
      </c>
      <c r="J336" s="86">
        <f t="shared" si="70"/>
        <v>10.314941406022626</v>
      </c>
      <c r="K336">
        <v>194.25192260742199</v>
      </c>
      <c r="L336" s="86">
        <f t="shared" si="71"/>
        <v>15.289306641022904</v>
      </c>
      <c r="M336">
        <v>220.82785034179699</v>
      </c>
      <c r="N336" s="86">
        <f t="shared" si="72"/>
        <v>15.151977539005657</v>
      </c>
      <c r="O336">
        <v>1508.61767578125</v>
      </c>
      <c r="P336" s="40">
        <f t="shared" si="63"/>
        <v>109.25292969000111</v>
      </c>
      <c r="Q336">
        <v>1127.50524902344</v>
      </c>
      <c r="R336" s="40">
        <f t="shared" si="64"/>
        <v>0.73242186999777914</v>
      </c>
      <c r="S336">
        <v>2770.12231445313</v>
      </c>
      <c r="T336" s="40">
        <f t="shared" si="65"/>
        <v>113.28125</v>
      </c>
      <c r="U336">
        <v>34.524158477783203</v>
      </c>
      <c r="V336" s="33">
        <f t="shared" si="73"/>
        <v>3.2386779784943087</v>
      </c>
      <c r="W336">
        <v>230.43751525878901</v>
      </c>
      <c r="X336" s="90">
        <f t="shared" si="74"/>
        <v>19.393920899005934</v>
      </c>
    </row>
    <row r="337" spans="1:24" x14ac:dyDescent="0.25">
      <c r="A337" s="8">
        <v>42443.916666666664</v>
      </c>
      <c r="B337" s="40">
        <f t="shared" si="66"/>
        <v>22</v>
      </c>
      <c r="C337" s="87">
        <v>55.498710632324197</v>
      </c>
      <c r="D337" s="85">
        <f t="shared" si="67"/>
        <v>7.6293946023042736E-3</v>
      </c>
      <c r="E337">
        <v>82.140037536621094</v>
      </c>
      <c r="F337" s="85">
        <f t="shared" si="68"/>
        <v>5.4931640625</v>
      </c>
      <c r="G337">
        <v>169.25543212890599</v>
      </c>
      <c r="H337" s="86">
        <f t="shared" si="69"/>
        <v>11.76452636701697</v>
      </c>
      <c r="I337">
        <v>129.06277465820301</v>
      </c>
      <c r="J337" s="86">
        <f t="shared" si="70"/>
        <v>10.131835937983169</v>
      </c>
      <c r="K337">
        <v>194.26721191406301</v>
      </c>
      <c r="L337" s="86">
        <f t="shared" si="71"/>
        <v>15.075683592982614</v>
      </c>
      <c r="M337">
        <v>220.84300231933599</v>
      </c>
      <c r="N337" s="86">
        <f t="shared" si="72"/>
        <v>15.075683594005795</v>
      </c>
      <c r="O337">
        <v>1508.72692871094</v>
      </c>
      <c r="P337" s="40">
        <f t="shared" si="63"/>
        <v>111.93847655999889</v>
      </c>
      <c r="Q337">
        <v>1127.50598144531</v>
      </c>
      <c r="R337" s="40">
        <f t="shared" si="64"/>
        <v>0.85449219000111043</v>
      </c>
      <c r="S337">
        <v>2770.23559570313</v>
      </c>
      <c r="T337" s="40">
        <f t="shared" si="65"/>
        <v>111.81640625</v>
      </c>
      <c r="U337">
        <v>34.527397155761697</v>
      </c>
      <c r="V337" s="33">
        <f t="shared" si="73"/>
        <v>3.2043457031036837</v>
      </c>
      <c r="W337">
        <v>230.45690917968801</v>
      </c>
      <c r="X337" s="90">
        <f t="shared" si="74"/>
        <v>19.409179686988409</v>
      </c>
    </row>
    <row r="338" spans="1:24" x14ac:dyDescent="0.25">
      <c r="A338" s="8">
        <v>42443.958333333336</v>
      </c>
      <c r="B338" s="40">
        <f t="shared" si="66"/>
        <v>23</v>
      </c>
      <c r="C338" s="87">
        <v>55.4987182617188</v>
      </c>
      <c r="D338" s="85">
        <f t="shared" si="67"/>
        <v>0</v>
      </c>
      <c r="E338">
        <v>82.145530700683594</v>
      </c>
      <c r="F338" s="85">
        <f t="shared" si="68"/>
        <v>5.5770874023011174</v>
      </c>
      <c r="G338">
        <v>169.26719665527301</v>
      </c>
      <c r="H338" s="86">
        <f t="shared" si="69"/>
        <v>11.795043945994621</v>
      </c>
      <c r="I338">
        <v>129.07290649414099</v>
      </c>
      <c r="J338" s="86">
        <f t="shared" si="70"/>
        <v>10.269165039005657</v>
      </c>
      <c r="K338">
        <v>194.28228759765599</v>
      </c>
      <c r="L338" s="86">
        <f t="shared" si="71"/>
        <v>15.304565430000139</v>
      </c>
      <c r="M338">
        <v>220.85807800293</v>
      </c>
      <c r="N338" s="86">
        <f t="shared" si="72"/>
        <v>15.197753905994205</v>
      </c>
      <c r="O338">
        <v>1508.8388671875</v>
      </c>
      <c r="P338" s="40">
        <f t="shared" si="63"/>
        <v>110.96191405999889</v>
      </c>
      <c r="Q338">
        <v>1127.5068359375</v>
      </c>
      <c r="R338" s="40">
        <f t="shared" si="64"/>
        <v>0.73242188000222086</v>
      </c>
      <c r="S338">
        <v>2770.34741210938</v>
      </c>
      <c r="T338" s="40">
        <f t="shared" si="65"/>
        <v>109.86328125</v>
      </c>
      <c r="U338">
        <v>34.530601501464801</v>
      </c>
      <c r="V338" s="33">
        <f t="shared" si="73"/>
        <v>3.1471252441974684</v>
      </c>
      <c r="W338">
        <v>230.476318359375</v>
      </c>
      <c r="X338" s="90">
        <f t="shared" si="74"/>
        <v>19.638061523011174</v>
      </c>
    </row>
    <row r="339" spans="1:24" x14ac:dyDescent="0.25">
      <c r="A339" s="8">
        <v>42444</v>
      </c>
      <c r="B339" s="40">
        <f t="shared" si="66"/>
        <v>0</v>
      </c>
      <c r="C339" s="87">
        <v>55.4987182617188</v>
      </c>
      <c r="D339" s="85">
        <f t="shared" si="67"/>
        <v>0</v>
      </c>
      <c r="E339">
        <v>82.151107788085895</v>
      </c>
      <c r="F339" s="85">
        <f t="shared" si="68"/>
        <v>2.2888183594034217</v>
      </c>
      <c r="G339">
        <v>169.27899169921901</v>
      </c>
      <c r="H339" s="86">
        <f t="shared" si="69"/>
        <v>11.489868164005657</v>
      </c>
      <c r="I339">
        <v>129.08317565918</v>
      </c>
      <c r="J339" s="86">
        <f t="shared" si="70"/>
        <v>9.9792480469886868</v>
      </c>
      <c r="K339">
        <v>194.29759216308599</v>
      </c>
      <c r="L339" s="86">
        <f t="shared" si="71"/>
        <v>15.365600585994343</v>
      </c>
      <c r="M339">
        <v>220.87327575683599</v>
      </c>
      <c r="N339" s="86">
        <f t="shared" si="72"/>
        <v>15.380859375</v>
      </c>
      <c r="O339">
        <v>1508.94982910156</v>
      </c>
      <c r="P339" s="40">
        <f t="shared" si="63"/>
        <v>113.15917969000111</v>
      </c>
      <c r="Q339">
        <v>1127.50756835938</v>
      </c>
      <c r="R339" s="40">
        <f t="shared" si="64"/>
        <v>0.9765625</v>
      </c>
      <c r="S339">
        <v>2770.45727539063</v>
      </c>
      <c r="T339" s="40">
        <f t="shared" si="65"/>
        <v>42.236328119997779</v>
      </c>
      <c r="U339">
        <v>34.533748626708999</v>
      </c>
      <c r="V339" s="33">
        <f t="shared" si="73"/>
        <v>3.2005310058025316</v>
      </c>
      <c r="W339">
        <v>230.49595642089801</v>
      </c>
      <c r="X339" s="90">
        <f t="shared" si="74"/>
        <v>19.24133300798303</v>
      </c>
    </row>
    <row r="340" spans="1:24" x14ac:dyDescent="0.25">
      <c r="A340" s="8">
        <v>42444.041666666664</v>
      </c>
      <c r="B340" s="40">
        <f t="shared" si="66"/>
        <v>1</v>
      </c>
      <c r="C340" s="87">
        <v>55.4987182617188</v>
      </c>
      <c r="D340" s="85">
        <f t="shared" si="67"/>
        <v>0</v>
      </c>
      <c r="E340">
        <v>82.153396606445298</v>
      </c>
      <c r="F340" s="85">
        <f t="shared" si="68"/>
        <v>0</v>
      </c>
      <c r="G340">
        <v>169.29048156738301</v>
      </c>
      <c r="H340" s="86">
        <f t="shared" si="69"/>
        <v>11.291503905994205</v>
      </c>
      <c r="I340">
        <v>129.09315490722699</v>
      </c>
      <c r="J340" s="86">
        <f t="shared" si="70"/>
        <v>9.8114013670169697</v>
      </c>
      <c r="K340">
        <v>194.31295776367199</v>
      </c>
      <c r="L340" s="86">
        <f t="shared" si="71"/>
        <v>15.396118164005657</v>
      </c>
      <c r="M340">
        <v>220.88865661621099</v>
      </c>
      <c r="N340" s="86">
        <f t="shared" si="72"/>
        <v>15.396118164005657</v>
      </c>
      <c r="O340">
        <v>1509.06298828125</v>
      </c>
      <c r="P340" s="40">
        <f t="shared" si="63"/>
        <v>112.06054688000222</v>
      </c>
      <c r="Q340">
        <v>1127.50854492188</v>
      </c>
      <c r="R340" s="40">
        <f t="shared" si="64"/>
        <v>0.73242186999777914</v>
      </c>
      <c r="S340">
        <v>2770.49951171875</v>
      </c>
      <c r="T340" s="40">
        <f t="shared" si="65"/>
        <v>0.73242188000222086</v>
      </c>
      <c r="U340">
        <v>34.536949157714801</v>
      </c>
      <c r="V340" s="33">
        <f t="shared" si="73"/>
        <v>2.9487609863991793</v>
      </c>
      <c r="W340">
        <v>230.51519775390599</v>
      </c>
      <c r="X340" s="90">
        <f t="shared" si="74"/>
        <v>19.53125</v>
      </c>
    </row>
    <row r="341" spans="1:24" x14ac:dyDescent="0.25">
      <c r="A341" s="8">
        <v>42444.083333333336</v>
      </c>
      <c r="B341" s="40">
        <f t="shared" si="66"/>
        <v>2</v>
      </c>
      <c r="C341" s="87">
        <v>55.4987182617188</v>
      </c>
      <c r="D341" s="85">
        <f t="shared" si="67"/>
        <v>0</v>
      </c>
      <c r="E341">
        <v>82.153396606445298</v>
      </c>
      <c r="F341" s="85">
        <f t="shared" si="68"/>
        <v>0</v>
      </c>
      <c r="G341">
        <v>169.30177307128901</v>
      </c>
      <c r="H341" s="86">
        <f t="shared" si="69"/>
        <v>11.306762694999861</v>
      </c>
      <c r="I341">
        <v>129.10296630859401</v>
      </c>
      <c r="J341" s="86">
        <f t="shared" si="70"/>
        <v>9.811401366988548</v>
      </c>
      <c r="K341">
        <v>194.32835388183599</v>
      </c>
      <c r="L341" s="86">
        <f t="shared" si="71"/>
        <v>15.365600585994343</v>
      </c>
      <c r="M341">
        <v>220.904052734375</v>
      </c>
      <c r="N341" s="86">
        <f t="shared" si="72"/>
        <v>15.350341796988687</v>
      </c>
      <c r="O341">
        <v>1509.17504882813</v>
      </c>
      <c r="P341" s="40">
        <f t="shared" si="63"/>
        <v>111.93847655999889</v>
      </c>
      <c r="Q341">
        <v>1127.50927734375</v>
      </c>
      <c r="R341" s="40">
        <f t="shared" si="64"/>
        <v>0.85449219000111043</v>
      </c>
      <c r="S341">
        <v>2770.50024414063</v>
      </c>
      <c r="T341" s="40">
        <f t="shared" si="65"/>
        <v>0.73242186999777914</v>
      </c>
      <c r="U341">
        <v>34.5398979187012</v>
      </c>
      <c r="V341" s="33">
        <f t="shared" si="73"/>
        <v>2.819061279296875</v>
      </c>
      <c r="W341">
        <v>230.53472900390599</v>
      </c>
      <c r="X341" s="90">
        <f t="shared" si="74"/>
        <v>19.454956055000139</v>
      </c>
    </row>
    <row r="342" spans="1:24" x14ac:dyDescent="0.25">
      <c r="A342" s="8">
        <v>42444.125</v>
      </c>
      <c r="B342" s="40">
        <f t="shared" si="66"/>
        <v>3</v>
      </c>
      <c r="C342" s="87">
        <v>55.4987182617188</v>
      </c>
      <c r="D342" s="85">
        <f t="shared" si="67"/>
        <v>0</v>
      </c>
      <c r="E342">
        <v>82.153396606445298</v>
      </c>
      <c r="F342" s="85">
        <f t="shared" si="68"/>
        <v>0</v>
      </c>
      <c r="G342">
        <v>169.31307983398401</v>
      </c>
      <c r="H342" s="86">
        <f t="shared" si="69"/>
        <v>11.322021485000278</v>
      </c>
      <c r="I342">
        <v>129.11277770996099</v>
      </c>
      <c r="J342" s="86">
        <f t="shared" si="70"/>
        <v>9.8266601559942046</v>
      </c>
      <c r="K342">
        <v>194.34371948242199</v>
      </c>
      <c r="L342" s="86">
        <f t="shared" si="71"/>
        <v>15.213012694999861</v>
      </c>
      <c r="M342">
        <v>220.91940307617199</v>
      </c>
      <c r="N342" s="86">
        <f t="shared" si="72"/>
        <v>15.365600586022765</v>
      </c>
      <c r="O342">
        <v>1509.28698730469</v>
      </c>
      <c r="P342" s="40">
        <f t="shared" si="63"/>
        <v>111.08398436999778</v>
      </c>
      <c r="Q342">
        <v>1127.51013183594</v>
      </c>
      <c r="R342" s="40">
        <f t="shared" si="64"/>
        <v>0.73242186999777914</v>
      </c>
      <c r="S342">
        <v>2770.5009765625</v>
      </c>
      <c r="T342" s="40">
        <f t="shared" si="65"/>
        <v>0.73242188000222086</v>
      </c>
      <c r="U342">
        <v>34.542716979980497</v>
      </c>
      <c r="V342" s="33">
        <f t="shared" si="73"/>
        <v>2.8038024902059533</v>
      </c>
      <c r="W342">
        <v>230.55418395996099</v>
      </c>
      <c r="X342" s="90">
        <f t="shared" si="74"/>
        <v>19.53125</v>
      </c>
    </row>
    <row r="343" spans="1:24" x14ac:dyDescent="0.25">
      <c r="A343" s="8">
        <v>42444.166666666664</v>
      </c>
      <c r="B343" s="40">
        <f t="shared" si="66"/>
        <v>4</v>
      </c>
      <c r="C343" s="87">
        <v>55.4987182617188</v>
      </c>
      <c r="D343" s="85">
        <f t="shared" si="67"/>
        <v>0</v>
      </c>
      <c r="E343">
        <v>82.153396606445298</v>
      </c>
      <c r="F343" s="85">
        <f t="shared" si="68"/>
        <v>0</v>
      </c>
      <c r="G343">
        <v>169.32440185546901</v>
      </c>
      <c r="H343" s="86">
        <f t="shared" si="69"/>
        <v>11.23046875</v>
      </c>
      <c r="I343">
        <v>129.12260437011699</v>
      </c>
      <c r="J343" s="86">
        <f t="shared" si="70"/>
        <v>9.8114013670169697</v>
      </c>
      <c r="K343">
        <v>194.35893249511699</v>
      </c>
      <c r="L343" s="86">
        <f t="shared" si="71"/>
        <v>15.304565430000139</v>
      </c>
      <c r="M343">
        <v>220.93476867675801</v>
      </c>
      <c r="N343" s="86">
        <f t="shared" si="72"/>
        <v>15.365600585994343</v>
      </c>
      <c r="O343">
        <v>1509.39807128906</v>
      </c>
      <c r="P343" s="40">
        <f t="shared" si="63"/>
        <v>112.06054688000222</v>
      </c>
      <c r="Q343">
        <v>1127.51086425781</v>
      </c>
      <c r="R343" s="40">
        <f t="shared" si="64"/>
        <v>0.73242188000222086</v>
      </c>
      <c r="S343">
        <v>2770.50170898438</v>
      </c>
      <c r="T343" s="40">
        <f t="shared" si="65"/>
        <v>0.9765625</v>
      </c>
      <c r="U343">
        <v>34.545520782470703</v>
      </c>
      <c r="V343" s="33">
        <f t="shared" si="73"/>
        <v>2.7427673339985859</v>
      </c>
      <c r="W343">
        <v>230.57371520996099</v>
      </c>
      <c r="X343" s="90">
        <f t="shared" si="74"/>
        <v>19.561767578011313</v>
      </c>
    </row>
    <row r="344" spans="1:24" x14ac:dyDescent="0.25">
      <c r="A344" s="8">
        <v>42444.208333333336</v>
      </c>
      <c r="B344" s="40">
        <f t="shared" si="66"/>
        <v>5</v>
      </c>
      <c r="C344" s="87">
        <v>55.4987182617188</v>
      </c>
      <c r="D344" s="85">
        <f t="shared" si="67"/>
        <v>0</v>
      </c>
      <c r="E344">
        <v>82.153396606445298</v>
      </c>
      <c r="F344" s="85">
        <f t="shared" si="68"/>
        <v>0.78582763670453915</v>
      </c>
      <c r="G344">
        <v>169.33563232421901</v>
      </c>
      <c r="H344" s="86">
        <f t="shared" si="69"/>
        <v>11.459350585994343</v>
      </c>
      <c r="I344">
        <v>129.13241577148401</v>
      </c>
      <c r="J344" s="86">
        <f t="shared" si="70"/>
        <v>9.9029541019888256</v>
      </c>
      <c r="K344">
        <v>194.37423706054699</v>
      </c>
      <c r="L344" s="86">
        <f t="shared" si="71"/>
        <v>15.396118164005657</v>
      </c>
      <c r="M344">
        <v>220.95013427734401</v>
      </c>
      <c r="N344" s="86">
        <f t="shared" si="72"/>
        <v>15.151977539005657</v>
      </c>
      <c r="O344">
        <v>1509.51013183594</v>
      </c>
      <c r="P344" s="40">
        <f t="shared" si="63"/>
        <v>111.45019530999889</v>
      </c>
      <c r="Q344">
        <v>1127.51159667969</v>
      </c>
      <c r="R344" s="40">
        <f t="shared" si="64"/>
        <v>0.73242186999777914</v>
      </c>
      <c r="S344">
        <v>2770.50268554688</v>
      </c>
      <c r="T344" s="40">
        <f t="shared" si="65"/>
        <v>10.25390625</v>
      </c>
      <c r="U344">
        <v>34.548263549804702</v>
      </c>
      <c r="V344" s="33">
        <f t="shared" si="73"/>
        <v>2.8953552245951641</v>
      </c>
      <c r="W344">
        <v>230.59327697753901</v>
      </c>
      <c r="X344" s="90">
        <f t="shared" si="74"/>
        <v>19.668579101988826</v>
      </c>
    </row>
    <row r="345" spans="1:24" x14ac:dyDescent="0.25">
      <c r="A345" s="8">
        <v>42444.25</v>
      </c>
      <c r="B345" s="40">
        <f t="shared" si="66"/>
        <v>6</v>
      </c>
      <c r="C345" s="87">
        <v>55.4987182617188</v>
      </c>
      <c r="D345" s="85">
        <f t="shared" si="67"/>
        <v>0</v>
      </c>
      <c r="E345">
        <v>82.154182434082003</v>
      </c>
      <c r="F345" s="85">
        <f t="shared" si="68"/>
        <v>5.5770874024005934</v>
      </c>
      <c r="G345">
        <v>169.347091674805</v>
      </c>
      <c r="H345" s="86">
        <f t="shared" si="69"/>
        <v>11.825561523011174</v>
      </c>
      <c r="I345">
        <v>129.14231872558599</v>
      </c>
      <c r="J345" s="86">
        <f t="shared" si="70"/>
        <v>10.131835937016831</v>
      </c>
      <c r="K345">
        <v>194.38963317871099</v>
      </c>
      <c r="L345" s="86">
        <f t="shared" si="71"/>
        <v>15.289306640994482</v>
      </c>
      <c r="M345">
        <v>220.96528625488301</v>
      </c>
      <c r="N345" s="86">
        <f t="shared" si="72"/>
        <v>15.274047850994066</v>
      </c>
      <c r="O345">
        <v>1509.62158203125</v>
      </c>
      <c r="P345" s="40">
        <f t="shared" si="63"/>
        <v>110.59570313000222</v>
      </c>
      <c r="Q345">
        <v>1127.51232910156</v>
      </c>
      <c r="R345" s="40">
        <f t="shared" si="64"/>
        <v>0.9765625</v>
      </c>
      <c r="S345">
        <v>2770.51293945313</v>
      </c>
      <c r="T345" s="40">
        <f t="shared" si="65"/>
        <v>111.08398436999778</v>
      </c>
      <c r="U345">
        <v>34.551158905029297</v>
      </c>
      <c r="V345" s="33">
        <f t="shared" si="73"/>
        <v>3.1929016112997033</v>
      </c>
      <c r="W345">
        <v>230.61294555664099</v>
      </c>
      <c r="X345" s="90">
        <f t="shared" si="74"/>
        <v>19.180297850994066</v>
      </c>
    </row>
    <row r="346" spans="1:24" x14ac:dyDescent="0.25">
      <c r="A346" s="8">
        <v>42444.291666666664</v>
      </c>
      <c r="B346" s="40">
        <f t="shared" si="66"/>
        <v>7</v>
      </c>
      <c r="C346" s="87">
        <v>55.4987182617188</v>
      </c>
      <c r="D346" s="85">
        <f t="shared" si="67"/>
        <v>0</v>
      </c>
      <c r="E346">
        <v>82.159759521484403</v>
      </c>
      <c r="F346" s="85">
        <f t="shared" si="68"/>
        <v>5.5847167969034217</v>
      </c>
      <c r="G346">
        <v>169.35891723632801</v>
      </c>
      <c r="H346" s="86">
        <f t="shared" si="69"/>
        <v>11.795043944999861</v>
      </c>
      <c r="I346">
        <v>129.15245056152301</v>
      </c>
      <c r="J346" s="86">
        <f t="shared" si="70"/>
        <v>10.25390625</v>
      </c>
      <c r="K346">
        <v>194.40492248535199</v>
      </c>
      <c r="L346" s="86">
        <f t="shared" si="71"/>
        <v>15.365600586022765</v>
      </c>
      <c r="M346">
        <v>220.98056030273401</v>
      </c>
      <c r="N346" s="86">
        <f t="shared" si="72"/>
        <v>15.350341796988687</v>
      </c>
      <c r="O346">
        <v>1509.73217773438</v>
      </c>
      <c r="P346" s="40">
        <f t="shared" si="63"/>
        <v>113.03710936999778</v>
      </c>
      <c r="Q346">
        <v>1127.51330566406</v>
      </c>
      <c r="R346" s="40">
        <f t="shared" si="64"/>
        <v>0.85449219000111043</v>
      </c>
      <c r="S346">
        <v>2770.6240234375</v>
      </c>
      <c r="T346" s="40">
        <f t="shared" si="65"/>
        <v>109.61914063000222</v>
      </c>
      <c r="U346">
        <v>34.554351806640597</v>
      </c>
      <c r="V346" s="33">
        <f t="shared" si="73"/>
        <v>3.2577514649005934</v>
      </c>
      <c r="W346">
        <v>230.63212585449199</v>
      </c>
      <c r="X346" s="90">
        <f t="shared" si="74"/>
        <v>19.729614258011452</v>
      </c>
    </row>
    <row r="347" spans="1:24" x14ac:dyDescent="0.25">
      <c r="A347" s="8">
        <v>42444.333333333336</v>
      </c>
      <c r="B347" s="40">
        <f t="shared" si="66"/>
        <v>8</v>
      </c>
      <c r="C347" s="87">
        <v>55.4987182617188</v>
      </c>
      <c r="D347" s="85">
        <f t="shared" si="67"/>
        <v>0</v>
      </c>
      <c r="E347">
        <v>82.165344238281307</v>
      </c>
      <c r="F347" s="85">
        <f t="shared" si="68"/>
        <v>1.6174316405965783</v>
      </c>
      <c r="G347">
        <v>169.37071228027301</v>
      </c>
      <c r="H347" s="86">
        <f t="shared" si="69"/>
        <v>11.489868165000416</v>
      </c>
      <c r="I347">
        <v>129.16270446777301</v>
      </c>
      <c r="J347" s="86">
        <f t="shared" si="70"/>
        <v>9.9487304689773737</v>
      </c>
      <c r="K347">
        <v>194.42028808593801</v>
      </c>
      <c r="L347" s="86">
        <f t="shared" si="71"/>
        <v>15.350341795993927</v>
      </c>
      <c r="M347">
        <v>220.99591064453099</v>
      </c>
      <c r="N347" s="86">
        <f t="shared" si="72"/>
        <v>15.396118164005657</v>
      </c>
      <c r="O347">
        <v>1509.84521484375</v>
      </c>
      <c r="P347" s="40">
        <f t="shared" si="63"/>
        <v>110.71777344000111</v>
      </c>
      <c r="Q347">
        <v>1127.51416015625</v>
      </c>
      <c r="R347" s="40">
        <f t="shared" si="64"/>
        <v>0.73242188000222086</v>
      </c>
      <c r="S347">
        <v>2770.73364257813</v>
      </c>
      <c r="T347" s="40">
        <f t="shared" si="65"/>
        <v>29.541015619997779</v>
      </c>
      <c r="U347">
        <v>34.557609558105497</v>
      </c>
      <c r="V347" s="33">
        <f t="shared" si="73"/>
        <v>3.2997131347016762</v>
      </c>
      <c r="W347">
        <v>230.65185546875</v>
      </c>
      <c r="X347" s="90">
        <f t="shared" si="74"/>
        <v>19.210815430000139</v>
      </c>
    </row>
    <row r="348" spans="1:24" x14ac:dyDescent="0.25">
      <c r="A348" s="8">
        <v>42444.375</v>
      </c>
      <c r="B348" s="40">
        <f t="shared" si="66"/>
        <v>9</v>
      </c>
      <c r="C348" s="87">
        <v>55.4987182617188</v>
      </c>
      <c r="D348" s="85">
        <f t="shared" si="67"/>
        <v>0</v>
      </c>
      <c r="E348">
        <v>82.166961669921903</v>
      </c>
      <c r="F348" s="85">
        <f t="shared" si="68"/>
        <v>0</v>
      </c>
      <c r="G348">
        <v>169.38220214843801</v>
      </c>
      <c r="H348" s="86">
        <f t="shared" si="69"/>
        <v>11.016845702982891</v>
      </c>
      <c r="I348">
        <v>129.17265319824199</v>
      </c>
      <c r="J348" s="86">
        <f t="shared" si="70"/>
        <v>9.8266601560226263</v>
      </c>
      <c r="K348">
        <v>194.43563842773401</v>
      </c>
      <c r="L348" s="86">
        <f t="shared" si="71"/>
        <v>15.197753906988964</v>
      </c>
      <c r="M348">
        <v>221.011306762695</v>
      </c>
      <c r="N348" s="86">
        <f t="shared" si="72"/>
        <v>15.258789063011591</v>
      </c>
      <c r="O348">
        <v>1509.95593261719</v>
      </c>
      <c r="P348" s="40">
        <f t="shared" si="63"/>
        <v>111.57226561999778</v>
      </c>
      <c r="Q348">
        <v>1127.51489257813</v>
      </c>
      <c r="R348" s="40">
        <f t="shared" si="64"/>
        <v>0.73242186999777914</v>
      </c>
      <c r="S348">
        <v>2770.76318359375</v>
      </c>
      <c r="T348" s="40">
        <f t="shared" si="65"/>
        <v>0.9765625</v>
      </c>
      <c r="U348">
        <v>34.560909271240199</v>
      </c>
      <c r="V348" s="33">
        <f t="shared" si="73"/>
        <v>3.3226013184020076</v>
      </c>
      <c r="W348">
        <v>230.67106628418</v>
      </c>
      <c r="X348" s="90">
        <f t="shared" si="74"/>
        <v>19.592285155994205</v>
      </c>
    </row>
    <row r="349" spans="1:24" x14ac:dyDescent="0.25">
      <c r="A349" s="8">
        <v>42444.416666666664</v>
      </c>
      <c r="B349" s="40">
        <f t="shared" si="66"/>
        <v>10</v>
      </c>
      <c r="C349" s="87">
        <v>55.4987182617188</v>
      </c>
      <c r="D349" s="85">
        <f t="shared" si="67"/>
        <v>0</v>
      </c>
      <c r="E349">
        <v>82.166961669921903</v>
      </c>
      <c r="F349" s="85">
        <f t="shared" si="68"/>
        <v>0</v>
      </c>
      <c r="G349">
        <v>169.39321899414099</v>
      </c>
      <c r="H349" s="86">
        <f t="shared" si="69"/>
        <v>11.215209960994343</v>
      </c>
      <c r="I349">
        <v>129.18247985839801</v>
      </c>
      <c r="J349" s="86">
        <f t="shared" si="70"/>
        <v>9.7808837900004164</v>
      </c>
      <c r="K349">
        <v>194.45083618164099</v>
      </c>
      <c r="L349" s="86">
        <f t="shared" si="71"/>
        <v>15.18249511701697</v>
      </c>
      <c r="M349">
        <v>221.02656555175801</v>
      </c>
      <c r="N349" s="86">
        <f t="shared" si="72"/>
        <v>14.953613280994205</v>
      </c>
      <c r="O349">
        <v>1510.06750488281</v>
      </c>
      <c r="P349" s="40">
        <f t="shared" si="63"/>
        <v>111.20605469000111</v>
      </c>
      <c r="Q349">
        <v>1127.515625</v>
      </c>
      <c r="R349" s="40">
        <f t="shared" si="64"/>
        <v>0.73242188000222086</v>
      </c>
      <c r="S349">
        <v>2770.76416015625</v>
      </c>
      <c r="T349" s="40">
        <f t="shared" si="65"/>
        <v>0.48828125</v>
      </c>
      <c r="U349">
        <v>34.564231872558601</v>
      </c>
      <c r="V349" s="33">
        <f t="shared" si="73"/>
        <v>3.3187866211008554</v>
      </c>
      <c r="W349">
        <v>230.69065856933599</v>
      </c>
      <c r="X349" s="90">
        <f t="shared" si="74"/>
        <v>19.744873047017109</v>
      </c>
    </row>
    <row r="350" spans="1:24" x14ac:dyDescent="0.25">
      <c r="A350" s="8">
        <v>42444.458333333336</v>
      </c>
      <c r="B350" s="40">
        <f t="shared" si="66"/>
        <v>11</v>
      </c>
      <c r="C350" s="87">
        <v>55.4987182617188</v>
      </c>
      <c r="D350" s="85">
        <f t="shared" si="67"/>
        <v>0</v>
      </c>
      <c r="E350">
        <v>82.166961669921903</v>
      </c>
      <c r="F350" s="85">
        <f t="shared" si="68"/>
        <v>0</v>
      </c>
      <c r="G350">
        <v>169.40443420410199</v>
      </c>
      <c r="H350" s="86">
        <f t="shared" si="69"/>
        <v>11.215209961022765</v>
      </c>
      <c r="I350">
        <v>129.19226074218801</v>
      </c>
      <c r="J350" s="86">
        <f t="shared" si="70"/>
        <v>9.6282958979827526</v>
      </c>
      <c r="K350">
        <v>194.46601867675801</v>
      </c>
      <c r="L350" s="86">
        <f t="shared" si="71"/>
        <v>15.243530272982753</v>
      </c>
      <c r="M350">
        <v>221.04151916503901</v>
      </c>
      <c r="N350" s="86">
        <f t="shared" si="72"/>
        <v>15.13671875</v>
      </c>
      <c r="O350">
        <v>1510.1787109375</v>
      </c>
      <c r="P350" s="40">
        <f t="shared" si="63"/>
        <v>111.81640625</v>
      </c>
      <c r="Q350">
        <v>1127.51635742188</v>
      </c>
      <c r="R350" s="40">
        <f t="shared" si="64"/>
        <v>0.85449217999666871</v>
      </c>
      <c r="S350">
        <v>2770.7646484375</v>
      </c>
      <c r="T350" s="40">
        <f t="shared" si="65"/>
        <v>0.73242188000222086</v>
      </c>
      <c r="U350">
        <v>34.567550659179702</v>
      </c>
      <c r="V350" s="33">
        <f t="shared" si="73"/>
        <v>3.3187866211008554</v>
      </c>
      <c r="W350">
        <v>230.71040344238301</v>
      </c>
      <c r="X350" s="90">
        <f t="shared" si="74"/>
        <v>19.393920897982753</v>
      </c>
    </row>
    <row r="351" spans="1:24" x14ac:dyDescent="0.25">
      <c r="A351" s="8">
        <v>42444.5</v>
      </c>
      <c r="B351" s="40">
        <f t="shared" si="66"/>
        <v>12</v>
      </c>
      <c r="C351" s="87">
        <v>55.4987182617188</v>
      </c>
      <c r="D351" s="85">
        <f t="shared" si="67"/>
        <v>0</v>
      </c>
      <c r="E351">
        <v>82.166961669921903</v>
      </c>
      <c r="F351" s="85">
        <f t="shared" si="68"/>
        <v>0</v>
      </c>
      <c r="G351">
        <v>169.41564941406301</v>
      </c>
      <c r="H351" s="86">
        <f t="shared" si="69"/>
        <v>8.4686279289769573</v>
      </c>
      <c r="I351">
        <v>129.20188903808599</v>
      </c>
      <c r="J351" s="86">
        <f t="shared" si="70"/>
        <v>7.32421875</v>
      </c>
      <c r="K351">
        <v>194.48126220703099</v>
      </c>
      <c r="L351" s="86">
        <f t="shared" si="71"/>
        <v>15.335083008011452</v>
      </c>
      <c r="M351">
        <v>221.05665588378901</v>
      </c>
      <c r="N351" s="86">
        <f t="shared" si="72"/>
        <v>15.13671875</v>
      </c>
      <c r="O351">
        <v>1510.29052734375</v>
      </c>
      <c r="P351" s="40">
        <f t="shared" si="63"/>
        <v>112.67089844000111</v>
      </c>
      <c r="Q351">
        <v>1127.51721191406</v>
      </c>
      <c r="R351" s="40">
        <f t="shared" si="64"/>
        <v>0.61035157000333129</v>
      </c>
      <c r="S351">
        <v>2770.76538085938</v>
      </c>
      <c r="T351" s="40">
        <f t="shared" si="65"/>
        <v>1.2207031199977791</v>
      </c>
      <c r="U351">
        <v>34.570869445800803</v>
      </c>
      <c r="V351" s="33">
        <f t="shared" si="73"/>
        <v>3.3607482909943087</v>
      </c>
      <c r="W351">
        <v>230.72979736328099</v>
      </c>
      <c r="X351" s="90">
        <f t="shared" si="74"/>
        <v>19.607543945994621</v>
      </c>
    </row>
    <row r="352" spans="1:24" x14ac:dyDescent="0.25">
      <c r="A352" s="8">
        <v>42444.541666666664</v>
      </c>
      <c r="B352" s="40">
        <f t="shared" si="66"/>
        <v>13</v>
      </c>
      <c r="C352" s="87">
        <v>55.4987182617188</v>
      </c>
      <c r="D352" s="85">
        <f t="shared" si="67"/>
        <v>0</v>
      </c>
      <c r="E352">
        <v>82.166961669921903</v>
      </c>
      <c r="F352" s="85">
        <f t="shared" si="68"/>
        <v>0</v>
      </c>
      <c r="G352">
        <v>169.42411804199199</v>
      </c>
      <c r="H352" s="86">
        <f t="shared" si="69"/>
        <v>8.2244873050001388</v>
      </c>
      <c r="I352">
        <v>129.20921325683599</v>
      </c>
      <c r="J352" s="86">
        <f t="shared" si="70"/>
        <v>7.1258544920169697</v>
      </c>
      <c r="K352">
        <v>194.49659729003901</v>
      </c>
      <c r="L352" s="86">
        <f t="shared" si="71"/>
        <v>14.953613280994205</v>
      </c>
      <c r="M352">
        <v>221.07179260253901</v>
      </c>
      <c r="N352" s="86">
        <f t="shared" si="72"/>
        <v>15.045166015994482</v>
      </c>
      <c r="O352">
        <v>1510.40319824219</v>
      </c>
      <c r="P352" s="40">
        <f t="shared" si="63"/>
        <v>109.49707030999889</v>
      </c>
      <c r="Q352">
        <v>1127.51782226563</v>
      </c>
      <c r="R352" s="40">
        <f t="shared" si="64"/>
        <v>0.9765625</v>
      </c>
      <c r="S352">
        <v>2770.7666015625</v>
      </c>
      <c r="T352" s="40">
        <f t="shared" si="65"/>
        <v>0.48828125</v>
      </c>
      <c r="U352">
        <v>34.574230194091797</v>
      </c>
      <c r="V352" s="33">
        <f t="shared" si="73"/>
        <v>3.3798217773011174</v>
      </c>
      <c r="W352">
        <v>230.74940490722699</v>
      </c>
      <c r="X352" s="90">
        <f t="shared" si="74"/>
        <v>19.546508789005657</v>
      </c>
    </row>
    <row r="353" spans="1:24" x14ac:dyDescent="0.25">
      <c r="A353" s="8">
        <v>42444.583333333336</v>
      </c>
      <c r="B353" s="40">
        <f t="shared" si="66"/>
        <v>14</v>
      </c>
      <c r="C353" s="87">
        <v>55.4987182617188</v>
      </c>
      <c r="D353" s="85">
        <f t="shared" si="67"/>
        <v>0</v>
      </c>
      <c r="E353">
        <v>82.166961669921903</v>
      </c>
      <c r="F353" s="85">
        <f t="shared" si="68"/>
        <v>0</v>
      </c>
      <c r="G353">
        <v>169.43234252929699</v>
      </c>
      <c r="H353" s="86">
        <f t="shared" si="69"/>
        <v>8.2244873050001388</v>
      </c>
      <c r="I353">
        <v>129.21633911132801</v>
      </c>
      <c r="J353" s="86">
        <f t="shared" si="70"/>
        <v>7.125854491988548</v>
      </c>
      <c r="K353">
        <v>194.51155090332</v>
      </c>
      <c r="L353" s="86">
        <f t="shared" si="71"/>
        <v>15.167236328011313</v>
      </c>
      <c r="M353">
        <v>221.086837768555</v>
      </c>
      <c r="N353" s="86">
        <f t="shared" si="72"/>
        <v>15.167236328011313</v>
      </c>
      <c r="O353">
        <v>1510.5126953125</v>
      </c>
      <c r="P353" s="40">
        <f t="shared" si="63"/>
        <v>111.328125</v>
      </c>
      <c r="Q353">
        <v>1127.51879882813</v>
      </c>
      <c r="R353" s="40">
        <f t="shared" si="64"/>
        <v>0.73242186999777914</v>
      </c>
      <c r="S353">
        <v>2770.76708984375</v>
      </c>
      <c r="T353" s="40">
        <f t="shared" si="65"/>
        <v>0.73242188000222086</v>
      </c>
      <c r="U353">
        <v>34.577610015869098</v>
      </c>
      <c r="V353" s="33">
        <f t="shared" si="73"/>
        <v>3.3798217774005934</v>
      </c>
      <c r="W353">
        <v>230.76895141601599</v>
      </c>
      <c r="X353" s="90">
        <f t="shared" si="74"/>
        <v>19.485473632016692</v>
      </c>
    </row>
    <row r="354" spans="1:24" x14ac:dyDescent="0.25">
      <c r="A354" s="8">
        <v>42444.625</v>
      </c>
      <c r="B354" s="40">
        <f t="shared" si="66"/>
        <v>15</v>
      </c>
      <c r="C354" s="87">
        <v>55.4987182617188</v>
      </c>
      <c r="D354" s="85">
        <f t="shared" si="67"/>
        <v>0</v>
      </c>
      <c r="E354">
        <v>82.166961669921903</v>
      </c>
      <c r="F354" s="85">
        <f t="shared" si="68"/>
        <v>0</v>
      </c>
      <c r="G354">
        <v>169.44056701660199</v>
      </c>
      <c r="H354" s="86">
        <f t="shared" si="69"/>
        <v>8.2092285149997224</v>
      </c>
      <c r="I354">
        <v>129.22346496582</v>
      </c>
      <c r="J354" s="86">
        <f t="shared" si="70"/>
        <v>7.1258544930117296</v>
      </c>
      <c r="K354">
        <v>194.52671813964801</v>
      </c>
      <c r="L354" s="86">
        <f t="shared" si="71"/>
        <v>15.197753906988964</v>
      </c>
      <c r="M354">
        <v>221.10200500488301</v>
      </c>
      <c r="N354" s="86">
        <f t="shared" si="72"/>
        <v>14.938354491988548</v>
      </c>
      <c r="O354">
        <v>1510.6240234375</v>
      </c>
      <c r="P354" s="40">
        <f t="shared" si="63"/>
        <v>110.83984375</v>
      </c>
      <c r="Q354">
        <v>1127.51953125</v>
      </c>
      <c r="R354" s="40">
        <f t="shared" si="64"/>
        <v>0.73242188000222086</v>
      </c>
      <c r="S354">
        <v>2770.76782226563</v>
      </c>
      <c r="T354" s="40">
        <f t="shared" si="65"/>
        <v>0.9765625</v>
      </c>
      <c r="U354">
        <v>34.580989837646499</v>
      </c>
      <c r="V354" s="33">
        <f t="shared" si="73"/>
        <v>3.4217834473011521</v>
      </c>
      <c r="W354">
        <v>230.78843688964801</v>
      </c>
      <c r="X354" s="90">
        <f t="shared" si="74"/>
        <v>19.48547363298303</v>
      </c>
    </row>
    <row r="355" spans="1:24" x14ac:dyDescent="0.25">
      <c r="A355" s="8">
        <v>42444.666666666664</v>
      </c>
      <c r="B355" s="40">
        <f t="shared" si="66"/>
        <v>16</v>
      </c>
      <c r="C355" s="87">
        <v>55.4987182617188</v>
      </c>
      <c r="D355" s="85">
        <f t="shared" si="67"/>
        <v>0</v>
      </c>
      <c r="E355">
        <v>82.166961669921903</v>
      </c>
      <c r="F355" s="85">
        <f t="shared" si="68"/>
        <v>0</v>
      </c>
      <c r="G355">
        <v>169.44877624511699</v>
      </c>
      <c r="H355" s="86">
        <f t="shared" si="69"/>
        <v>8.2244873050001388</v>
      </c>
      <c r="I355">
        <v>129.23059082031301</v>
      </c>
      <c r="J355" s="86">
        <f t="shared" si="70"/>
        <v>7.1105957029828915</v>
      </c>
      <c r="K355">
        <v>194.541915893555</v>
      </c>
      <c r="L355" s="86">
        <f t="shared" si="71"/>
        <v>15.289306639999722</v>
      </c>
      <c r="M355">
        <v>221.116943359375</v>
      </c>
      <c r="N355" s="86">
        <f t="shared" si="72"/>
        <v>15.075683594005795</v>
      </c>
      <c r="O355">
        <v>1510.73486328125</v>
      </c>
      <c r="P355" s="40">
        <f t="shared" si="63"/>
        <v>110.96191405999889</v>
      </c>
      <c r="Q355">
        <v>1127.52026367188</v>
      </c>
      <c r="R355" s="40">
        <f t="shared" si="64"/>
        <v>0.73242186999777914</v>
      </c>
      <c r="S355">
        <v>2770.76879882813</v>
      </c>
      <c r="T355" s="40">
        <f t="shared" si="65"/>
        <v>0.48828125</v>
      </c>
      <c r="U355">
        <v>34.5844116210938</v>
      </c>
      <c r="V355" s="33">
        <f t="shared" si="73"/>
        <v>3.368377685497137</v>
      </c>
      <c r="W355">
        <v>230.80792236328099</v>
      </c>
      <c r="X355" s="90">
        <f t="shared" si="74"/>
        <v>19.287109375</v>
      </c>
    </row>
    <row r="356" spans="1:24" x14ac:dyDescent="0.25">
      <c r="A356" s="8">
        <v>42444.708333333336</v>
      </c>
      <c r="B356" s="40">
        <f t="shared" si="66"/>
        <v>17</v>
      </c>
      <c r="C356" s="87">
        <v>55.4987182617188</v>
      </c>
      <c r="D356" s="85">
        <f t="shared" si="67"/>
        <v>0</v>
      </c>
      <c r="E356">
        <v>82.166961669921903</v>
      </c>
      <c r="F356" s="85">
        <f t="shared" si="68"/>
        <v>1.6479492186931566</v>
      </c>
      <c r="G356">
        <v>169.45700073242199</v>
      </c>
      <c r="H356" s="86">
        <f t="shared" si="69"/>
        <v>8.3770751949998612</v>
      </c>
      <c r="I356">
        <v>129.23770141601599</v>
      </c>
      <c r="J356" s="86">
        <f t="shared" si="70"/>
        <v>7.2326660149997224</v>
      </c>
      <c r="K356">
        <v>194.557205200195</v>
      </c>
      <c r="L356" s="86">
        <f t="shared" si="71"/>
        <v>15.350341796988687</v>
      </c>
      <c r="M356">
        <v>221.13201904296901</v>
      </c>
      <c r="N356" s="86">
        <f t="shared" si="72"/>
        <v>15.274047850994066</v>
      </c>
      <c r="O356">
        <v>1510.84582519531</v>
      </c>
      <c r="P356" s="40">
        <f t="shared" si="63"/>
        <v>109.61914063000222</v>
      </c>
      <c r="Q356">
        <v>1127.52099609375</v>
      </c>
      <c r="R356" s="40">
        <f t="shared" si="64"/>
        <v>0.73242188000222086</v>
      </c>
      <c r="S356">
        <v>2770.76928710938</v>
      </c>
      <c r="T356" s="40">
        <f t="shared" si="65"/>
        <v>24.658203119997779</v>
      </c>
      <c r="U356">
        <v>34.587779998779297</v>
      </c>
      <c r="V356" s="33">
        <f t="shared" si="73"/>
        <v>3.2386779785014141</v>
      </c>
      <c r="W356">
        <v>230.82720947265599</v>
      </c>
      <c r="X356" s="90">
        <f t="shared" si="74"/>
        <v>19.561767578011313</v>
      </c>
    </row>
    <row r="357" spans="1:24" x14ac:dyDescent="0.25">
      <c r="A357" s="8">
        <v>42444.75</v>
      </c>
      <c r="B357" s="40">
        <f t="shared" si="66"/>
        <v>18</v>
      </c>
      <c r="C357" s="87">
        <v>55.4987182617188</v>
      </c>
      <c r="D357" s="85">
        <f t="shared" si="67"/>
        <v>0</v>
      </c>
      <c r="E357">
        <v>82.168609619140597</v>
      </c>
      <c r="F357" s="85">
        <f t="shared" si="68"/>
        <v>5.59234619140625</v>
      </c>
      <c r="G357">
        <v>169.46537780761699</v>
      </c>
      <c r="H357" s="86">
        <f t="shared" si="69"/>
        <v>8.6822509770172474</v>
      </c>
      <c r="I357">
        <v>129.24493408203099</v>
      </c>
      <c r="J357" s="86">
        <f t="shared" si="70"/>
        <v>7.522583008011452</v>
      </c>
      <c r="K357">
        <v>194.57255554199199</v>
      </c>
      <c r="L357" s="86">
        <f t="shared" si="71"/>
        <v>14.999389649005934</v>
      </c>
      <c r="M357">
        <v>221.14729309082</v>
      </c>
      <c r="N357" s="86">
        <f t="shared" si="72"/>
        <v>15.075683594005795</v>
      </c>
      <c r="O357">
        <v>1510.95544433594</v>
      </c>
      <c r="P357" s="40">
        <f t="shared" si="63"/>
        <v>111.45019530999889</v>
      </c>
      <c r="Q357">
        <v>1127.52172851563</v>
      </c>
      <c r="R357" s="40">
        <f t="shared" si="64"/>
        <v>0.85449217999666871</v>
      </c>
      <c r="S357">
        <v>2770.7939453125</v>
      </c>
      <c r="T357" s="40">
        <f t="shared" si="65"/>
        <v>114.2578125</v>
      </c>
      <c r="U357">
        <v>34.591018676757798</v>
      </c>
      <c r="V357" s="33">
        <f t="shared" si="73"/>
        <v>3.4408569336008554</v>
      </c>
      <c r="W357">
        <v>230.84677124023401</v>
      </c>
      <c r="X357" s="90">
        <f t="shared" si="74"/>
        <v>19.302368164005657</v>
      </c>
    </row>
    <row r="358" spans="1:24" x14ac:dyDescent="0.25">
      <c r="A358" s="8">
        <v>42444.791666666664</v>
      </c>
      <c r="B358" s="40">
        <f t="shared" si="66"/>
        <v>19</v>
      </c>
      <c r="C358" s="87">
        <v>55.4987182617188</v>
      </c>
      <c r="D358" s="85">
        <f t="shared" si="67"/>
        <v>0</v>
      </c>
      <c r="E358">
        <v>82.174201965332003</v>
      </c>
      <c r="F358" s="85">
        <f t="shared" si="68"/>
        <v>5.5770874024005934</v>
      </c>
      <c r="G358">
        <v>169.47406005859401</v>
      </c>
      <c r="H358" s="86">
        <f t="shared" si="69"/>
        <v>8.5296630859943434</v>
      </c>
      <c r="I358">
        <v>129.25245666503901</v>
      </c>
      <c r="J358" s="86">
        <f t="shared" si="70"/>
        <v>7.5378417969886868</v>
      </c>
      <c r="K358">
        <v>194.58755493164099</v>
      </c>
      <c r="L358" s="86">
        <f t="shared" si="71"/>
        <v>15.029907225994066</v>
      </c>
      <c r="M358">
        <v>221.16236877441401</v>
      </c>
      <c r="N358" s="86">
        <f t="shared" si="72"/>
        <v>15.075683594005795</v>
      </c>
      <c r="O358">
        <v>1511.06689453125</v>
      </c>
      <c r="P358" s="40">
        <f t="shared" si="63"/>
        <v>111.57226563000222</v>
      </c>
      <c r="Q358">
        <v>1127.52258300781</v>
      </c>
      <c r="R358" s="40">
        <f t="shared" si="64"/>
        <v>0.9765625</v>
      </c>
      <c r="S358">
        <v>2770.908203125</v>
      </c>
      <c r="T358" s="40">
        <f t="shared" si="65"/>
        <v>114.2578125</v>
      </c>
      <c r="U358">
        <v>34.594459533691399</v>
      </c>
      <c r="V358" s="33">
        <f t="shared" si="73"/>
        <v>3.41796875</v>
      </c>
      <c r="W358">
        <v>230.86607360839801</v>
      </c>
      <c r="X358" s="90">
        <f t="shared" si="74"/>
        <v>19.378662110000278</v>
      </c>
    </row>
    <row r="359" spans="1:24" x14ac:dyDescent="0.25">
      <c r="A359" s="8">
        <v>42444.833333333336</v>
      </c>
      <c r="B359" s="40">
        <f t="shared" si="66"/>
        <v>20</v>
      </c>
      <c r="C359" s="87">
        <v>55.4987182617188</v>
      </c>
      <c r="D359" s="85">
        <f t="shared" si="67"/>
        <v>0</v>
      </c>
      <c r="E359">
        <v>82.179779052734403</v>
      </c>
      <c r="F359" s="85">
        <f t="shared" si="68"/>
        <v>5.5770874023011174</v>
      </c>
      <c r="G359">
        <v>169.48258972168</v>
      </c>
      <c r="H359" s="86">
        <f t="shared" si="69"/>
        <v>8.6975097649997224</v>
      </c>
      <c r="I359">
        <v>129.25999450683599</v>
      </c>
      <c r="J359" s="86">
        <f t="shared" si="70"/>
        <v>7.568359375</v>
      </c>
      <c r="K359">
        <v>194.60258483886699</v>
      </c>
      <c r="L359" s="86">
        <f t="shared" si="71"/>
        <v>15.197753906022626</v>
      </c>
      <c r="M359">
        <v>221.17744445800801</v>
      </c>
      <c r="N359" s="86">
        <f t="shared" si="72"/>
        <v>15.121459960994343</v>
      </c>
      <c r="O359">
        <v>1511.17846679688</v>
      </c>
      <c r="P359" s="40">
        <f t="shared" si="63"/>
        <v>112.54882811999778</v>
      </c>
      <c r="Q359">
        <v>1127.52355957031</v>
      </c>
      <c r="R359" s="40">
        <f t="shared" si="64"/>
        <v>0.85449219000111043</v>
      </c>
      <c r="S359">
        <v>2771.0224609375</v>
      </c>
      <c r="T359" s="40">
        <f t="shared" si="65"/>
        <v>113.28125</v>
      </c>
      <c r="U359">
        <v>34.597877502441399</v>
      </c>
      <c r="V359" s="33">
        <f t="shared" si="73"/>
        <v>3.4027099609019729</v>
      </c>
      <c r="W359">
        <v>230.88545227050801</v>
      </c>
      <c r="X359" s="90">
        <f t="shared" si="74"/>
        <v>19.195556639999722</v>
      </c>
    </row>
    <row r="360" spans="1:24" x14ac:dyDescent="0.25">
      <c r="A360" s="8">
        <v>42444.875</v>
      </c>
      <c r="B360" s="40">
        <f t="shared" si="66"/>
        <v>21</v>
      </c>
      <c r="C360" s="87">
        <v>55.4987182617188</v>
      </c>
      <c r="D360" s="85">
        <f t="shared" si="67"/>
        <v>0</v>
      </c>
      <c r="E360">
        <v>82.185356140136705</v>
      </c>
      <c r="F360" s="85">
        <f t="shared" si="68"/>
        <v>5.5847167968892109</v>
      </c>
      <c r="G360">
        <v>169.491287231445</v>
      </c>
      <c r="H360" s="86">
        <f t="shared" si="69"/>
        <v>8.7127685550001388</v>
      </c>
      <c r="I360">
        <v>129.26756286621099</v>
      </c>
      <c r="J360" s="86">
        <f t="shared" si="70"/>
        <v>7.5531005859943434</v>
      </c>
      <c r="K360">
        <v>194.61778259277301</v>
      </c>
      <c r="L360" s="86">
        <f t="shared" si="71"/>
        <v>15.228271485000278</v>
      </c>
      <c r="M360">
        <v>221.19256591796901</v>
      </c>
      <c r="N360" s="86">
        <f t="shared" si="72"/>
        <v>15.197753905994205</v>
      </c>
      <c r="O360">
        <v>1511.291015625</v>
      </c>
      <c r="P360" s="40">
        <f t="shared" si="63"/>
        <v>110.47363280999889</v>
      </c>
      <c r="Q360">
        <v>1127.5244140625</v>
      </c>
      <c r="R360" s="40">
        <f t="shared" si="64"/>
        <v>0.73242188000222086</v>
      </c>
      <c r="S360">
        <v>2771.1357421875</v>
      </c>
      <c r="T360" s="40">
        <f t="shared" si="65"/>
        <v>111.08398438000222</v>
      </c>
      <c r="U360">
        <v>34.601280212402301</v>
      </c>
      <c r="V360" s="33">
        <f t="shared" si="73"/>
        <v>3.368377685596613</v>
      </c>
      <c r="W360">
        <v>230.90464782714801</v>
      </c>
      <c r="X360" s="90">
        <f t="shared" si="74"/>
        <v>19.058227540000416</v>
      </c>
    </row>
    <row r="361" spans="1:24" x14ac:dyDescent="0.25">
      <c r="A361" s="8">
        <v>42444.916666666664</v>
      </c>
      <c r="B361" s="40">
        <f t="shared" si="66"/>
        <v>22</v>
      </c>
      <c r="C361" s="87">
        <v>55.4987182617188</v>
      </c>
      <c r="D361" s="85">
        <f t="shared" si="67"/>
        <v>0</v>
      </c>
      <c r="E361">
        <v>82.190940856933594</v>
      </c>
      <c r="F361" s="85">
        <f t="shared" si="68"/>
        <v>1.4114379883096717</v>
      </c>
      <c r="G361">
        <v>169.5</v>
      </c>
      <c r="H361" s="86">
        <f t="shared" si="69"/>
        <v>8.3618164059942046</v>
      </c>
      <c r="I361">
        <v>129.27511596679699</v>
      </c>
      <c r="J361" s="86">
        <f t="shared" si="70"/>
        <v>7.2479248050001388</v>
      </c>
      <c r="K361">
        <v>194.63301086425801</v>
      </c>
      <c r="L361" s="86">
        <f t="shared" si="71"/>
        <v>15.396118163977235</v>
      </c>
      <c r="M361">
        <v>221.207763671875</v>
      </c>
      <c r="N361" s="86">
        <f t="shared" si="72"/>
        <v>15.182495116988548</v>
      </c>
      <c r="O361">
        <v>1511.40148925781</v>
      </c>
      <c r="P361" s="40">
        <f t="shared" si="63"/>
        <v>111.69433594000111</v>
      </c>
      <c r="Q361">
        <v>1127.52514648438</v>
      </c>
      <c r="R361" s="40">
        <f t="shared" si="64"/>
        <v>0.73242186999777914</v>
      </c>
      <c r="S361">
        <v>2771.24682617188</v>
      </c>
      <c r="T361" s="40">
        <f t="shared" si="65"/>
        <v>27.587890619997779</v>
      </c>
      <c r="U361">
        <v>34.604648590087898</v>
      </c>
      <c r="V361" s="33">
        <f t="shared" si="73"/>
        <v>3.3531188965056913</v>
      </c>
      <c r="W361">
        <v>230.92370605468801</v>
      </c>
      <c r="X361" s="90">
        <f t="shared" si="74"/>
        <v>16.647338866988548</v>
      </c>
    </row>
    <row r="362" spans="1:24" x14ac:dyDescent="0.25">
      <c r="A362" s="8">
        <v>42444.958333333336</v>
      </c>
      <c r="B362" s="40">
        <f t="shared" si="66"/>
        <v>23</v>
      </c>
      <c r="C362" s="87">
        <v>55.4987182617188</v>
      </c>
      <c r="D362" s="85">
        <f t="shared" si="67"/>
        <v>0</v>
      </c>
      <c r="E362">
        <v>82.192352294921903</v>
      </c>
      <c r="F362" s="85">
        <f t="shared" si="68"/>
        <v>0</v>
      </c>
      <c r="G362">
        <v>169.50836181640599</v>
      </c>
      <c r="H362" s="86">
        <f t="shared" si="69"/>
        <v>8.3312988280113132</v>
      </c>
      <c r="I362">
        <v>129.28236389160199</v>
      </c>
      <c r="J362" s="86">
        <f t="shared" si="70"/>
        <v>7.1563720699998612</v>
      </c>
      <c r="K362">
        <v>194.64840698242199</v>
      </c>
      <c r="L362" s="86">
        <f t="shared" si="71"/>
        <v>15.075683594005795</v>
      </c>
      <c r="M362">
        <v>221.22294616699199</v>
      </c>
      <c r="N362" s="86">
        <f t="shared" si="72"/>
        <v>15.258789063011591</v>
      </c>
      <c r="O362">
        <v>1511.51318359375</v>
      </c>
      <c r="P362" s="40">
        <f t="shared" si="63"/>
        <v>110.83984375</v>
      </c>
      <c r="Q362">
        <v>1127.52587890625</v>
      </c>
      <c r="R362" s="40">
        <f t="shared" si="64"/>
        <v>0.85449219000111043</v>
      </c>
      <c r="S362">
        <v>2771.2744140625</v>
      </c>
      <c r="T362" s="40">
        <f t="shared" si="65"/>
        <v>0.9765625</v>
      </c>
      <c r="U362">
        <v>34.608001708984403</v>
      </c>
      <c r="V362" s="33">
        <f t="shared" si="73"/>
        <v>3.2157897948934533</v>
      </c>
      <c r="W362">
        <v>230.940353393555</v>
      </c>
      <c r="X362" s="90">
        <f t="shared" si="74"/>
        <v>17.486572264999722</v>
      </c>
    </row>
    <row r="363" spans="1:24" x14ac:dyDescent="0.25">
      <c r="A363" s="8">
        <v>42445</v>
      </c>
      <c r="B363" s="40">
        <f t="shared" si="66"/>
        <v>0</v>
      </c>
      <c r="C363" s="87">
        <v>55.4987182617188</v>
      </c>
      <c r="D363" s="85">
        <f t="shared" si="67"/>
        <v>0</v>
      </c>
      <c r="E363">
        <v>82.192352294921903</v>
      </c>
      <c r="F363" s="85">
        <f t="shared" si="68"/>
        <v>0</v>
      </c>
      <c r="G363">
        <v>169.51669311523401</v>
      </c>
      <c r="H363" s="86">
        <f t="shared" si="69"/>
        <v>8.3465576179833079</v>
      </c>
      <c r="I363">
        <v>129.28952026367199</v>
      </c>
      <c r="J363" s="86">
        <f t="shared" si="70"/>
        <v>7.080078125</v>
      </c>
      <c r="K363">
        <v>194.66348266601599</v>
      </c>
      <c r="L363" s="86">
        <f t="shared" si="71"/>
        <v>15.396118164005657</v>
      </c>
      <c r="M363">
        <v>221.238204956055</v>
      </c>
      <c r="N363" s="86">
        <f t="shared" si="72"/>
        <v>15.197753905994205</v>
      </c>
      <c r="O363">
        <v>1511.6240234375</v>
      </c>
      <c r="P363" s="40">
        <f t="shared" si="63"/>
        <v>110.10742188000222</v>
      </c>
      <c r="Q363">
        <v>1127.52673339844</v>
      </c>
      <c r="R363" s="40">
        <f t="shared" si="64"/>
        <v>0.73242186999777914</v>
      </c>
      <c r="S363">
        <v>2771.275390625</v>
      </c>
      <c r="T363" s="40">
        <f t="shared" si="65"/>
        <v>0.9765625</v>
      </c>
      <c r="U363">
        <v>34.611217498779297</v>
      </c>
      <c r="V363" s="33">
        <f t="shared" si="73"/>
        <v>3.1089782715056913</v>
      </c>
      <c r="W363">
        <v>230.95783996582</v>
      </c>
      <c r="X363" s="90">
        <f t="shared" si="74"/>
        <v>16.036987305000139</v>
      </c>
    </row>
    <row r="364" spans="1:24" x14ac:dyDescent="0.25">
      <c r="A364" s="8">
        <v>42445.041666666664</v>
      </c>
      <c r="B364" s="40">
        <f t="shared" si="66"/>
        <v>1</v>
      </c>
      <c r="C364" s="87">
        <v>55.4987182617188</v>
      </c>
      <c r="D364" s="85">
        <f t="shared" si="67"/>
        <v>0</v>
      </c>
      <c r="E364">
        <v>82.192352294921903</v>
      </c>
      <c r="F364" s="85">
        <f t="shared" si="68"/>
        <v>0.35858154289769573</v>
      </c>
      <c r="G364">
        <v>169.52503967285199</v>
      </c>
      <c r="H364" s="86">
        <f t="shared" si="69"/>
        <v>8.1939697260224875</v>
      </c>
      <c r="I364">
        <v>129.29660034179699</v>
      </c>
      <c r="J364" s="86">
        <f t="shared" si="70"/>
        <v>7.2479248050001388</v>
      </c>
      <c r="K364">
        <v>194.67887878418</v>
      </c>
      <c r="L364" s="86">
        <f t="shared" si="71"/>
        <v>15.319824218011036</v>
      </c>
      <c r="M364">
        <v>221.25340270996099</v>
      </c>
      <c r="N364" s="86">
        <f t="shared" si="72"/>
        <v>15.029907227017247</v>
      </c>
      <c r="O364">
        <v>1511.73413085938</v>
      </c>
      <c r="P364" s="40">
        <f t="shared" si="63"/>
        <v>109.74121092999667</v>
      </c>
      <c r="Q364">
        <v>1127.52746582031</v>
      </c>
      <c r="R364" s="40">
        <f t="shared" si="64"/>
        <v>0.61035157000333129</v>
      </c>
      <c r="S364">
        <v>2771.2763671875</v>
      </c>
      <c r="T364" s="40">
        <f t="shared" si="65"/>
        <v>0.73242188000222086</v>
      </c>
      <c r="U364">
        <v>34.614326477050803</v>
      </c>
      <c r="V364" s="33">
        <f t="shared" si="73"/>
        <v>2.9830932616974337</v>
      </c>
      <c r="W364">
        <v>230.973876953125</v>
      </c>
      <c r="X364" s="90">
        <f t="shared" si="74"/>
        <v>14.999389648011174</v>
      </c>
    </row>
    <row r="365" spans="1:24" x14ac:dyDescent="0.25">
      <c r="A365" s="8">
        <v>42445.083333333336</v>
      </c>
      <c r="B365" s="40">
        <f t="shared" si="66"/>
        <v>2</v>
      </c>
      <c r="C365" s="87">
        <v>55.4987182617188</v>
      </c>
      <c r="D365" s="85">
        <f t="shared" si="67"/>
        <v>0</v>
      </c>
      <c r="E365">
        <v>82.192710876464801</v>
      </c>
      <c r="F365" s="85">
        <f t="shared" si="68"/>
        <v>5.5999755859943434</v>
      </c>
      <c r="G365">
        <v>169.53323364257801</v>
      </c>
      <c r="H365" s="86">
        <f t="shared" si="69"/>
        <v>8.8195800779828915</v>
      </c>
      <c r="I365">
        <v>129.30384826660199</v>
      </c>
      <c r="J365" s="86">
        <f t="shared" si="70"/>
        <v>7.5988769530113132</v>
      </c>
      <c r="K365">
        <v>194.69419860839801</v>
      </c>
      <c r="L365" s="86">
        <f t="shared" si="71"/>
        <v>15.289306640994482</v>
      </c>
      <c r="M365">
        <v>221.26843261718801</v>
      </c>
      <c r="N365" s="86">
        <f t="shared" si="72"/>
        <v>15.228271483977096</v>
      </c>
      <c r="O365">
        <v>1511.84387207031</v>
      </c>
      <c r="P365" s="40">
        <f t="shared" si="63"/>
        <v>110.47363282000333</v>
      </c>
      <c r="Q365">
        <v>1127.52807617188</v>
      </c>
      <c r="R365" s="40">
        <f t="shared" si="64"/>
        <v>0.9765625</v>
      </c>
      <c r="S365">
        <v>2771.27709960938</v>
      </c>
      <c r="T365" s="40">
        <f t="shared" si="65"/>
        <v>108.88671875</v>
      </c>
      <c r="U365">
        <v>34.6173095703125</v>
      </c>
      <c r="V365" s="33">
        <f t="shared" si="73"/>
        <v>3.1776428223011521</v>
      </c>
      <c r="W365">
        <v>230.98887634277301</v>
      </c>
      <c r="X365" s="90">
        <f t="shared" si="74"/>
        <v>14.190673828977651</v>
      </c>
    </row>
    <row r="366" spans="1:24" x14ac:dyDescent="0.25">
      <c r="A366" s="8">
        <v>42445.125</v>
      </c>
      <c r="B366" s="40">
        <f t="shared" si="66"/>
        <v>3</v>
      </c>
      <c r="C366" s="87">
        <v>55.4987182617188</v>
      </c>
      <c r="D366" s="85">
        <f t="shared" si="67"/>
        <v>1.1444091697399017E-2</v>
      </c>
      <c r="E366">
        <v>82.198310852050795</v>
      </c>
      <c r="F366" s="85">
        <f t="shared" si="68"/>
        <v>5.5847167969034217</v>
      </c>
      <c r="G366">
        <v>169.54205322265599</v>
      </c>
      <c r="H366" s="86">
        <f t="shared" si="69"/>
        <v>8.743286133011452</v>
      </c>
      <c r="I366">
        <v>129.311447143555</v>
      </c>
      <c r="J366" s="86">
        <f t="shared" si="70"/>
        <v>7.5836181640056566</v>
      </c>
      <c r="K366">
        <v>194.70948791503901</v>
      </c>
      <c r="L366" s="86">
        <f t="shared" si="71"/>
        <v>15.228271484005518</v>
      </c>
      <c r="M366">
        <v>221.28366088867199</v>
      </c>
      <c r="N366" s="86">
        <f t="shared" si="72"/>
        <v>15.121459961022765</v>
      </c>
      <c r="O366">
        <v>1511.95434570313</v>
      </c>
      <c r="P366" s="40">
        <f t="shared" si="63"/>
        <v>110.3515625</v>
      </c>
      <c r="Q366">
        <v>1127.52905273438</v>
      </c>
      <c r="R366" s="40">
        <f t="shared" si="64"/>
        <v>0.85449217999666871</v>
      </c>
      <c r="S366">
        <v>2771.38598632813</v>
      </c>
      <c r="T366" s="40">
        <f t="shared" si="65"/>
        <v>108.3984375</v>
      </c>
      <c r="U366">
        <v>34.620487213134801</v>
      </c>
      <c r="V366" s="33">
        <f t="shared" si="73"/>
        <v>3.2730102538991446</v>
      </c>
      <c r="W366">
        <v>231.00306701660199</v>
      </c>
      <c r="X366" s="90">
        <f t="shared" si="74"/>
        <v>13.565063476022488</v>
      </c>
    </row>
    <row r="367" spans="1:24" x14ac:dyDescent="0.25">
      <c r="A367" s="8">
        <v>42445.166666666664</v>
      </c>
      <c r="B367" s="40">
        <f t="shared" si="66"/>
        <v>4</v>
      </c>
      <c r="C367" s="87">
        <v>55.498729705810497</v>
      </c>
      <c r="D367" s="85">
        <f t="shared" si="67"/>
        <v>0</v>
      </c>
      <c r="E367">
        <v>82.203895568847699</v>
      </c>
      <c r="F367" s="85">
        <f t="shared" si="68"/>
        <v>5.5999755858948674</v>
      </c>
      <c r="G367">
        <v>169.55079650878901</v>
      </c>
      <c r="H367" s="86">
        <f t="shared" si="69"/>
        <v>8.7432861329830303</v>
      </c>
      <c r="I367">
        <v>129.31903076171901</v>
      </c>
      <c r="J367" s="86">
        <f t="shared" si="70"/>
        <v>7.5378417969886868</v>
      </c>
      <c r="K367">
        <v>194.72471618652301</v>
      </c>
      <c r="L367" s="86">
        <f t="shared" si="71"/>
        <v>15.045166015994482</v>
      </c>
      <c r="M367">
        <v>221.29878234863301</v>
      </c>
      <c r="N367" s="86">
        <f t="shared" si="72"/>
        <v>14.907836913977235</v>
      </c>
      <c r="O367">
        <v>1512.06469726563</v>
      </c>
      <c r="P367" s="40">
        <f t="shared" si="63"/>
        <v>111.93847655999889</v>
      </c>
      <c r="Q367">
        <v>1127.52990722656</v>
      </c>
      <c r="R367" s="40">
        <f t="shared" si="64"/>
        <v>0.73242188000222086</v>
      </c>
      <c r="S367">
        <v>2771.49438476563</v>
      </c>
      <c r="T367" s="40">
        <f t="shared" si="65"/>
        <v>106.68945311999778</v>
      </c>
      <c r="U367">
        <v>34.6237602233887</v>
      </c>
      <c r="V367" s="33">
        <f t="shared" si="73"/>
        <v>3.2920837401988479</v>
      </c>
      <c r="W367">
        <v>231.01663208007801</v>
      </c>
      <c r="X367" s="90">
        <f t="shared" si="74"/>
        <v>11.856079101988826</v>
      </c>
    </row>
    <row r="368" spans="1:24" x14ac:dyDescent="0.25">
      <c r="A368" s="8">
        <v>42445.208333333336</v>
      </c>
      <c r="B368" s="40">
        <f t="shared" si="66"/>
        <v>5</v>
      </c>
      <c r="C368" s="87">
        <v>55.498729705810497</v>
      </c>
      <c r="D368" s="85">
        <f t="shared" si="67"/>
        <v>0</v>
      </c>
      <c r="E368">
        <v>82.209495544433594</v>
      </c>
      <c r="F368" s="85">
        <f t="shared" si="68"/>
        <v>0.9765625</v>
      </c>
      <c r="G368">
        <v>169.55953979492199</v>
      </c>
      <c r="H368" s="86">
        <f t="shared" si="69"/>
        <v>8.3618164060226263</v>
      </c>
      <c r="I368">
        <v>129.32656860351599</v>
      </c>
      <c r="J368" s="86">
        <f t="shared" si="70"/>
        <v>7.080078125</v>
      </c>
      <c r="K368">
        <v>194.73976135253901</v>
      </c>
      <c r="L368" s="86">
        <f t="shared" si="71"/>
        <v>15.289306640994482</v>
      </c>
      <c r="M368">
        <v>221.31369018554699</v>
      </c>
      <c r="N368" s="86">
        <f t="shared" si="72"/>
        <v>15.151977539005657</v>
      </c>
      <c r="O368">
        <v>1512.17663574219</v>
      </c>
      <c r="P368" s="40">
        <f t="shared" si="63"/>
        <v>111.45019530999889</v>
      </c>
      <c r="Q368">
        <v>1127.53063964844</v>
      </c>
      <c r="R368" s="40">
        <f t="shared" si="64"/>
        <v>0.85449219000111043</v>
      </c>
      <c r="S368">
        <v>2771.60107421875</v>
      </c>
      <c r="T368" s="40">
        <f t="shared" si="65"/>
        <v>16.357421880002221</v>
      </c>
      <c r="U368">
        <v>34.627052307128899</v>
      </c>
      <c r="V368" s="33">
        <f t="shared" si="73"/>
        <v>2.8457641601988826</v>
      </c>
      <c r="W368">
        <v>231.02848815918</v>
      </c>
      <c r="X368" s="90">
        <f t="shared" si="74"/>
        <v>9.078979491988548</v>
      </c>
    </row>
    <row r="369" spans="1:24" x14ac:dyDescent="0.25">
      <c r="A369" s="8">
        <v>42445.25</v>
      </c>
      <c r="B369" s="40">
        <f t="shared" si="66"/>
        <v>6</v>
      </c>
      <c r="C369" s="87">
        <v>55.498729705810497</v>
      </c>
      <c r="D369" s="85">
        <v>0</v>
      </c>
      <c r="E369">
        <v>82.210472106933594</v>
      </c>
      <c r="F369" s="85">
        <v>5.5770874024005934</v>
      </c>
      <c r="G369">
        <v>169.56790161132801</v>
      </c>
      <c r="H369" s="86">
        <v>11.825561523011174</v>
      </c>
      <c r="I369">
        <v>129.33364868164099</v>
      </c>
      <c r="J369" s="86">
        <v>10.131835937016831</v>
      </c>
      <c r="K369">
        <v>194.75505065918</v>
      </c>
      <c r="L369" s="86">
        <v>15.289306640994482</v>
      </c>
      <c r="M369">
        <v>221.32884216308599</v>
      </c>
      <c r="N369" s="86">
        <v>15.274047850994066</v>
      </c>
      <c r="O369">
        <v>1512.2880859375</v>
      </c>
      <c r="P369" s="40">
        <v>110.59570313000222</v>
      </c>
      <c r="Q369">
        <v>1127.53149414063</v>
      </c>
      <c r="R369" s="40">
        <v>0.9765625</v>
      </c>
      <c r="S369">
        <v>2771.61743164063</v>
      </c>
      <c r="T369" s="40">
        <v>111.08398436999778</v>
      </c>
      <c r="U369">
        <v>34.629898071289098</v>
      </c>
      <c r="V369" s="33">
        <v>3.1929016112997033</v>
      </c>
      <c r="W369">
        <v>231.03756713867199</v>
      </c>
      <c r="X369" s="90">
        <v>7.1</v>
      </c>
    </row>
    <row r="370" spans="1:24" x14ac:dyDescent="0.25">
      <c r="A370" s="8">
        <v>42445.291666666664</v>
      </c>
      <c r="B370" s="40">
        <f t="shared" si="66"/>
        <v>7</v>
      </c>
      <c r="C370" s="87" t="s">
        <v>66</v>
      </c>
      <c r="D370" s="85">
        <v>0</v>
      </c>
      <c r="E370" t="s">
        <v>66</v>
      </c>
      <c r="F370" s="85">
        <v>5.5847167969034217</v>
      </c>
      <c r="G370" t="s">
        <v>66</v>
      </c>
      <c r="H370" s="86">
        <v>11.795043944999861</v>
      </c>
      <c r="I370" t="s">
        <v>66</v>
      </c>
      <c r="J370" s="86">
        <v>10.25390625</v>
      </c>
      <c r="K370" t="s">
        <v>66</v>
      </c>
      <c r="L370" s="86">
        <v>15.365600586022765</v>
      </c>
      <c r="M370" t="s">
        <v>66</v>
      </c>
      <c r="N370" s="86">
        <v>15.350341796988687</v>
      </c>
      <c r="O370" t="s">
        <v>66</v>
      </c>
      <c r="P370" s="40">
        <v>113.03710936999778</v>
      </c>
      <c r="Q370" t="s">
        <v>66</v>
      </c>
      <c r="R370" s="40">
        <v>0.9765625</v>
      </c>
      <c r="S370" t="s">
        <v>66</v>
      </c>
      <c r="T370" s="40">
        <v>109.61914063000222</v>
      </c>
      <c r="U370" t="s">
        <v>66</v>
      </c>
      <c r="V370" s="33">
        <v>3.2577514649005934</v>
      </c>
      <c r="W370" t="s">
        <v>66</v>
      </c>
      <c r="X370" s="90">
        <v>4.0999999999999996</v>
      </c>
    </row>
    <row r="371" spans="1:24" x14ac:dyDescent="0.25">
      <c r="A371" s="8">
        <v>42445.333333333336</v>
      </c>
      <c r="B371" s="40">
        <f t="shared" si="66"/>
        <v>8</v>
      </c>
      <c r="C371" s="87" t="s">
        <v>66</v>
      </c>
      <c r="D371" s="85">
        <v>0</v>
      </c>
      <c r="E371" t="s">
        <v>66</v>
      </c>
      <c r="F371" s="85">
        <v>1.6174316405965783</v>
      </c>
      <c r="G371" t="s">
        <v>66</v>
      </c>
      <c r="H371" s="86">
        <v>11.489868165000416</v>
      </c>
      <c r="I371" t="s">
        <v>66</v>
      </c>
      <c r="J371" s="86">
        <v>9.9487304689773737</v>
      </c>
      <c r="K371" t="s">
        <v>66</v>
      </c>
      <c r="L371" s="86">
        <v>15.350341795993927</v>
      </c>
      <c r="M371" t="s">
        <v>66</v>
      </c>
      <c r="N371" s="86">
        <v>15.396118164005657</v>
      </c>
      <c r="O371" t="s">
        <v>66</v>
      </c>
      <c r="P371" s="40">
        <v>110.71777344000111</v>
      </c>
      <c r="Q371" t="s">
        <v>66</v>
      </c>
      <c r="R371" s="40">
        <v>0.9765625</v>
      </c>
      <c r="S371" t="s">
        <v>66</v>
      </c>
      <c r="T371" s="40">
        <v>29.541015619997779</v>
      </c>
      <c r="U371" t="s">
        <v>66</v>
      </c>
      <c r="V371" s="33">
        <v>3.2997131347016762</v>
      </c>
      <c r="W371" t="s">
        <v>66</v>
      </c>
      <c r="X371" s="90">
        <v>3.1</v>
      </c>
    </row>
    <row r="372" spans="1:24" x14ac:dyDescent="0.25">
      <c r="A372" s="8">
        <v>42445.375</v>
      </c>
      <c r="B372" s="40">
        <f t="shared" si="66"/>
        <v>9</v>
      </c>
      <c r="C372" s="87">
        <v>55.498729705810497</v>
      </c>
      <c r="D372" s="85">
        <f t="shared" si="67"/>
        <v>7.6293946023042736E-3</v>
      </c>
      <c r="E372">
        <v>82.221435546875</v>
      </c>
      <c r="F372" s="85">
        <f t="shared" si="68"/>
        <v>5.5694580077982891</v>
      </c>
      <c r="G372">
        <v>169.58448791503901</v>
      </c>
      <c r="H372" s="86">
        <f t="shared" si="69"/>
        <v>0</v>
      </c>
      <c r="I372">
        <v>129.35632324218801</v>
      </c>
      <c r="J372" s="86">
        <v>9.8266601560226263</v>
      </c>
      <c r="K372">
        <v>194.78430175781301</v>
      </c>
      <c r="L372" s="86">
        <v>15.197753906988964</v>
      </c>
      <c r="M372">
        <v>221.37075805664099</v>
      </c>
      <c r="N372" s="86">
        <f t="shared" si="72"/>
        <v>15.014648437016831</v>
      </c>
      <c r="O372">
        <v>1512.54284667969</v>
      </c>
      <c r="P372" s="40">
        <f t="shared" ref="P372:P435" si="75">+(O373-O372)*1000</f>
        <v>111.08398436999778</v>
      </c>
      <c r="Q372">
        <v>1127.53369140625</v>
      </c>
      <c r="R372" s="40">
        <f t="shared" ref="R372:R435" si="76">+(Q373-Q372)*1000</f>
        <v>0.85449219000111043</v>
      </c>
      <c r="S372">
        <v>2771.77978515625</v>
      </c>
      <c r="T372" s="40">
        <f t="shared" ref="T372:T435" si="77">+(S373-S372)*1000</f>
        <v>127.19726563000222</v>
      </c>
      <c r="U372">
        <v>34.632820129394503</v>
      </c>
      <c r="V372" s="33">
        <f t="shared" si="73"/>
        <v>0.16021728519888256</v>
      </c>
      <c r="W372">
        <v>231.05252075195301</v>
      </c>
      <c r="X372" s="90">
        <f t="shared" si="74"/>
        <v>2.9296875</v>
      </c>
    </row>
    <row r="373" spans="1:24" x14ac:dyDescent="0.25">
      <c r="A373" s="8">
        <v>42445.416666666664</v>
      </c>
      <c r="B373" s="40">
        <f t="shared" si="66"/>
        <v>10</v>
      </c>
      <c r="C373" s="87">
        <v>55.498737335205099</v>
      </c>
      <c r="D373" s="85">
        <f t="shared" si="67"/>
        <v>0</v>
      </c>
      <c r="E373">
        <v>82.227005004882798</v>
      </c>
      <c r="F373" s="85">
        <f t="shared" si="68"/>
        <v>5.6991577149005934</v>
      </c>
      <c r="G373">
        <v>169.58448791503901</v>
      </c>
      <c r="H373" s="86">
        <f t="shared" si="69"/>
        <v>0</v>
      </c>
      <c r="I373">
        <v>129.36543273925801</v>
      </c>
      <c r="J373" s="86">
        <f t="shared" si="70"/>
        <v>9.2315673829830303</v>
      </c>
      <c r="K373">
        <v>194.78430175781301</v>
      </c>
      <c r="L373" s="86">
        <f t="shared" si="71"/>
        <v>0</v>
      </c>
      <c r="M373">
        <v>221.38577270507801</v>
      </c>
      <c r="N373" s="86">
        <f t="shared" si="72"/>
        <v>15.029907226988826</v>
      </c>
      <c r="O373">
        <v>1512.65393066406</v>
      </c>
      <c r="P373" s="40">
        <f t="shared" si="75"/>
        <v>111.69433594000111</v>
      </c>
      <c r="Q373">
        <v>1127.53454589844</v>
      </c>
      <c r="R373" s="40">
        <f t="shared" si="76"/>
        <v>0.85449219000111043</v>
      </c>
      <c r="S373">
        <v>2771.90698242188</v>
      </c>
      <c r="T373" s="40">
        <f t="shared" si="77"/>
        <v>133.05664061999778</v>
      </c>
      <c r="U373">
        <v>34.632980346679702</v>
      </c>
      <c r="V373" s="33">
        <f t="shared" si="73"/>
        <v>0.16784667970171085</v>
      </c>
      <c r="W373">
        <v>231.05545043945301</v>
      </c>
      <c r="X373" s="90">
        <f t="shared" si="74"/>
        <v>3.2653808600002776</v>
      </c>
    </row>
    <row r="374" spans="1:24" x14ac:dyDescent="0.25">
      <c r="A374" s="8">
        <v>42445.458333333336</v>
      </c>
      <c r="B374" s="40">
        <f t="shared" si="66"/>
        <v>11</v>
      </c>
      <c r="C374" s="87">
        <v>55.498737335205099</v>
      </c>
      <c r="D374" s="85">
        <f t="shared" si="67"/>
        <v>0</v>
      </c>
      <c r="E374">
        <v>82.232704162597699</v>
      </c>
      <c r="F374" s="85">
        <f t="shared" si="68"/>
        <v>5.5236816405965783</v>
      </c>
      <c r="G374">
        <v>169.58448791503901</v>
      </c>
      <c r="H374" s="86">
        <f t="shared" si="69"/>
        <v>0</v>
      </c>
      <c r="I374">
        <v>129.37466430664099</v>
      </c>
      <c r="J374" s="86">
        <f t="shared" si="70"/>
        <v>9.3078613280113132</v>
      </c>
      <c r="K374">
        <v>194.78430175781301</v>
      </c>
      <c r="L374" s="86">
        <f t="shared" si="71"/>
        <v>0</v>
      </c>
      <c r="M374">
        <v>221.400802612305</v>
      </c>
      <c r="N374" s="86">
        <f t="shared" si="72"/>
        <v>15.014648436988409</v>
      </c>
      <c r="O374">
        <v>1512.765625</v>
      </c>
      <c r="P374" s="40">
        <f t="shared" si="75"/>
        <v>112.3046875</v>
      </c>
      <c r="Q374">
        <v>1127.53540039063</v>
      </c>
      <c r="R374" s="40">
        <f t="shared" si="76"/>
        <v>0.85449217999666871</v>
      </c>
      <c r="S374">
        <v>2772.0400390625</v>
      </c>
      <c r="T374" s="40">
        <f t="shared" si="77"/>
        <v>136.23046875</v>
      </c>
      <c r="U374">
        <v>34.633148193359403</v>
      </c>
      <c r="V374" s="33">
        <f t="shared" si="73"/>
        <v>0.16021728509940658</v>
      </c>
      <c r="W374">
        <v>231.05871582031301</v>
      </c>
      <c r="X374" s="90">
        <f t="shared" si="74"/>
        <v>3.6468505849995836</v>
      </c>
    </row>
    <row r="375" spans="1:24" x14ac:dyDescent="0.25">
      <c r="A375" s="8">
        <v>42445.5</v>
      </c>
      <c r="B375" s="40">
        <f t="shared" si="66"/>
        <v>12</v>
      </c>
      <c r="C375" s="87">
        <v>55.498737335205099</v>
      </c>
      <c r="D375" s="85">
        <f t="shared" si="67"/>
        <v>0</v>
      </c>
      <c r="E375">
        <v>82.238227844238295</v>
      </c>
      <c r="F375" s="85">
        <f t="shared" si="68"/>
        <v>5.6304931640056566</v>
      </c>
      <c r="G375">
        <v>169.58448791503901</v>
      </c>
      <c r="H375" s="86">
        <f t="shared" si="69"/>
        <v>0.59509277400593419</v>
      </c>
      <c r="I375">
        <v>129.38397216796901</v>
      </c>
      <c r="J375" s="86">
        <f t="shared" si="70"/>
        <v>9.1094970699998612</v>
      </c>
      <c r="K375">
        <v>194.78430175781301</v>
      </c>
      <c r="L375" s="86">
        <f t="shared" si="71"/>
        <v>0.70190429599392701</v>
      </c>
      <c r="M375">
        <v>221.41581726074199</v>
      </c>
      <c r="N375" s="86">
        <f t="shared" si="72"/>
        <v>15.060424805000139</v>
      </c>
      <c r="O375">
        <v>1512.8779296875</v>
      </c>
      <c r="P375" s="40">
        <f t="shared" si="75"/>
        <v>112.91503905999889</v>
      </c>
      <c r="Q375">
        <v>1127.53625488281</v>
      </c>
      <c r="R375" s="40">
        <f t="shared" si="76"/>
        <v>0.73242188000222086</v>
      </c>
      <c r="S375">
        <v>2772.17626953125</v>
      </c>
      <c r="T375" s="40">
        <f t="shared" si="77"/>
        <v>137.93945313000222</v>
      </c>
      <c r="U375">
        <v>34.633308410644503</v>
      </c>
      <c r="V375" s="33">
        <f t="shared" si="73"/>
        <v>0.19073486329546085</v>
      </c>
      <c r="W375">
        <v>231.06236267089801</v>
      </c>
      <c r="X375" s="90">
        <f t="shared" si="74"/>
        <v>3.4027099609943434</v>
      </c>
    </row>
    <row r="376" spans="1:24" x14ac:dyDescent="0.25">
      <c r="A376" s="8">
        <v>42445.541666666664</v>
      </c>
      <c r="B376" s="40">
        <f t="shared" si="66"/>
        <v>13</v>
      </c>
      <c r="C376" s="87">
        <v>55.498737335205099</v>
      </c>
      <c r="D376" s="85">
        <f t="shared" si="67"/>
        <v>0</v>
      </c>
      <c r="E376">
        <v>82.243858337402301</v>
      </c>
      <c r="F376" s="85">
        <f t="shared" si="68"/>
        <v>5.592346191505726</v>
      </c>
      <c r="G376">
        <v>169.58508300781301</v>
      </c>
      <c r="H376" s="86">
        <f t="shared" si="69"/>
        <v>8.6059570309942046</v>
      </c>
      <c r="I376">
        <v>129.39308166503901</v>
      </c>
      <c r="J376" s="86">
        <f t="shared" si="70"/>
        <v>7.568359375</v>
      </c>
      <c r="K376">
        <v>194.78500366210901</v>
      </c>
      <c r="L376" s="86">
        <f t="shared" si="71"/>
        <v>15.304565430000139</v>
      </c>
      <c r="M376">
        <v>221.43087768554699</v>
      </c>
      <c r="N376" s="86">
        <f t="shared" si="72"/>
        <v>14.999389648011174</v>
      </c>
      <c r="O376">
        <v>1512.99084472656</v>
      </c>
      <c r="P376" s="40">
        <f t="shared" si="75"/>
        <v>112.06054688000222</v>
      </c>
      <c r="Q376">
        <v>1127.53698730469</v>
      </c>
      <c r="R376" s="40">
        <f t="shared" si="76"/>
        <v>0.85449219000111043</v>
      </c>
      <c r="S376">
        <v>2772.31420898438</v>
      </c>
      <c r="T376" s="40">
        <f t="shared" si="77"/>
        <v>136.96289061999778</v>
      </c>
      <c r="U376">
        <v>34.633499145507798</v>
      </c>
      <c r="V376" s="33">
        <f t="shared" si="73"/>
        <v>2.3536682129048359</v>
      </c>
      <c r="W376">
        <v>231.06576538085901</v>
      </c>
      <c r="X376" s="90">
        <f t="shared" si="74"/>
        <v>14.968872070994621</v>
      </c>
    </row>
    <row r="377" spans="1:24" x14ac:dyDescent="0.25">
      <c r="A377" s="8">
        <v>42445.583333333336</v>
      </c>
      <c r="B377" s="40">
        <f t="shared" si="66"/>
        <v>14</v>
      </c>
      <c r="C377" s="87">
        <v>55.498737335205099</v>
      </c>
      <c r="D377" s="85">
        <f t="shared" si="67"/>
        <v>1.1444091803980427E-2</v>
      </c>
      <c r="E377">
        <v>82.249450683593807</v>
      </c>
      <c r="F377" s="85">
        <f t="shared" si="68"/>
        <v>5.5847167967897349</v>
      </c>
      <c r="G377">
        <v>169.59368896484401</v>
      </c>
      <c r="H377" s="86">
        <f t="shared" si="69"/>
        <v>8.6059570309942046</v>
      </c>
      <c r="I377">
        <v>129.40065002441401</v>
      </c>
      <c r="J377" s="86">
        <f t="shared" si="70"/>
        <v>7.3852539059942046</v>
      </c>
      <c r="K377">
        <v>194.80030822753901</v>
      </c>
      <c r="L377" s="86">
        <f t="shared" si="71"/>
        <v>15.13671875</v>
      </c>
      <c r="M377">
        <v>221.445877075195</v>
      </c>
      <c r="N377" s="86">
        <f t="shared" si="72"/>
        <v>15.243530274005934</v>
      </c>
      <c r="O377">
        <v>1513.10290527344</v>
      </c>
      <c r="P377" s="40">
        <f t="shared" si="75"/>
        <v>112.54882811999778</v>
      </c>
      <c r="Q377">
        <v>1127.53784179688</v>
      </c>
      <c r="R377" s="40">
        <f t="shared" si="76"/>
        <v>0.85449217999666871</v>
      </c>
      <c r="S377">
        <v>2772.451171875</v>
      </c>
      <c r="T377" s="40">
        <f t="shared" si="77"/>
        <v>134.765625</v>
      </c>
      <c r="U377">
        <v>34.635852813720703</v>
      </c>
      <c r="V377" s="33">
        <f t="shared" si="73"/>
        <v>3.19671630859375</v>
      </c>
      <c r="W377">
        <v>231.08073425293</v>
      </c>
      <c r="X377" s="90">
        <f t="shared" si="74"/>
        <v>19.699096679005379</v>
      </c>
    </row>
    <row r="378" spans="1:24" x14ac:dyDescent="0.25">
      <c r="A378" s="8">
        <v>42445.625</v>
      </c>
      <c r="B378" s="40">
        <f t="shared" si="66"/>
        <v>15</v>
      </c>
      <c r="C378" s="87">
        <v>55.498748779296903</v>
      </c>
      <c r="D378" s="85">
        <f t="shared" si="67"/>
        <v>0</v>
      </c>
      <c r="E378">
        <v>82.255035400390597</v>
      </c>
      <c r="F378" s="85">
        <f t="shared" si="68"/>
        <v>5.5999755860085543</v>
      </c>
      <c r="G378">
        <v>169.602294921875</v>
      </c>
      <c r="H378" s="86">
        <f t="shared" si="69"/>
        <v>8.6212158199998612</v>
      </c>
      <c r="I378">
        <v>129.40803527832</v>
      </c>
      <c r="J378" s="86">
        <f t="shared" si="70"/>
        <v>7.522583008011452</v>
      </c>
      <c r="K378">
        <v>194.81544494628901</v>
      </c>
      <c r="L378" s="86">
        <f t="shared" si="71"/>
        <v>13.992309569999861</v>
      </c>
      <c r="M378">
        <v>221.46112060546901</v>
      </c>
      <c r="N378" s="86">
        <f t="shared" si="72"/>
        <v>13.931274414005657</v>
      </c>
      <c r="O378">
        <v>1513.21545410156</v>
      </c>
      <c r="P378" s="40">
        <f t="shared" si="75"/>
        <v>78.61328125</v>
      </c>
      <c r="Q378">
        <v>1127.53869628906</v>
      </c>
      <c r="R378" s="40">
        <f t="shared" si="76"/>
        <v>0.9765625</v>
      </c>
      <c r="S378">
        <v>2772.5859375</v>
      </c>
      <c r="T378" s="40">
        <f t="shared" si="77"/>
        <v>133.30078125</v>
      </c>
      <c r="U378">
        <v>34.639049530029297</v>
      </c>
      <c r="V378" s="33">
        <f t="shared" si="73"/>
        <v>2.7770996094034217</v>
      </c>
      <c r="W378">
        <v>231.10043334960901</v>
      </c>
      <c r="X378" s="90">
        <f t="shared" si="74"/>
        <v>13.153076171988687</v>
      </c>
    </row>
    <row r="379" spans="1:24" x14ac:dyDescent="0.25">
      <c r="A379" s="8">
        <v>42445.666666666664</v>
      </c>
      <c r="B379" s="40">
        <f t="shared" si="66"/>
        <v>16</v>
      </c>
      <c r="C379" s="87">
        <v>55.498748779296903</v>
      </c>
      <c r="D379" s="85">
        <f t="shared" si="67"/>
        <v>0</v>
      </c>
      <c r="E379">
        <v>82.260635375976605</v>
      </c>
      <c r="F379" s="85">
        <f t="shared" si="68"/>
        <v>0.19073486319598487</v>
      </c>
      <c r="G379">
        <v>169.610916137695</v>
      </c>
      <c r="H379" s="86">
        <f t="shared" si="69"/>
        <v>8.2092285159944822</v>
      </c>
      <c r="I379">
        <v>129.41555786132801</v>
      </c>
      <c r="J379" s="86">
        <f t="shared" si="70"/>
        <v>7.1105957029828915</v>
      </c>
      <c r="K379">
        <v>194.82943725585901</v>
      </c>
      <c r="L379" s="86">
        <f t="shared" si="71"/>
        <v>15.243530274005934</v>
      </c>
      <c r="M379">
        <v>221.47505187988301</v>
      </c>
      <c r="N379" s="86">
        <f t="shared" si="72"/>
        <v>14.938354491988548</v>
      </c>
      <c r="O379">
        <v>1513.29406738281</v>
      </c>
      <c r="P379" s="40">
        <f t="shared" si="75"/>
        <v>112.18261719000111</v>
      </c>
      <c r="Q379">
        <v>1127.53967285156</v>
      </c>
      <c r="R379" s="40">
        <f t="shared" si="76"/>
        <v>0.73242188000222086</v>
      </c>
      <c r="S379">
        <v>2772.71923828125</v>
      </c>
      <c r="T379" s="40">
        <f t="shared" si="77"/>
        <v>1.7089843800022209</v>
      </c>
      <c r="U379">
        <v>34.6418266296387</v>
      </c>
      <c r="V379" s="33">
        <f t="shared" si="73"/>
        <v>3.2119750975994066</v>
      </c>
      <c r="W379">
        <v>231.11358642578099</v>
      </c>
      <c r="X379" s="90">
        <f t="shared" si="74"/>
        <v>17.898559570994621</v>
      </c>
    </row>
    <row r="380" spans="1:24" x14ac:dyDescent="0.25">
      <c r="A380" s="8">
        <v>42445.708333333336</v>
      </c>
      <c r="B380" s="40">
        <f t="shared" si="66"/>
        <v>17</v>
      </c>
      <c r="C380" s="87">
        <v>55.498748779296903</v>
      </c>
      <c r="D380" s="85">
        <f t="shared" si="67"/>
        <v>0</v>
      </c>
      <c r="E380">
        <v>82.260826110839801</v>
      </c>
      <c r="F380" s="85">
        <f t="shared" si="68"/>
        <v>0</v>
      </c>
      <c r="G380">
        <v>169.61912536621099</v>
      </c>
      <c r="H380" s="86">
        <f t="shared" si="69"/>
        <v>8.2397460940057954</v>
      </c>
      <c r="I380">
        <v>129.42266845703099</v>
      </c>
      <c r="J380" s="86">
        <f t="shared" si="70"/>
        <v>7.1411132820173862</v>
      </c>
      <c r="K380">
        <v>194.84468078613301</v>
      </c>
      <c r="L380" s="86">
        <f t="shared" si="71"/>
        <v>15.319824218977374</v>
      </c>
      <c r="M380">
        <v>221.489990234375</v>
      </c>
      <c r="N380" s="86">
        <f t="shared" si="72"/>
        <v>15.13671875</v>
      </c>
      <c r="O380">
        <v>1513.40625</v>
      </c>
      <c r="P380" s="40">
        <f t="shared" si="75"/>
        <v>111.57226563000222</v>
      </c>
      <c r="Q380">
        <v>1127.54040527344</v>
      </c>
      <c r="R380" s="40">
        <f t="shared" si="76"/>
        <v>0.73242186999777914</v>
      </c>
      <c r="S380">
        <v>2772.72094726563</v>
      </c>
      <c r="T380" s="40">
        <f t="shared" si="77"/>
        <v>0.48828125</v>
      </c>
      <c r="U380">
        <v>34.6450386047363</v>
      </c>
      <c r="V380" s="33">
        <f t="shared" si="73"/>
        <v>3.2997131348011521</v>
      </c>
      <c r="W380">
        <v>231.13148498535199</v>
      </c>
      <c r="X380" s="90">
        <f t="shared" si="74"/>
        <v>19.699096679005379</v>
      </c>
    </row>
    <row r="381" spans="1:24" x14ac:dyDescent="0.25">
      <c r="A381" s="8">
        <v>42445.75</v>
      </c>
      <c r="B381" s="40">
        <f t="shared" si="66"/>
        <v>18</v>
      </c>
      <c r="C381" s="87">
        <v>55.498748779296903</v>
      </c>
      <c r="D381" s="85">
        <f t="shared" si="67"/>
        <v>0</v>
      </c>
      <c r="E381">
        <v>82.260826110839801</v>
      </c>
      <c r="F381" s="85">
        <f t="shared" si="68"/>
        <v>4.1351318359943434</v>
      </c>
      <c r="G381">
        <v>169.627365112305</v>
      </c>
      <c r="H381" s="86">
        <f t="shared" si="69"/>
        <v>8.6364746090055178</v>
      </c>
      <c r="I381">
        <v>129.42980957031301</v>
      </c>
      <c r="J381" s="86">
        <f t="shared" si="70"/>
        <v>7.614135741988548</v>
      </c>
      <c r="K381">
        <v>194.86000061035199</v>
      </c>
      <c r="L381" s="86">
        <f t="shared" si="71"/>
        <v>14.877319336022765</v>
      </c>
      <c r="M381">
        <v>221.505126953125</v>
      </c>
      <c r="N381" s="86">
        <f t="shared" si="72"/>
        <v>15.075683594005795</v>
      </c>
      <c r="O381">
        <v>1513.51782226563</v>
      </c>
      <c r="P381" s="40">
        <f t="shared" si="75"/>
        <v>110.3515625</v>
      </c>
      <c r="Q381">
        <v>1127.54113769531</v>
      </c>
      <c r="R381" s="40">
        <f t="shared" si="76"/>
        <v>0.73242188000222086</v>
      </c>
      <c r="S381">
        <v>2772.72143554688</v>
      </c>
      <c r="T381" s="40">
        <f t="shared" si="77"/>
        <v>78.61328125</v>
      </c>
      <c r="U381">
        <v>34.648338317871101</v>
      </c>
      <c r="V381" s="33">
        <f t="shared" si="73"/>
        <v>3.1929016112997033</v>
      </c>
      <c r="W381">
        <v>231.15118408203099</v>
      </c>
      <c r="X381" s="90">
        <f t="shared" si="74"/>
        <v>19.454956055000139</v>
      </c>
    </row>
    <row r="382" spans="1:24" x14ac:dyDescent="0.25">
      <c r="A382" s="8">
        <v>42445.791666666664</v>
      </c>
      <c r="B382" s="40">
        <f t="shared" si="66"/>
        <v>19</v>
      </c>
      <c r="C382" s="87">
        <v>55.498748779296903</v>
      </c>
      <c r="D382" s="85">
        <f t="shared" si="67"/>
        <v>1.1444091796875E-2</v>
      </c>
      <c r="E382">
        <v>82.264961242675795</v>
      </c>
      <c r="F382" s="85">
        <f t="shared" si="68"/>
        <v>5.6076049805113826</v>
      </c>
      <c r="G382">
        <v>169.63600158691401</v>
      </c>
      <c r="H382" s="86">
        <f t="shared" si="69"/>
        <v>8.7127685550001388</v>
      </c>
      <c r="I382">
        <v>129.437423706055</v>
      </c>
      <c r="J382" s="86">
        <f t="shared" si="70"/>
        <v>7.5836181640056566</v>
      </c>
      <c r="K382">
        <v>194.87487792968801</v>
      </c>
      <c r="L382" s="86">
        <f t="shared" si="71"/>
        <v>15.243530272982753</v>
      </c>
      <c r="M382">
        <v>221.52020263671901</v>
      </c>
      <c r="N382" s="86">
        <f t="shared" si="72"/>
        <v>15.075683594005795</v>
      </c>
      <c r="O382">
        <v>1513.62817382813</v>
      </c>
      <c r="P382" s="40">
        <f t="shared" si="75"/>
        <v>107.91015625</v>
      </c>
      <c r="Q382">
        <v>1127.54187011719</v>
      </c>
      <c r="R382" s="40">
        <f t="shared" si="76"/>
        <v>0.85449219000111043</v>
      </c>
      <c r="S382">
        <v>2772.80004882813</v>
      </c>
      <c r="T382" s="40">
        <f t="shared" si="77"/>
        <v>112.79296875</v>
      </c>
      <c r="U382">
        <v>34.651531219482401</v>
      </c>
      <c r="V382" s="33">
        <f t="shared" si="73"/>
        <v>3.0975341797017109</v>
      </c>
      <c r="W382">
        <v>231.17063903808599</v>
      </c>
      <c r="X382" s="90">
        <f t="shared" si="74"/>
        <v>19.241333008011452</v>
      </c>
    </row>
    <row r="383" spans="1:24" x14ac:dyDescent="0.25">
      <c r="A383" s="8">
        <v>42445.833333333336</v>
      </c>
      <c r="B383" s="40">
        <f t="shared" si="66"/>
        <v>20</v>
      </c>
      <c r="C383" s="87">
        <v>55.4987602233887</v>
      </c>
      <c r="D383" s="85">
        <f t="shared" si="67"/>
        <v>0</v>
      </c>
      <c r="E383">
        <v>82.270568847656307</v>
      </c>
      <c r="F383" s="85">
        <f t="shared" si="68"/>
        <v>5.5999755858948674</v>
      </c>
      <c r="G383">
        <v>169.64471435546901</v>
      </c>
      <c r="H383" s="86">
        <f t="shared" si="69"/>
        <v>8.7738037109943434</v>
      </c>
      <c r="I383">
        <v>129.44500732421901</v>
      </c>
      <c r="J383" s="86">
        <f t="shared" si="70"/>
        <v>7.6446533199998612</v>
      </c>
      <c r="K383">
        <v>194.89012145996099</v>
      </c>
      <c r="L383" s="86">
        <f t="shared" si="71"/>
        <v>15.197753905994205</v>
      </c>
      <c r="M383">
        <v>221.53527832031301</v>
      </c>
      <c r="N383" s="86">
        <f t="shared" si="72"/>
        <v>15.029907225994066</v>
      </c>
      <c r="O383">
        <v>1513.73608398438</v>
      </c>
      <c r="P383" s="40">
        <f t="shared" si="75"/>
        <v>110.71777342999667</v>
      </c>
      <c r="Q383">
        <v>1127.54272460938</v>
      </c>
      <c r="R383" s="40">
        <f t="shared" si="76"/>
        <v>0.85449217999666871</v>
      </c>
      <c r="S383">
        <v>2772.91284179688</v>
      </c>
      <c r="T383" s="40">
        <f t="shared" si="77"/>
        <v>107.66601561999778</v>
      </c>
      <c r="U383">
        <v>34.654628753662102</v>
      </c>
      <c r="V383" s="33">
        <f t="shared" si="73"/>
        <v>3.1585693358948674</v>
      </c>
      <c r="W383">
        <v>231.18988037109401</v>
      </c>
      <c r="X383" s="90">
        <f t="shared" si="74"/>
        <v>19.348144530994205</v>
      </c>
    </row>
    <row r="384" spans="1:24" x14ac:dyDescent="0.25">
      <c r="A384" s="8">
        <v>42445.875</v>
      </c>
      <c r="B384" s="40">
        <f t="shared" si="66"/>
        <v>21</v>
      </c>
      <c r="C384" s="87">
        <v>55.4987602233887</v>
      </c>
      <c r="D384" s="85">
        <f t="shared" si="67"/>
        <v>0</v>
      </c>
      <c r="E384">
        <v>82.276168823242202</v>
      </c>
      <c r="F384" s="85">
        <f t="shared" si="68"/>
        <v>5.6457519530965783</v>
      </c>
      <c r="G384">
        <v>169.65348815918</v>
      </c>
      <c r="H384" s="86">
        <f t="shared" si="69"/>
        <v>8.6059570309942046</v>
      </c>
      <c r="I384">
        <v>129.45265197753901</v>
      </c>
      <c r="J384" s="86">
        <f t="shared" si="70"/>
        <v>7.5988769529828915</v>
      </c>
      <c r="K384">
        <v>194.90531921386699</v>
      </c>
      <c r="L384" s="86">
        <f t="shared" si="71"/>
        <v>15.197753906022626</v>
      </c>
      <c r="M384">
        <v>221.55030822753901</v>
      </c>
      <c r="N384" s="86">
        <f t="shared" si="72"/>
        <v>15.045166015994482</v>
      </c>
      <c r="O384">
        <v>1513.84680175781</v>
      </c>
      <c r="P384" s="40">
        <f t="shared" si="75"/>
        <v>109.98535157000333</v>
      </c>
      <c r="Q384">
        <v>1127.54357910156</v>
      </c>
      <c r="R384" s="40">
        <f t="shared" si="76"/>
        <v>0.9765625</v>
      </c>
      <c r="S384">
        <v>2773.0205078125</v>
      </c>
      <c r="T384" s="40">
        <f t="shared" si="77"/>
        <v>107.17773438000222</v>
      </c>
      <c r="U384">
        <v>34.657787322997997</v>
      </c>
      <c r="V384" s="33">
        <f t="shared" si="73"/>
        <v>3.2005310059020076</v>
      </c>
      <c r="W384">
        <v>231.209228515625</v>
      </c>
      <c r="X384" s="90">
        <f t="shared" si="74"/>
        <v>18.493652344005795</v>
      </c>
    </row>
    <row r="385" spans="1:24" x14ac:dyDescent="0.25">
      <c r="A385" s="8">
        <v>42445.916666666664</v>
      </c>
      <c r="B385" s="40">
        <f t="shared" si="66"/>
        <v>22</v>
      </c>
      <c r="C385" s="87">
        <v>55.4987602233887</v>
      </c>
      <c r="D385" s="85">
        <f t="shared" si="67"/>
        <v>0</v>
      </c>
      <c r="E385">
        <v>82.281814575195298</v>
      </c>
      <c r="F385" s="85">
        <f t="shared" si="68"/>
        <v>5.615234375</v>
      </c>
      <c r="G385">
        <v>169.66209411621099</v>
      </c>
      <c r="H385" s="86">
        <f t="shared" si="69"/>
        <v>8.7738037109943434</v>
      </c>
      <c r="I385">
        <v>129.46025085449199</v>
      </c>
      <c r="J385" s="86">
        <f t="shared" si="70"/>
        <v>7.6904296880115908</v>
      </c>
      <c r="K385">
        <v>194.92051696777301</v>
      </c>
      <c r="L385" s="86">
        <f t="shared" si="71"/>
        <v>15.274047851988826</v>
      </c>
      <c r="M385">
        <v>221.565353393555</v>
      </c>
      <c r="N385" s="86">
        <f t="shared" si="72"/>
        <v>14.999389648011174</v>
      </c>
      <c r="O385">
        <v>1513.95678710938</v>
      </c>
      <c r="P385" s="40">
        <f t="shared" si="75"/>
        <v>110.47363280999889</v>
      </c>
      <c r="Q385">
        <v>1127.54455566406</v>
      </c>
      <c r="R385" s="40">
        <f t="shared" si="76"/>
        <v>0.73242188000222086</v>
      </c>
      <c r="S385">
        <v>2773.12768554688</v>
      </c>
      <c r="T385" s="40">
        <f t="shared" si="77"/>
        <v>106.20117186999778</v>
      </c>
      <c r="U385">
        <v>34.660987854003899</v>
      </c>
      <c r="V385" s="33">
        <f t="shared" si="73"/>
        <v>3.1204223633025663</v>
      </c>
      <c r="W385">
        <v>231.22772216796901</v>
      </c>
      <c r="X385" s="90">
        <f t="shared" si="74"/>
        <v>16.265869139999722</v>
      </c>
    </row>
    <row r="386" spans="1:24" x14ac:dyDescent="0.25">
      <c r="A386" s="8">
        <v>42445.958333333336</v>
      </c>
      <c r="B386" s="40">
        <f t="shared" si="66"/>
        <v>23</v>
      </c>
      <c r="C386" s="87">
        <v>55.4987602233887</v>
      </c>
      <c r="D386" s="85">
        <f t="shared" si="67"/>
        <v>0</v>
      </c>
      <c r="E386">
        <v>82.287429809570298</v>
      </c>
      <c r="F386" s="85">
        <f t="shared" si="68"/>
        <v>5.615234375</v>
      </c>
      <c r="G386">
        <v>169.67086791992199</v>
      </c>
      <c r="H386" s="86">
        <f t="shared" si="69"/>
        <v>8.8195800780113132</v>
      </c>
      <c r="I386">
        <v>129.46794128418</v>
      </c>
      <c r="J386" s="86">
        <f t="shared" si="70"/>
        <v>7.6293945309942046</v>
      </c>
      <c r="K386">
        <v>194.935791015625</v>
      </c>
      <c r="L386" s="86">
        <f t="shared" si="71"/>
        <v>15.045166015994482</v>
      </c>
      <c r="M386">
        <v>221.58035278320301</v>
      </c>
      <c r="N386" s="86">
        <f t="shared" si="72"/>
        <v>15.167236327982891</v>
      </c>
      <c r="O386">
        <v>1514.06726074219</v>
      </c>
      <c r="P386" s="40">
        <f t="shared" si="75"/>
        <v>110.96191405999889</v>
      </c>
      <c r="Q386">
        <v>1127.54528808594</v>
      </c>
      <c r="R386" s="40">
        <f t="shared" si="76"/>
        <v>0.85449219000111043</v>
      </c>
      <c r="S386">
        <v>2773.23388671875</v>
      </c>
      <c r="T386" s="40">
        <f t="shared" si="77"/>
        <v>104.24804688000222</v>
      </c>
      <c r="U386">
        <v>34.664108276367202</v>
      </c>
      <c r="V386" s="33">
        <f t="shared" si="73"/>
        <v>3.2424926757954609</v>
      </c>
      <c r="W386">
        <v>231.24398803710901</v>
      </c>
      <c r="X386" s="90">
        <f t="shared" si="74"/>
        <v>14.251708985000278</v>
      </c>
    </row>
    <row r="387" spans="1:24" x14ac:dyDescent="0.25">
      <c r="A387" s="8">
        <v>42446</v>
      </c>
      <c r="B387" s="40">
        <f t="shared" si="66"/>
        <v>0</v>
      </c>
      <c r="C387" s="87">
        <v>55.4987602233887</v>
      </c>
      <c r="D387" s="85">
        <f t="shared" si="67"/>
        <v>0</v>
      </c>
      <c r="E387">
        <v>82.293045043945298</v>
      </c>
      <c r="F387" s="85">
        <f t="shared" si="68"/>
        <v>5.6304931641051326</v>
      </c>
      <c r="G387">
        <v>169.6796875</v>
      </c>
      <c r="H387" s="86">
        <f t="shared" si="69"/>
        <v>8.8043212890056566</v>
      </c>
      <c r="I387">
        <v>129.47557067871099</v>
      </c>
      <c r="J387" s="86">
        <f t="shared" si="70"/>
        <v>7.6141357420169697</v>
      </c>
      <c r="K387">
        <v>194.95083618164099</v>
      </c>
      <c r="L387" s="86">
        <f t="shared" si="71"/>
        <v>15.365600585994343</v>
      </c>
      <c r="M387">
        <v>221.59552001953099</v>
      </c>
      <c r="N387" s="86">
        <f t="shared" si="72"/>
        <v>15.197753907017386</v>
      </c>
      <c r="O387">
        <v>1514.17822265625</v>
      </c>
      <c r="P387" s="40">
        <f t="shared" si="75"/>
        <v>109.25292969000111</v>
      </c>
      <c r="Q387">
        <v>1127.54614257813</v>
      </c>
      <c r="R387" s="40">
        <f t="shared" si="76"/>
        <v>0.85449217999666871</v>
      </c>
      <c r="S387">
        <v>2773.33813476563</v>
      </c>
      <c r="T387" s="40">
        <f t="shared" si="77"/>
        <v>102.78320311999778</v>
      </c>
      <c r="U387">
        <v>34.667350769042997</v>
      </c>
      <c r="V387" s="33">
        <f t="shared" si="73"/>
        <v>3.2768249511008207</v>
      </c>
      <c r="W387">
        <v>231.25823974609401</v>
      </c>
      <c r="X387" s="90">
        <f t="shared" si="74"/>
        <v>13.046264647982753</v>
      </c>
    </row>
    <row r="388" spans="1:24" x14ac:dyDescent="0.25">
      <c r="A388" s="8">
        <v>42446.041666666664</v>
      </c>
      <c r="B388" s="40">
        <f t="shared" ref="B388:B451" si="78">+HOUR(A388)</f>
        <v>1</v>
      </c>
      <c r="C388" s="87">
        <v>55.4987602233887</v>
      </c>
      <c r="D388" s="85">
        <f t="shared" ref="D388:D451" si="79">+(C389-C388)*1000</f>
        <v>7.6293945028282906E-3</v>
      </c>
      <c r="E388">
        <v>82.298675537109403</v>
      </c>
      <c r="F388" s="85">
        <f t="shared" ref="F388:F451" si="80">+(E389-E388)*1000</f>
        <v>5.615234375</v>
      </c>
      <c r="G388">
        <v>169.68849182128901</v>
      </c>
      <c r="H388" s="86">
        <f t="shared" ref="H388:H451" si="81">+(G389-G388)*1000</f>
        <v>8.7280273440057954</v>
      </c>
      <c r="I388">
        <v>129.48318481445301</v>
      </c>
      <c r="J388" s="86">
        <f t="shared" ref="J388:J451" si="82">+(I389-I388)*1000</f>
        <v>7.5988769529828915</v>
      </c>
      <c r="K388">
        <v>194.96620178222699</v>
      </c>
      <c r="L388" s="86">
        <f t="shared" ref="L388:L451" si="83">+(K389-K388)*1000</f>
        <v>15.228271484005518</v>
      </c>
      <c r="M388">
        <v>221.61071777343801</v>
      </c>
      <c r="N388" s="86">
        <f t="shared" ref="N388:N451" si="84">+(M389-M388)*1000</f>
        <v>15.121459959999584</v>
      </c>
      <c r="O388">
        <v>1514.28747558594</v>
      </c>
      <c r="P388" s="40">
        <f t="shared" si="75"/>
        <v>111.57226561999778</v>
      </c>
      <c r="Q388">
        <v>1127.54699707031</v>
      </c>
      <c r="R388" s="40">
        <f t="shared" si="76"/>
        <v>0.73242188000222086</v>
      </c>
      <c r="S388">
        <v>2773.44091796875</v>
      </c>
      <c r="T388" s="40">
        <f t="shared" si="77"/>
        <v>100.09765625</v>
      </c>
      <c r="U388">
        <v>34.670627593994098</v>
      </c>
      <c r="V388" s="33">
        <f t="shared" ref="V388:V451" si="85">+(U389-U388)*1000</f>
        <v>3.3416748047017109</v>
      </c>
      <c r="W388">
        <v>231.27128601074199</v>
      </c>
      <c r="X388" s="90">
        <f t="shared" ref="X388:X451" si="86">+(W389-W388)*1000</f>
        <v>12.023925781022626</v>
      </c>
    </row>
    <row r="389" spans="1:24" x14ac:dyDescent="0.25">
      <c r="A389" s="8">
        <v>42446.083333333336</v>
      </c>
      <c r="B389" s="40">
        <f t="shared" si="78"/>
        <v>2</v>
      </c>
      <c r="C389" s="87">
        <v>55.498767852783203</v>
      </c>
      <c r="D389" s="85">
        <f t="shared" si="79"/>
        <v>0</v>
      </c>
      <c r="E389">
        <v>82.304290771484403</v>
      </c>
      <c r="F389" s="85">
        <f t="shared" si="80"/>
        <v>0.12969970700282829</v>
      </c>
      <c r="G389">
        <v>169.69721984863301</v>
      </c>
      <c r="H389" s="86">
        <f t="shared" si="81"/>
        <v>8.30078125</v>
      </c>
      <c r="I389">
        <v>129.49078369140599</v>
      </c>
      <c r="J389" s="86">
        <f t="shared" si="82"/>
        <v>7.2174072270172474</v>
      </c>
      <c r="K389">
        <v>194.98143005371099</v>
      </c>
      <c r="L389" s="86">
        <f t="shared" si="83"/>
        <v>15.365600585994343</v>
      </c>
      <c r="M389">
        <v>221.62583923339801</v>
      </c>
      <c r="N389" s="86">
        <f t="shared" si="84"/>
        <v>15.243530273977512</v>
      </c>
      <c r="O389">
        <v>1514.39904785156</v>
      </c>
      <c r="P389" s="40">
        <f t="shared" si="75"/>
        <v>111.08398438000222</v>
      </c>
      <c r="Q389">
        <v>1127.54772949219</v>
      </c>
      <c r="R389" s="40">
        <f t="shared" si="76"/>
        <v>0.73242186999777914</v>
      </c>
      <c r="S389">
        <v>2773.541015625</v>
      </c>
      <c r="T389" s="40">
        <f t="shared" si="77"/>
        <v>0.73242188000222086</v>
      </c>
      <c r="U389">
        <v>34.6739692687988</v>
      </c>
      <c r="V389" s="33">
        <f t="shared" si="85"/>
        <v>3.2424926758025663</v>
      </c>
      <c r="W389">
        <v>231.28330993652301</v>
      </c>
      <c r="X389" s="90">
        <f t="shared" si="86"/>
        <v>11.001586915000416</v>
      </c>
    </row>
    <row r="390" spans="1:24" x14ac:dyDescent="0.25">
      <c r="A390" s="8">
        <v>42446.125</v>
      </c>
      <c r="B390" s="40">
        <f t="shared" si="78"/>
        <v>3</v>
      </c>
      <c r="C390" s="87">
        <v>55.498767852783203</v>
      </c>
      <c r="D390" s="85">
        <f t="shared" si="79"/>
        <v>0</v>
      </c>
      <c r="E390">
        <v>82.304420471191406</v>
      </c>
      <c r="F390" s="85">
        <f t="shared" si="80"/>
        <v>0</v>
      </c>
      <c r="G390">
        <v>169.70552062988301</v>
      </c>
      <c r="H390" s="86">
        <f t="shared" si="81"/>
        <v>8.1634521479827526</v>
      </c>
      <c r="I390">
        <v>129.49800109863301</v>
      </c>
      <c r="J390" s="86">
        <f t="shared" si="82"/>
        <v>7.0953369139772349</v>
      </c>
      <c r="K390">
        <v>194.99679565429699</v>
      </c>
      <c r="L390" s="86">
        <f t="shared" si="83"/>
        <v>15.365600586022765</v>
      </c>
      <c r="M390">
        <v>221.64108276367199</v>
      </c>
      <c r="N390" s="86">
        <f t="shared" si="84"/>
        <v>15.228271484005518</v>
      </c>
      <c r="O390">
        <v>1514.51013183594</v>
      </c>
      <c r="P390" s="40">
        <f t="shared" si="75"/>
        <v>110.47363280999889</v>
      </c>
      <c r="Q390">
        <v>1127.54846191406</v>
      </c>
      <c r="R390" s="40">
        <f t="shared" si="76"/>
        <v>0.73242188000222086</v>
      </c>
      <c r="S390">
        <v>2773.54174804688</v>
      </c>
      <c r="T390" s="40">
        <f t="shared" si="77"/>
        <v>0.9765625</v>
      </c>
      <c r="U390">
        <v>34.677211761474602</v>
      </c>
      <c r="V390" s="33">
        <f t="shared" si="85"/>
        <v>3.1089782714985859</v>
      </c>
      <c r="W390">
        <v>231.29431152343801</v>
      </c>
      <c r="X390" s="90">
        <f t="shared" si="86"/>
        <v>10.772705077982891</v>
      </c>
    </row>
    <row r="391" spans="1:24" x14ac:dyDescent="0.25">
      <c r="A391" s="8">
        <v>42446.166666666664</v>
      </c>
      <c r="B391" s="40">
        <f t="shared" si="78"/>
        <v>4</v>
      </c>
      <c r="C391" s="87">
        <v>55.498767852783203</v>
      </c>
      <c r="D391" s="85">
        <f t="shared" si="79"/>
        <v>0</v>
      </c>
      <c r="E391">
        <v>82.304420471191406</v>
      </c>
      <c r="F391" s="85">
        <f t="shared" si="80"/>
        <v>0</v>
      </c>
      <c r="G391">
        <v>169.71368408203099</v>
      </c>
      <c r="H391" s="86">
        <f t="shared" si="81"/>
        <v>8.3312988280113132</v>
      </c>
      <c r="I391">
        <v>129.50509643554699</v>
      </c>
      <c r="J391" s="86">
        <f t="shared" si="82"/>
        <v>7.2479248050001388</v>
      </c>
      <c r="K391">
        <v>195.01216125488301</v>
      </c>
      <c r="L391" s="86">
        <f t="shared" si="83"/>
        <v>15.075683593977374</v>
      </c>
      <c r="M391">
        <v>221.65631103515599</v>
      </c>
      <c r="N391" s="86">
        <f t="shared" si="84"/>
        <v>15.258789063011591</v>
      </c>
      <c r="O391">
        <v>1514.62060546875</v>
      </c>
      <c r="P391" s="40">
        <f t="shared" si="75"/>
        <v>110.10742188000222</v>
      </c>
      <c r="Q391">
        <v>1127.54919433594</v>
      </c>
      <c r="R391" s="40">
        <f t="shared" si="76"/>
        <v>0.9765625</v>
      </c>
      <c r="S391">
        <v>2773.54272460938</v>
      </c>
      <c r="T391" s="40">
        <f t="shared" si="77"/>
        <v>0.48828125</v>
      </c>
      <c r="U391">
        <v>34.680320739746101</v>
      </c>
      <c r="V391" s="33">
        <f t="shared" si="85"/>
        <v>3.0784606934020076</v>
      </c>
      <c r="W391">
        <v>231.30508422851599</v>
      </c>
      <c r="X391" s="90">
        <f t="shared" si="86"/>
        <v>10.269165039005657</v>
      </c>
    </row>
    <row r="392" spans="1:24" x14ac:dyDescent="0.25">
      <c r="A392" s="8">
        <v>42446.208333333336</v>
      </c>
      <c r="B392" s="40">
        <f t="shared" si="78"/>
        <v>5</v>
      </c>
      <c r="C392" s="87">
        <v>55.498767852783203</v>
      </c>
      <c r="D392" s="85">
        <f t="shared" si="79"/>
        <v>0</v>
      </c>
      <c r="E392">
        <v>82.304420471191406</v>
      </c>
      <c r="F392" s="85">
        <f t="shared" si="80"/>
        <v>1.0528564452982891</v>
      </c>
      <c r="G392">
        <v>169.72201538085901</v>
      </c>
      <c r="H392" s="86">
        <f t="shared" si="81"/>
        <v>8.4228515629831691</v>
      </c>
      <c r="I392">
        <v>129.51234436035199</v>
      </c>
      <c r="J392" s="86">
        <f t="shared" si="82"/>
        <v>7.3547363280113132</v>
      </c>
      <c r="K392">
        <v>195.02723693847699</v>
      </c>
      <c r="L392" s="86">
        <f t="shared" si="83"/>
        <v>15.335083007016692</v>
      </c>
      <c r="M392">
        <v>221.67156982421901</v>
      </c>
      <c r="N392" s="86">
        <f t="shared" si="84"/>
        <v>15.228271484005518</v>
      </c>
      <c r="O392">
        <v>1514.73071289063</v>
      </c>
      <c r="P392" s="40">
        <f t="shared" si="75"/>
        <v>109.61914061999778</v>
      </c>
      <c r="Q392">
        <v>1127.55017089844</v>
      </c>
      <c r="R392" s="40">
        <f t="shared" si="76"/>
        <v>0.61035155999888957</v>
      </c>
      <c r="S392">
        <v>2773.54321289063</v>
      </c>
      <c r="T392" s="40">
        <f t="shared" si="77"/>
        <v>16.845703119997779</v>
      </c>
      <c r="U392">
        <v>34.683399200439503</v>
      </c>
      <c r="V392" s="33">
        <f t="shared" si="85"/>
        <v>3.0517578125</v>
      </c>
      <c r="W392">
        <v>231.315353393555</v>
      </c>
      <c r="X392" s="90">
        <f t="shared" si="86"/>
        <v>9.8571777340055178</v>
      </c>
    </row>
    <row r="393" spans="1:24" x14ac:dyDescent="0.25">
      <c r="A393" s="8">
        <v>42446.25</v>
      </c>
      <c r="B393" s="40">
        <f t="shared" si="78"/>
        <v>6</v>
      </c>
      <c r="C393" s="87">
        <v>55.498767852783203</v>
      </c>
      <c r="D393" s="85">
        <f t="shared" si="79"/>
        <v>0</v>
      </c>
      <c r="E393">
        <v>82.305473327636705</v>
      </c>
      <c r="F393" s="85">
        <f t="shared" si="80"/>
        <v>5.5999755859943434</v>
      </c>
      <c r="G393">
        <v>169.73043823242199</v>
      </c>
      <c r="H393" s="86">
        <f t="shared" si="81"/>
        <v>8.8500976560226263</v>
      </c>
      <c r="I393">
        <v>129.51969909668</v>
      </c>
      <c r="J393" s="86">
        <f t="shared" si="82"/>
        <v>7.6751708980111744</v>
      </c>
      <c r="K393">
        <v>195.04257202148401</v>
      </c>
      <c r="L393" s="86">
        <f t="shared" si="83"/>
        <v>15.289306640994482</v>
      </c>
      <c r="M393">
        <v>221.68679809570301</v>
      </c>
      <c r="N393" s="86">
        <f t="shared" si="84"/>
        <v>14.923095702982891</v>
      </c>
      <c r="O393">
        <v>1514.84033203125</v>
      </c>
      <c r="P393" s="40">
        <f t="shared" si="75"/>
        <v>109.13085938000222</v>
      </c>
      <c r="Q393">
        <v>1127.55078125</v>
      </c>
      <c r="R393" s="40">
        <f t="shared" si="76"/>
        <v>0.85449219000111043</v>
      </c>
      <c r="S393">
        <v>2773.56005859375</v>
      </c>
      <c r="T393" s="40">
        <f t="shared" si="77"/>
        <v>106.4453125</v>
      </c>
      <c r="U393">
        <v>34.686450958252003</v>
      </c>
      <c r="V393" s="33">
        <f t="shared" si="85"/>
        <v>3.1776428221945707</v>
      </c>
      <c r="W393">
        <v>231.32521057128901</v>
      </c>
      <c r="X393" s="90">
        <f t="shared" si="86"/>
        <v>9.2010498050001388</v>
      </c>
    </row>
    <row r="394" spans="1:24" x14ac:dyDescent="0.25">
      <c r="A394" s="8">
        <v>42446.291666666664</v>
      </c>
      <c r="B394" s="40">
        <f t="shared" si="78"/>
        <v>7</v>
      </c>
      <c r="C394" s="87">
        <v>55.498767852783203</v>
      </c>
      <c r="D394" s="85">
        <f t="shared" si="79"/>
        <v>0</v>
      </c>
      <c r="E394">
        <v>82.311073303222699</v>
      </c>
      <c r="F394" s="85">
        <f t="shared" si="80"/>
        <v>1.8768310546022349</v>
      </c>
      <c r="G394">
        <v>169.73928833007801</v>
      </c>
      <c r="H394" s="86">
        <f t="shared" si="81"/>
        <v>8.4228515629831691</v>
      </c>
      <c r="I394">
        <v>129.52737426757801</v>
      </c>
      <c r="J394" s="86">
        <f t="shared" si="82"/>
        <v>7.32421875</v>
      </c>
      <c r="K394">
        <v>195.057861328125</v>
      </c>
      <c r="L394" s="86">
        <f t="shared" si="83"/>
        <v>15.335083008011452</v>
      </c>
      <c r="M394">
        <v>221.70172119140599</v>
      </c>
      <c r="N394" s="86">
        <f t="shared" si="84"/>
        <v>15.274047852017247</v>
      </c>
      <c r="O394">
        <v>1514.94946289063</v>
      </c>
      <c r="P394" s="40">
        <f t="shared" si="75"/>
        <v>111.08398436999778</v>
      </c>
      <c r="Q394">
        <v>1127.55163574219</v>
      </c>
      <c r="R394" s="40">
        <f t="shared" si="76"/>
        <v>0.73242186999777914</v>
      </c>
      <c r="S394">
        <v>2773.66650390625</v>
      </c>
      <c r="T394" s="40">
        <f t="shared" si="77"/>
        <v>36.1328125</v>
      </c>
      <c r="U394">
        <v>34.689628601074197</v>
      </c>
      <c r="V394" s="33">
        <f t="shared" si="85"/>
        <v>3.3187866211008554</v>
      </c>
      <c r="W394">
        <v>231.33441162109401</v>
      </c>
      <c r="X394" s="90">
        <f t="shared" si="86"/>
        <v>11.871337889999722</v>
      </c>
    </row>
    <row r="395" spans="1:24" x14ac:dyDescent="0.25">
      <c r="A395" s="8">
        <v>42446.333333333336</v>
      </c>
      <c r="B395" s="40">
        <f t="shared" si="78"/>
        <v>8</v>
      </c>
      <c r="C395" s="87">
        <v>55.498767852783203</v>
      </c>
      <c r="D395" s="85">
        <f t="shared" si="79"/>
        <v>0</v>
      </c>
      <c r="E395">
        <v>82.312950134277301</v>
      </c>
      <c r="F395" s="85">
        <f t="shared" si="80"/>
        <v>0</v>
      </c>
      <c r="G395">
        <v>169.74771118164099</v>
      </c>
      <c r="H395" s="86">
        <f t="shared" si="81"/>
        <v>8.2855224609943434</v>
      </c>
      <c r="I395">
        <v>129.53469848632801</v>
      </c>
      <c r="J395" s="86">
        <f t="shared" si="82"/>
        <v>7.0953369139772349</v>
      </c>
      <c r="K395">
        <v>195.07319641113301</v>
      </c>
      <c r="L395" s="86">
        <f t="shared" si="83"/>
        <v>15.319824218977374</v>
      </c>
      <c r="M395">
        <v>221.71699523925801</v>
      </c>
      <c r="N395" s="86">
        <f t="shared" si="84"/>
        <v>15.289306639999722</v>
      </c>
      <c r="O395">
        <v>1515.060546875</v>
      </c>
      <c r="P395" s="40">
        <f t="shared" si="75"/>
        <v>111.328125</v>
      </c>
      <c r="Q395">
        <v>1127.55236816406</v>
      </c>
      <c r="R395" s="40">
        <f t="shared" si="76"/>
        <v>0.73242188000222086</v>
      </c>
      <c r="S395">
        <v>2773.70263671875</v>
      </c>
      <c r="T395" s="40">
        <f t="shared" si="77"/>
        <v>0.73242188000222086</v>
      </c>
      <c r="U395">
        <v>34.692947387695298</v>
      </c>
      <c r="V395" s="33">
        <f t="shared" si="85"/>
        <v>3.3035278320028283</v>
      </c>
      <c r="W395">
        <v>231.34628295898401</v>
      </c>
      <c r="X395" s="90">
        <f t="shared" si="86"/>
        <v>18.005371094005795</v>
      </c>
    </row>
    <row r="396" spans="1:24" x14ac:dyDescent="0.25">
      <c r="A396" s="8">
        <v>42446.375</v>
      </c>
      <c r="B396" s="40">
        <f t="shared" si="78"/>
        <v>9</v>
      </c>
      <c r="C396" s="87">
        <v>55.498767852783203</v>
      </c>
      <c r="D396" s="85">
        <f t="shared" si="79"/>
        <v>0</v>
      </c>
      <c r="E396">
        <v>82.312950134277301</v>
      </c>
      <c r="F396" s="85">
        <f t="shared" si="80"/>
        <v>0</v>
      </c>
      <c r="G396">
        <v>169.75599670410199</v>
      </c>
      <c r="H396" s="86">
        <f t="shared" si="81"/>
        <v>8.2855224610227651</v>
      </c>
      <c r="I396">
        <v>129.54179382324199</v>
      </c>
      <c r="J396" s="86">
        <f t="shared" si="82"/>
        <v>7.2326660160229039</v>
      </c>
      <c r="K396">
        <v>195.08851623535199</v>
      </c>
      <c r="L396" s="86">
        <f t="shared" si="83"/>
        <v>15.350341796022349</v>
      </c>
      <c r="M396">
        <v>221.73228454589801</v>
      </c>
      <c r="N396" s="86">
        <f t="shared" si="84"/>
        <v>15.213012695994621</v>
      </c>
      <c r="O396">
        <v>1515.171875</v>
      </c>
      <c r="P396" s="40">
        <f t="shared" si="75"/>
        <v>111.57226563000222</v>
      </c>
      <c r="Q396">
        <v>1127.55310058594</v>
      </c>
      <c r="R396" s="40">
        <f t="shared" si="76"/>
        <v>0.73242186999777914</v>
      </c>
      <c r="S396">
        <v>2773.70336914063</v>
      </c>
      <c r="T396" s="40">
        <f t="shared" si="77"/>
        <v>0.73242186999777914</v>
      </c>
      <c r="U396">
        <v>34.696250915527301</v>
      </c>
      <c r="V396" s="33">
        <f t="shared" si="85"/>
        <v>3.2882690429971717</v>
      </c>
      <c r="W396">
        <v>231.36428833007801</v>
      </c>
      <c r="X396" s="90">
        <f t="shared" si="86"/>
        <v>18.50891113298303</v>
      </c>
    </row>
    <row r="397" spans="1:24" x14ac:dyDescent="0.25">
      <c r="A397" s="8">
        <v>42446.416666666664</v>
      </c>
      <c r="B397" s="40">
        <f t="shared" si="78"/>
        <v>10</v>
      </c>
      <c r="C397" s="87">
        <v>55.498767852783203</v>
      </c>
      <c r="D397" s="85">
        <f t="shared" si="79"/>
        <v>0</v>
      </c>
      <c r="E397">
        <v>82.312950134277301</v>
      </c>
      <c r="F397" s="85">
        <f t="shared" si="80"/>
        <v>0</v>
      </c>
      <c r="G397">
        <v>169.76428222656301</v>
      </c>
      <c r="H397" s="86">
        <f t="shared" si="81"/>
        <v>8.270263670993927</v>
      </c>
      <c r="I397">
        <v>129.54902648925801</v>
      </c>
      <c r="J397" s="86">
        <f t="shared" si="82"/>
        <v>7.1868896479827526</v>
      </c>
      <c r="K397">
        <v>195.10386657714801</v>
      </c>
      <c r="L397" s="86">
        <f t="shared" si="83"/>
        <v>15.289306640994482</v>
      </c>
      <c r="M397">
        <v>221.74749755859401</v>
      </c>
      <c r="N397" s="86">
        <f t="shared" si="84"/>
        <v>14.938354491988548</v>
      </c>
      <c r="O397">
        <v>1515.28344726563</v>
      </c>
      <c r="P397" s="40">
        <f t="shared" si="75"/>
        <v>111.81640625</v>
      </c>
      <c r="Q397">
        <v>1127.55383300781</v>
      </c>
      <c r="R397" s="40">
        <f t="shared" si="76"/>
        <v>0.73242188000222086</v>
      </c>
      <c r="S397">
        <v>2773.7041015625</v>
      </c>
      <c r="T397" s="40">
        <f t="shared" si="77"/>
        <v>0.9765625</v>
      </c>
      <c r="U397">
        <v>34.699539184570298</v>
      </c>
      <c r="V397" s="33">
        <f t="shared" si="85"/>
        <v>3.3721923827982891</v>
      </c>
      <c r="W397">
        <v>231.38279724121099</v>
      </c>
      <c r="X397" s="90">
        <f t="shared" si="86"/>
        <v>19.149780273011174</v>
      </c>
    </row>
    <row r="398" spans="1:24" x14ac:dyDescent="0.25">
      <c r="A398" s="8">
        <v>42446.458333333336</v>
      </c>
      <c r="B398" s="40">
        <f t="shared" si="78"/>
        <v>11</v>
      </c>
      <c r="C398" s="87">
        <v>55.498767852783203</v>
      </c>
      <c r="D398" s="85">
        <f t="shared" si="79"/>
        <v>0</v>
      </c>
      <c r="E398">
        <v>82.312950134277301</v>
      </c>
      <c r="F398" s="85">
        <f t="shared" si="80"/>
        <v>0</v>
      </c>
      <c r="G398">
        <v>169.77255249023401</v>
      </c>
      <c r="H398" s="86">
        <f t="shared" si="81"/>
        <v>8.2244873050001388</v>
      </c>
      <c r="I398">
        <v>129.55621337890599</v>
      </c>
      <c r="J398" s="86">
        <f t="shared" si="82"/>
        <v>7.1716308600002776</v>
      </c>
      <c r="K398">
        <v>195.11915588378901</v>
      </c>
      <c r="L398" s="86">
        <f t="shared" si="83"/>
        <v>15.33508300798303</v>
      </c>
      <c r="M398">
        <v>221.76243591308599</v>
      </c>
      <c r="N398" s="86">
        <f t="shared" si="84"/>
        <v>15.197753905994205</v>
      </c>
      <c r="O398">
        <v>1515.39526367188</v>
      </c>
      <c r="P398" s="40">
        <f t="shared" si="75"/>
        <v>110.83984375</v>
      </c>
      <c r="Q398">
        <v>1127.55456542969</v>
      </c>
      <c r="R398" s="40">
        <f t="shared" si="76"/>
        <v>0.9765625</v>
      </c>
      <c r="S398">
        <v>2773.705078125</v>
      </c>
      <c r="T398" s="40">
        <f t="shared" si="77"/>
        <v>0.48828125</v>
      </c>
      <c r="U398">
        <v>34.702911376953097</v>
      </c>
      <c r="V398" s="33">
        <f t="shared" si="85"/>
        <v>3.3378601074005587</v>
      </c>
      <c r="W398">
        <v>231.40194702148401</v>
      </c>
      <c r="X398" s="90">
        <f t="shared" si="86"/>
        <v>19.119262695994621</v>
      </c>
    </row>
    <row r="399" spans="1:24" x14ac:dyDescent="0.25">
      <c r="A399" s="8">
        <v>42446.5</v>
      </c>
      <c r="B399" s="40">
        <f t="shared" si="78"/>
        <v>12</v>
      </c>
      <c r="C399" s="87">
        <v>55.498767852783203</v>
      </c>
      <c r="D399" s="85">
        <f t="shared" si="79"/>
        <v>0</v>
      </c>
      <c r="E399">
        <v>82.312950134277301</v>
      </c>
      <c r="F399" s="85">
        <f t="shared" si="80"/>
        <v>0</v>
      </c>
      <c r="G399">
        <v>169.78077697753901</v>
      </c>
      <c r="H399" s="86">
        <f t="shared" si="81"/>
        <v>8.1634521490059342</v>
      </c>
      <c r="I399">
        <v>129.56338500976599</v>
      </c>
      <c r="J399" s="86">
        <f t="shared" si="82"/>
        <v>7.1868896480111744</v>
      </c>
      <c r="K399">
        <v>195.13449096679699</v>
      </c>
      <c r="L399" s="86">
        <f t="shared" si="83"/>
        <v>14.999389648011174</v>
      </c>
      <c r="M399">
        <v>221.77763366699199</v>
      </c>
      <c r="N399" s="86">
        <f t="shared" si="84"/>
        <v>15.167236328011313</v>
      </c>
      <c r="O399">
        <v>1515.50610351563</v>
      </c>
      <c r="P399" s="40">
        <f t="shared" si="75"/>
        <v>112.91503905999889</v>
      </c>
      <c r="Q399">
        <v>1127.55554199219</v>
      </c>
      <c r="R399" s="40">
        <f t="shared" si="76"/>
        <v>0.61035155999888957</v>
      </c>
      <c r="S399">
        <v>2773.70556640625</v>
      </c>
      <c r="T399" s="40">
        <f t="shared" si="77"/>
        <v>0.73242188000222086</v>
      </c>
      <c r="U399">
        <v>34.706249237060497</v>
      </c>
      <c r="V399" s="33">
        <f t="shared" si="85"/>
        <v>3.2997131348011521</v>
      </c>
      <c r="W399">
        <v>231.42106628418</v>
      </c>
      <c r="X399" s="90">
        <f t="shared" si="86"/>
        <v>19.699096679005379</v>
      </c>
    </row>
    <row r="400" spans="1:24" x14ac:dyDescent="0.25">
      <c r="A400" s="8">
        <v>42446.541666666664</v>
      </c>
      <c r="B400" s="40">
        <f t="shared" si="78"/>
        <v>13</v>
      </c>
      <c r="C400" s="87">
        <v>55.498767852783203</v>
      </c>
      <c r="D400" s="85">
        <f t="shared" si="79"/>
        <v>0</v>
      </c>
      <c r="E400">
        <v>82.312950134277301</v>
      </c>
      <c r="F400" s="85">
        <f t="shared" si="80"/>
        <v>4.7988891601988826</v>
      </c>
      <c r="G400">
        <v>169.78894042968801</v>
      </c>
      <c r="H400" s="86">
        <f t="shared" si="81"/>
        <v>8.6975097649997224</v>
      </c>
      <c r="I400">
        <v>129.57057189941401</v>
      </c>
      <c r="J400" s="86">
        <f t="shared" si="82"/>
        <v>7.4462890629831691</v>
      </c>
      <c r="K400">
        <v>195.149490356445</v>
      </c>
      <c r="L400" s="86">
        <f t="shared" si="83"/>
        <v>15.304565430000139</v>
      </c>
      <c r="M400">
        <v>221.79280090332</v>
      </c>
      <c r="N400" s="86">
        <f t="shared" si="84"/>
        <v>15.213012695994621</v>
      </c>
      <c r="O400">
        <v>1515.61901855469</v>
      </c>
      <c r="P400" s="40">
        <f t="shared" si="75"/>
        <v>110.10742186999778</v>
      </c>
      <c r="Q400">
        <v>1127.55615234375</v>
      </c>
      <c r="R400" s="40">
        <f t="shared" si="76"/>
        <v>0.85449219000111043</v>
      </c>
      <c r="S400">
        <v>2773.70629882813</v>
      </c>
      <c r="T400" s="40">
        <f t="shared" si="77"/>
        <v>96.923828119997779</v>
      </c>
      <c r="U400">
        <v>34.709548950195298</v>
      </c>
      <c r="V400" s="33">
        <f t="shared" si="85"/>
        <v>3.2920837401988479</v>
      </c>
      <c r="W400">
        <v>231.44076538085901</v>
      </c>
      <c r="X400" s="90">
        <f t="shared" si="86"/>
        <v>19.668579101988826</v>
      </c>
    </row>
    <row r="401" spans="1:24" x14ac:dyDescent="0.25">
      <c r="A401" s="8">
        <v>42446.583333333336</v>
      </c>
      <c r="B401" s="40">
        <f t="shared" si="78"/>
        <v>14</v>
      </c>
      <c r="C401" s="87">
        <v>55.498767852783203</v>
      </c>
      <c r="D401" s="85">
        <f t="shared" si="79"/>
        <v>0</v>
      </c>
      <c r="E401">
        <v>82.3177490234375</v>
      </c>
      <c r="F401" s="85">
        <f t="shared" si="80"/>
        <v>5.59234619140625</v>
      </c>
      <c r="G401">
        <v>169.79763793945301</v>
      </c>
      <c r="H401" s="86">
        <f t="shared" si="81"/>
        <v>8.590698241988548</v>
      </c>
      <c r="I401">
        <v>129.57801818847699</v>
      </c>
      <c r="J401" s="86">
        <f t="shared" si="82"/>
        <v>7.5531005860227651</v>
      </c>
      <c r="K401">
        <v>195.164794921875</v>
      </c>
      <c r="L401" s="86">
        <f t="shared" si="83"/>
        <v>15.441894530994205</v>
      </c>
      <c r="M401">
        <v>221.80801391601599</v>
      </c>
      <c r="N401" s="86">
        <f t="shared" si="84"/>
        <v>15.350341797017109</v>
      </c>
      <c r="O401">
        <v>1515.72912597656</v>
      </c>
      <c r="P401" s="40">
        <f t="shared" si="75"/>
        <v>111.20605469000111</v>
      </c>
      <c r="Q401">
        <v>1127.55700683594</v>
      </c>
      <c r="R401" s="40">
        <f t="shared" si="76"/>
        <v>0.85449219000111043</v>
      </c>
      <c r="S401">
        <v>2773.80322265625</v>
      </c>
      <c r="T401" s="40">
        <f t="shared" si="77"/>
        <v>117.67578125</v>
      </c>
      <c r="U401">
        <v>34.712841033935497</v>
      </c>
      <c r="V401" s="33">
        <f t="shared" si="85"/>
        <v>3.3302307129048359</v>
      </c>
      <c r="W401">
        <v>231.46043395996099</v>
      </c>
      <c r="X401" s="90">
        <f t="shared" si="86"/>
        <v>19.638061523011174</v>
      </c>
    </row>
    <row r="402" spans="1:24" x14ac:dyDescent="0.25">
      <c r="A402" s="8">
        <v>42446.625</v>
      </c>
      <c r="B402" s="40">
        <f t="shared" si="78"/>
        <v>15</v>
      </c>
      <c r="C402" s="87">
        <v>55.498767852783203</v>
      </c>
      <c r="D402" s="85">
        <f t="shared" si="79"/>
        <v>1.5258789098027137E-2</v>
      </c>
      <c r="E402">
        <v>82.323341369628906</v>
      </c>
      <c r="F402" s="85">
        <f t="shared" si="80"/>
        <v>5.5923461913920391</v>
      </c>
      <c r="G402">
        <v>169.806228637695</v>
      </c>
      <c r="H402" s="86">
        <f t="shared" si="81"/>
        <v>8.6517333990059342</v>
      </c>
      <c r="I402">
        <v>129.58557128906301</v>
      </c>
      <c r="J402" s="86">
        <f t="shared" si="82"/>
        <v>7.537841795993927</v>
      </c>
      <c r="K402">
        <v>195.18023681640599</v>
      </c>
      <c r="L402" s="86">
        <f t="shared" si="83"/>
        <v>15.350341797017109</v>
      </c>
      <c r="M402">
        <v>221.82336425781301</v>
      </c>
      <c r="N402" s="86">
        <f t="shared" si="84"/>
        <v>14.999389647982753</v>
      </c>
      <c r="O402">
        <v>1515.84033203125</v>
      </c>
      <c r="P402" s="40">
        <f t="shared" si="75"/>
        <v>112.67089844000111</v>
      </c>
      <c r="Q402">
        <v>1127.55786132813</v>
      </c>
      <c r="R402" s="40">
        <f t="shared" si="76"/>
        <v>0.85449217999666871</v>
      </c>
      <c r="S402">
        <v>2773.9208984375</v>
      </c>
      <c r="T402" s="40">
        <f t="shared" si="77"/>
        <v>115.96679688000222</v>
      </c>
      <c r="U402">
        <v>34.716171264648402</v>
      </c>
      <c r="V402" s="33">
        <f t="shared" si="85"/>
        <v>3.3607482911008901</v>
      </c>
      <c r="W402">
        <v>231.48007202148401</v>
      </c>
      <c r="X402" s="90">
        <f t="shared" si="86"/>
        <v>19.24133300798303</v>
      </c>
    </row>
    <row r="403" spans="1:24" x14ac:dyDescent="0.25">
      <c r="A403" s="8">
        <v>42446.666666666664</v>
      </c>
      <c r="B403" s="40">
        <f t="shared" si="78"/>
        <v>16</v>
      </c>
      <c r="C403" s="87">
        <v>55.498783111572301</v>
      </c>
      <c r="D403" s="85">
        <f t="shared" si="79"/>
        <v>0</v>
      </c>
      <c r="E403">
        <v>82.328933715820298</v>
      </c>
      <c r="F403" s="85">
        <f t="shared" si="80"/>
        <v>0.23651123049717171</v>
      </c>
      <c r="G403">
        <v>169.81488037109401</v>
      </c>
      <c r="H403" s="86">
        <f t="shared" si="81"/>
        <v>8.1939697259940658</v>
      </c>
      <c r="I403">
        <v>129.59310913085901</v>
      </c>
      <c r="J403" s="86">
        <f t="shared" si="82"/>
        <v>7.110595704006073</v>
      </c>
      <c r="K403">
        <v>195.19558715820301</v>
      </c>
      <c r="L403" s="86">
        <f t="shared" si="83"/>
        <v>15.213012694999861</v>
      </c>
      <c r="M403">
        <v>221.83836364746099</v>
      </c>
      <c r="N403" s="86">
        <f t="shared" si="84"/>
        <v>15.213012694999861</v>
      </c>
      <c r="O403">
        <v>1515.95300292969</v>
      </c>
      <c r="P403" s="40">
        <f t="shared" si="75"/>
        <v>101.44042969000111</v>
      </c>
      <c r="Q403">
        <v>1127.55871582031</v>
      </c>
      <c r="R403" s="40">
        <f t="shared" si="76"/>
        <v>0.73242188000222086</v>
      </c>
      <c r="S403">
        <v>2774.03686523438</v>
      </c>
      <c r="T403" s="40">
        <f t="shared" si="77"/>
        <v>4.1503906199977791</v>
      </c>
      <c r="U403">
        <v>34.719532012939503</v>
      </c>
      <c r="V403" s="33">
        <f t="shared" si="85"/>
        <v>3.0784606932954262</v>
      </c>
      <c r="W403">
        <v>231.49931335449199</v>
      </c>
      <c r="X403" s="90">
        <f t="shared" si="86"/>
        <v>15.67077636701697</v>
      </c>
    </row>
    <row r="404" spans="1:24" x14ac:dyDescent="0.25">
      <c r="A404" s="8">
        <v>42446.708333333336</v>
      </c>
      <c r="B404" s="40">
        <f t="shared" si="78"/>
        <v>17</v>
      </c>
      <c r="C404" s="87">
        <v>55.498783111572301</v>
      </c>
      <c r="D404" s="85">
        <f t="shared" si="79"/>
        <v>0</v>
      </c>
      <c r="E404">
        <v>82.329170227050795</v>
      </c>
      <c r="F404" s="85">
        <f t="shared" si="80"/>
        <v>3.5095214844034217</v>
      </c>
      <c r="G404">
        <v>169.82307434082</v>
      </c>
      <c r="H404" s="86">
        <f t="shared" si="81"/>
        <v>8.5601806640056566</v>
      </c>
      <c r="I404">
        <v>129.60021972656301</v>
      </c>
      <c r="J404" s="86">
        <f t="shared" si="82"/>
        <v>7.4768066399997224</v>
      </c>
      <c r="K404">
        <v>195.21080017089801</v>
      </c>
      <c r="L404" s="86">
        <f t="shared" si="83"/>
        <v>15.289306640994482</v>
      </c>
      <c r="M404">
        <v>221.85357666015599</v>
      </c>
      <c r="N404" s="86">
        <f t="shared" si="84"/>
        <v>15.304565430000139</v>
      </c>
      <c r="O404">
        <v>1516.05444335938</v>
      </c>
      <c r="P404" s="40">
        <f t="shared" si="75"/>
        <v>111.328125</v>
      </c>
      <c r="Q404">
        <v>1127.55944824219</v>
      </c>
      <c r="R404" s="40">
        <f t="shared" si="76"/>
        <v>0.85449219000111043</v>
      </c>
      <c r="S404">
        <v>2774.041015625</v>
      </c>
      <c r="T404" s="40">
        <f t="shared" si="77"/>
        <v>67.138671880002221</v>
      </c>
      <c r="U404">
        <v>34.722610473632798</v>
      </c>
      <c r="V404" s="33">
        <f t="shared" si="85"/>
        <v>3.2806396485014488</v>
      </c>
      <c r="W404">
        <v>231.51498413085901</v>
      </c>
      <c r="X404" s="90">
        <f t="shared" si="86"/>
        <v>19.317626954006073</v>
      </c>
    </row>
    <row r="405" spans="1:24" x14ac:dyDescent="0.25">
      <c r="A405" s="8">
        <v>42446.75</v>
      </c>
      <c r="B405" s="40">
        <f t="shared" si="78"/>
        <v>18</v>
      </c>
      <c r="C405" s="87">
        <v>55.498783111572301</v>
      </c>
      <c r="D405" s="85">
        <f t="shared" si="79"/>
        <v>0</v>
      </c>
      <c r="E405">
        <v>82.332679748535199</v>
      </c>
      <c r="F405" s="85">
        <f t="shared" si="80"/>
        <v>5.5999755858948674</v>
      </c>
      <c r="G405">
        <v>169.83163452148401</v>
      </c>
      <c r="H405" s="86">
        <f t="shared" si="81"/>
        <v>8.8043212890056566</v>
      </c>
      <c r="I405">
        <v>129.60769653320301</v>
      </c>
      <c r="J405" s="86">
        <f t="shared" si="82"/>
        <v>7.614135741988548</v>
      </c>
      <c r="K405">
        <v>195.22608947753901</v>
      </c>
      <c r="L405" s="86">
        <f t="shared" si="83"/>
        <v>15.274047851988826</v>
      </c>
      <c r="M405">
        <v>221.86888122558599</v>
      </c>
      <c r="N405" s="86">
        <f t="shared" si="84"/>
        <v>15.029907227017247</v>
      </c>
      <c r="O405">
        <v>1516.16577148438</v>
      </c>
      <c r="P405" s="40">
        <f t="shared" si="75"/>
        <v>110.83984375</v>
      </c>
      <c r="Q405">
        <v>1127.56030273438</v>
      </c>
      <c r="R405" s="40">
        <f t="shared" si="76"/>
        <v>0.85449217999666871</v>
      </c>
      <c r="S405">
        <v>2774.10815429688</v>
      </c>
      <c r="T405" s="40">
        <f t="shared" si="77"/>
        <v>111.328125</v>
      </c>
      <c r="U405">
        <v>34.7258911132813</v>
      </c>
      <c r="V405" s="33">
        <f t="shared" si="85"/>
        <v>3.3187866210013794</v>
      </c>
      <c r="W405">
        <v>231.53430175781301</v>
      </c>
      <c r="X405" s="90">
        <f t="shared" si="86"/>
        <v>18.99719238198827</v>
      </c>
    </row>
    <row r="406" spans="1:24" x14ac:dyDescent="0.25">
      <c r="A406" s="8">
        <v>42446.791666666664</v>
      </c>
      <c r="B406" s="40">
        <f t="shared" si="78"/>
        <v>19</v>
      </c>
      <c r="C406" s="87">
        <v>55.498783111572301</v>
      </c>
      <c r="D406" s="85">
        <f t="shared" si="79"/>
        <v>7.6293944957228632E-3</v>
      </c>
      <c r="E406">
        <v>82.338279724121094</v>
      </c>
      <c r="F406" s="85">
        <f t="shared" si="80"/>
        <v>5.1116943359090783</v>
      </c>
      <c r="G406">
        <v>169.84043884277301</v>
      </c>
      <c r="H406" s="86">
        <f t="shared" si="81"/>
        <v>8.544921875</v>
      </c>
      <c r="I406">
        <v>129.615310668945</v>
      </c>
      <c r="J406" s="86">
        <f t="shared" si="82"/>
        <v>7.6904296880115908</v>
      </c>
      <c r="K406">
        <v>195.24136352539099</v>
      </c>
      <c r="L406" s="86">
        <f t="shared" si="83"/>
        <v>14.953613280994205</v>
      </c>
      <c r="M406">
        <v>221.88391113281301</v>
      </c>
      <c r="N406" s="86">
        <f t="shared" si="84"/>
        <v>14.862060545993927</v>
      </c>
      <c r="O406">
        <v>1516.27661132813</v>
      </c>
      <c r="P406" s="40">
        <f t="shared" si="75"/>
        <v>93.505859369997779</v>
      </c>
      <c r="Q406">
        <v>1127.56115722656</v>
      </c>
      <c r="R406" s="40">
        <f t="shared" si="76"/>
        <v>0.73242188000222086</v>
      </c>
      <c r="S406">
        <v>2774.21948242188</v>
      </c>
      <c r="T406" s="40">
        <f t="shared" si="77"/>
        <v>190.91796875</v>
      </c>
      <c r="U406">
        <v>34.729209899902301</v>
      </c>
      <c r="V406" s="33">
        <f t="shared" si="85"/>
        <v>3.0899047851988826</v>
      </c>
      <c r="W406">
        <v>231.553298950195</v>
      </c>
      <c r="X406" s="90">
        <f t="shared" si="86"/>
        <v>17.13562011801173</v>
      </c>
    </row>
    <row r="407" spans="1:24" x14ac:dyDescent="0.25">
      <c r="A407" s="8">
        <v>42446.833333333336</v>
      </c>
      <c r="B407" s="40">
        <f t="shared" si="78"/>
        <v>20</v>
      </c>
      <c r="C407" s="87">
        <v>55.498790740966797</v>
      </c>
      <c r="D407" s="85">
        <f t="shared" si="79"/>
        <v>1.1444091803980427E-2</v>
      </c>
      <c r="E407">
        <v>82.343391418457003</v>
      </c>
      <c r="F407" s="85">
        <f t="shared" si="80"/>
        <v>5.5770874024005934</v>
      </c>
      <c r="G407">
        <v>169.84898376464801</v>
      </c>
      <c r="H407" s="86">
        <f t="shared" si="81"/>
        <v>8.6517333989775125</v>
      </c>
      <c r="I407">
        <v>129.62300109863301</v>
      </c>
      <c r="J407" s="86">
        <f t="shared" si="82"/>
        <v>7.6904296869884092</v>
      </c>
      <c r="K407">
        <v>195.25631713867199</v>
      </c>
      <c r="L407" s="86">
        <f t="shared" si="83"/>
        <v>14.831542969005795</v>
      </c>
      <c r="M407">
        <v>221.89877319335901</v>
      </c>
      <c r="N407" s="86">
        <f t="shared" si="84"/>
        <v>14.663696289005657</v>
      </c>
      <c r="O407">
        <v>1516.3701171875</v>
      </c>
      <c r="P407" s="40">
        <f t="shared" si="75"/>
        <v>109.13085938000222</v>
      </c>
      <c r="Q407">
        <v>1127.56188964844</v>
      </c>
      <c r="R407" s="40">
        <f t="shared" si="76"/>
        <v>0.85449219000111043</v>
      </c>
      <c r="S407">
        <v>2774.41040039063</v>
      </c>
      <c r="T407" s="40">
        <f t="shared" si="77"/>
        <v>231.20117186999778</v>
      </c>
      <c r="U407">
        <v>34.7322998046875</v>
      </c>
      <c r="V407" s="33">
        <f t="shared" si="85"/>
        <v>3.1814575195028283</v>
      </c>
      <c r="W407">
        <v>231.57043457031301</v>
      </c>
      <c r="X407" s="90">
        <f t="shared" si="86"/>
        <v>16.571044920993927</v>
      </c>
    </row>
    <row r="408" spans="1:24" x14ac:dyDescent="0.25">
      <c r="A408" s="8">
        <v>42446.875</v>
      </c>
      <c r="B408" s="40">
        <f t="shared" si="78"/>
        <v>21</v>
      </c>
      <c r="C408" s="87">
        <v>55.498802185058601</v>
      </c>
      <c r="D408" s="85">
        <f t="shared" si="79"/>
        <v>7.6293944957228632E-3</v>
      </c>
      <c r="E408">
        <v>82.348968505859403</v>
      </c>
      <c r="F408" s="85">
        <f t="shared" si="80"/>
        <v>5.5694580077982891</v>
      </c>
      <c r="G408">
        <v>169.85763549804699</v>
      </c>
      <c r="H408" s="86">
        <f t="shared" si="81"/>
        <v>8.6135864254970329</v>
      </c>
      <c r="I408">
        <v>129.63069152832</v>
      </c>
      <c r="J408" s="86">
        <f t="shared" si="82"/>
        <v>7.6751708990059342</v>
      </c>
      <c r="K408">
        <v>195.27114868164099</v>
      </c>
      <c r="L408" s="86">
        <f t="shared" si="83"/>
        <v>14.69421386701697</v>
      </c>
      <c r="M408">
        <v>221.91343688964801</v>
      </c>
      <c r="N408" s="86">
        <f t="shared" si="84"/>
        <v>14.770507812983169</v>
      </c>
      <c r="O408">
        <v>1516.47924804688</v>
      </c>
      <c r="P408" s="40">
        <f t="shared" si="75"/>
        <v>112.3046875</v>
      </c>
      <c r="Q408">
        <v>1127.56274414063</v>
      </c>
      <c r="R408" s="40">
        <f t="shared" si="76"/>
        <v>0.85449217999666871</v>
      </c>
      <c r="S408">
        <v>2774.6416015625</v>
      </c>
      <c r="T408" s="40">
        <f t="shared" si="77"/>
        <v>214.35546875</v>
      </c>
      <c r="U408">
        <v>34.735481262207003</v>
      </c>
      <c r="V408" s="33">
        <f t="shared" si="85"/>
        <v>3.31878662109375</v>
      </c>
      <c r="W408">
        <v>231.58700561523401</v>
      </c>
      <c r="X408" s="90">
        <f t="shared" si="86"/>
        <v>15.686035156988964</v>
      </c>
    </row>
    <row r="409" spans="1:24" x14ac:dyDescent="0.25">
      <c r="A409" s="8">
        <v>42446.916666666664</v>
      </c>
      <c r="B409" s="40">
        <f t="shared" si="78"/>
        <v>22</v>
      </c>
      <c r="C409" s="87">
        <v>55.498809814453097</v>
      </c>
      <c r="D409" s="85">
        <f t="shared" si="79"/>
        <v>0</v>
      </c>
      <c r="E409">
        <v>82.354537963867202</v>
      </c>
      <c r="F409" s="85">
        <f t="shared" si="80"/>
        <v>5.5770874023011174</v>
      </c>
      <c r="G409">
        <f>+G408+(G410-G408)/2</f>
        <v>169.86624908447249</v>
      </c>
      <c r="H409" s="86">
        <f t="shared" si="81"/>
        <v>8.6135864255254546</v>
      </c>
      <c r="I409">
        <v>129.63836669921901</v>
      </c>
      <c r="J409" s="86">
        <f t="shared" si="82"/>
        <v>7.568359375</v>
      </c>
      <c r="K409">
        <v>195.28584289550801</v>
      </c>
      <c r="L409" s="86">
        <f t="shared" si="83"/>
        <v>15.319824218977374</v>
      </c>
      <c r="M409">
        <v>221.92820739746099</v>
      </c>
      <c r="N409" s="86">
        <f t="shared" si="84"/>
        <v>15.380859375</v>
      </c>
      <c r="O409">
        <v>1516.59155273438</v>
      </c>
      <c r="P409" s="40">
        <f t="shared" si="75"/>
        <v>110.83984375</v>
      </c>
      <c r="Q409">
        <v>1127.56359863281</v>
      </c>
      <c r="R409" s="40">
        <f t="shared" si="76"/>
        <v>0.73242188000222086</v>
      </c>
      <c r="S409">
        <v>2774.85595703125</v>
      </c>
      <c r="T409" s="40">
        <f t="shared" si="77"/>
        <v>104.73632813000222</v>
      </c>
      <c r="U409">
        <v>34.738800048828097</v>
      </c>
      <c r="V409" s="33">
        <f t="shared" si="85"/>
        <v>3.3416748047017109</v>
      </c>
      <c r="W409">
        <v>231.60269165039099</v>
      </c>
      <c r="X409" s="90">
        <f t="shared" si="86"/>
        <v>15.106201172017109</v>
      </c>
    </row>
    <row r="410" spans="1:24" x14ac:dyDescent="0.25">
      <c r="A410" s="8">
        <v>42446.958333333336</v>
      </c>
      <c r="B410" s="40">
        <f t="shared" si="78"/>
        <v>23</v>
      </c>
      <c r="C410" s="87">
        <v>55.498809814453097</v>
      </c>
      <c r="D410" s="85">
        <f t="shared" si="79"/>
        <v>0</v>
      </c>
      <c r="E410">
        <v>82.360115051269503</v>
      </c>
      <c r="F410" s="85">
        <f t="shared" si="80"/>
        <v>5.63812255859375</v>
      </c>
      <c r="G410">
        <v>169.87486267089801</v>
      </c>
      <c r="H410" s="86">
        <f t="shared" si="81"/>
        <v>8.7738037109943434</v>
      </c>
      <c r="I410">
        <v>129.64593505859401</v>
      </c>
      <c r="J410" s="86">
        <f t="shared" si="82"/>
        <v>7.568359375</v>
      </c>
      <c r="K410">
        <v>195.30116271972699</v>
      </c>
      <c r="L410" s="86">
        <f t="shared" si="83"/>
        <v>15.319824218011036</v>
      </c>
      <c r="M410">
        <v>221.94358825683599</v>
      </c>
      <c r="N410" s="86">
        <f t="shared" si="84"/>
        <v>15.258789062016831</v>
      </c>
      <c r="O410">
        <v>1516.70239257813</v>
      </c>
      <c r="P410" s="40">
        <f t="shared" si="75"/>
        <v>112.06054686999778</v>
      </c>
      <c r="Q410">
        <v>1127.56433105469</v>
      </c>
      <c r="R410" s="40">
        <f t="shared" si="76"/>
        <v>0.9765625</v>
      </c>
      <c r="S410">
        <v>2774.96069335938</v>
      </c>
      <c r="T410" s="40">
        <f t="shared" si="77"/>
        <v>103.515625</v>
      </c>
      <c r="U410">
        <v>34.742141723632798</v>
      </c>
      <c r="V410" s="33">
        <f t="shared" si="85"/>
        <v>3.2806396485014488</v>
      </c>
      <c r="W410">
        <v>231.61779785156301</v>
      </c>
      <c r="X410" s="90">
        <f t="shared" si="86"/>
        <v>13.442993163977235</v>
      </c>
    </row>
    <row r="411" spans="1:24" x14ac:dyDescent="0.25">
      <c r="A411" s="8">
        <v>42447</v>
      </c>
      <c r="B411" s="40">
        <f t="shared" si="78"/>
        <v>0</v>
      </c>
      <c r="C411" s="87">
        <v>55.498809814453097</v>
      </c>
      <c r="D411" s="85">
        <f t="shared" si="79"/>
        <v>1.1444091803980427E-2</v>
      </c>
      <c r="E411">
        <v>82.365753173828097</v>
      </c>
      <c r="F411" s="85">
        <f t="shared" si="80"/>
        <v>5.4855346679971717</v>
      </c>
      <c r="G411">
        <v>169.88363647460901</v>
      </c>
      <c r="H411" s="86">
        <f t="shared" si="81"/>
        <v>8.7280273440057954</v>
      </c>
      <c r="I411">
        <v>129.65350341796901</v>
      </c>
      <c r="J411" s="86">
        <f t="shared" si="82"/>
        <v>7.5988769529828915</v>
      </c>
      <c r="K411">
        <v>195.316482543945</v>
      </c>
      <c r="L411" s="86">
        <f t="shared" si="83"/>
        <v>15.106201171988687</v>
      </c>
      <c r="M411">
        <v>221.95884704589801</v>
      </c>
      <c r="N411" s="86">
        <f t="shared" si="84"/>
        <v>15.228271485000278</v>
      </c>
      <c r="O411">
        <v>1516.814453125</v>
      </c>
      <c r="P411" s="40">
        <f t="shared" si="75"/>
        <v>111.81640625</v>
      </c>
      <c r="Q411">
        <v>1127.56530761719</v>
      </c>
      <c r="R411" s="40">
        <f t="shared" si="76"/>
        <v>0.85449219000111043</v>
      </c>
      <c r="S411">
        <v>2775.06420898438</v>
      </c>
      <c r="T411" s="40">
        <f t="shared" si="77"/>
        <v>101.31835936999778</v>
      </c>
      <c r="U411">
        <v>34.7454223632813</v>
      </c>
      <c r="V411" s="33">
        <f t="shared" si="85"/>
        <v>3.3378601074005587</v>
      </c>
      <c r="W411">
        <v>231.63124084472699</v>
      </c>
      <c r="X411" s="90">
        <f t="shared" si="86"/>
        <v>11.245727539005657</v>
      </c>
    </row>
    <row r="412" spans="1:24" x14ac:dyDescent="0.25">
      <c r="A412" s="8">
        <v>42447.041666666664</v>
      </c>
      <c r="B412" s="40">
        <f t="shared" si="78"/>
        <v>1</v>
      </c>
      <c r="C412" s="87">
        <v>55.498821258544901</v>
      </c>
      <c r="D412" s="85">
        <f t="shared" si="79"/>
        <v>0</v>
      </c>
      <c r="E412">
        <v>82.371238708496094</v>
      </c>
      <c r="F412" s="85">
        <f t="shared" si="80"/>
        <v>5.59234619140625</v>
      </c>
      <c r="G412">
        <v>169.89236450195301</v>
      </c>
      <c r="H412" s="86">
        <f t="shared" si="81"/>
        <v>8.7585449219886868</v>
      </c>
      <c r="I412">
        <v>129.66110229492199</v>
      </c>
      <c r="J412" s="86">
        <f t="shared" si="82"/>
        <v>7.5378417970171085</v>
      </c>
      <c r="K412">
        <v>195.33158874511699</v>
      </c>
      <c r="L412" s="86">
        <f t="shared" si="83"/>
        <v>15.335083008011452</v>
      </c>
      <c r="M412">
        <v>221.97407531738301</v>
      </c>
      <c r="N412" s="86">
        <f t="shared" si="84"/>
        <v>15.060424805000139</v>
      </c>
      <c r="O412">
        <v>1516.92626953125</v>
      </c>
      <c r="P412" s="40">
        <f t="shared" si="75"/>
        <v>111.20605469000111</v>
      </c>
      <c r="Q412">
        <v>1127.56616210938</v>
      </c>
      <c r="R412" s="40">
        <f t="shared" si="76"/>
        <v>0.73242186999777914</v>
      </c>
      <c r="S412">
        <v>2775.16552734375</v>
      </c>
      <c r="T412" s="40">
        <f t="shared" si="77"/>
        <v>101.07421875</v>
      </c>
      <c r="U412">
        <v>34.7487602233887</v>
      </c>
      <c r="V412" s="33">
        <f t="shared" si="85"/>
        <v>3.3874511717968403</v>
      </c>
      <c r="W412">
        <v>231.64248657226599</v>
      </c>
      <c r="X412" s="90">
        <f t="shared" si="86"/>
        <v>10.162353514999722</v>
      </c>
    </row>
    <row r="413" spans="1:24" x14ac:dyDescent="0.25">
      <c r="A413" s="8">
        <v>42447.083333333336</v>
      </c>
      <c r="B413" s="40">
        <f t="shared" si="78"/>
        <v>2</v>
      </c>
      <c r="C413" s="87">
        <v>55.498821258544901</v>
      </c>
      <c r="D413" s="85">
        <f t="shared" si="79"/>
        <v>0</v>
      </c>
      <c r="E413">
        <v>82.3768310546875</v>
      </c>
      <c r="F413" s="85">
        <f t="shared" si="80"/>
        <v>0.62561035160513256</v>
      </c>
      <c r="G413">
        <v>169.901123046875</v>
      </c>
      <c r="H413" s="86">
        <f t="shared" si="81"/>
        <v>8.3160400390056566</v>
      </c>
      <c r="I413">
        <v>129.66864013671901</v>
      </c>
      <c r="J413" s="86">
        <f t="shared" si="82"/>
        <v>7.2021484369884092</v>
      </c>
      <c r="K413">
        <v>195.346923828125</v>
      </c>
      <c r="L413" s="86">
        <f t="shared" si="83"/>
        <v>15.350341796988687</v>
      </c>
      <c r="M413">
        <v>221.98913574218801</v>
      </c>
      <c r="N413" s="86">
        <f t="shared" si="84"/>
        <v>15.304565428976957</v>
      </c>
      <c r="O413">
        <v>1517.03747558594</v>
      </c>
      <c r="P413" s="40">
        <f t="shared" si="75"/>
        <v>110.10742186999778</v>
      </c>
      <c r="Q413">
        <v>1127.56689453125</v>
      </c>
      <c r="R413" s="40">
        <f t="shared" si="76"/>
        <v>0.73242188000222086</v>
      </c>
      <c r="S413">
        <v>2775.2666015625</v>
      </c>
      <c r="T413" s="40">
        <f t="shared" si="77"/>
        <v>6.5917968800022209</v>
      </c>
      <c r="U413">
        <v>34.752147674560497</v>
      </c>
      <c r="V413" s="33">
        <f t="shared" si="85"/>
        <v>3.2615661622017456</v>
      </c>
      <c r="W413">
        <v>231.65264892578099</v>
      </c>
      <c r="X413" s="90">
        <f t="shared" si="86"/>
        <v>9.353637695994621</v>
      </c>
    </row>
    <row r="414" spans="1:24" x14ac:dyDescent="0.25">
      <c r="A414" s="8">
        <v>42447.125</v>
      </c>
      <c r="B414" s="40">
        <f t="shared" si="78"/>
        <v>3</v>
      </c>
      <c r="C414" s="87">
        <v>55.498821258544901</v>
      </c>
      <c r="D414" s="85">
        <f t="shared" si="79"/>
        <v>0</v>
      </c>
      <c r="E414">
        <v>82.377456665039105</v>
      </c>
      <c r="F414" s="85">
        <f t="shared" si="80"/>
        <v>0</v>
      </c>
      <c r="G414">
        <v>169.90943908691401</v>
      </c>
      <c r="H414" s="86">
        <f t="shared" si="81"/>
        <v>8.3312988279828915</v>
      </c>
      <c r="I414">
        <v>129.67584228515599</v>
      </c>
      <c r="J414" s="86">
        <f t="shared" si="82"/>
        <v>7.2326660159944822</v>
      </c>
      <c r="K414">
        <v>195.36227416992199</v>
      </c>
      <c r="L414" s="86">
        <f t="shared" si="83"/>
        <v>15.365600586022765</v>
      </c>
      <c r="M414">
        <v>222.00444030761699</v>
      </c>
      <c r="N414" s="86">
        <f t="shared" si="84"/>
        <v>15.289306641022904</v>
      </c>
      <c r="O414">
        <v>1517.14758300781</v>
      </c>
      <c r="P414" s="40">
        <f t="shared" si="75"/>
        <v>110.3515625</v>
      </c>
      <c r="Q414">
        <v>1127.56762695313</v>
      </c>
      <c r="R414" s="40">
        <f t="shared" si="76"/>
        <v>0.73242186999777914</v>
      </c>
      <c r="S414">
        <v>2775.27319335938</v>
      </c>
      <c r="T414" s="40">
        <f t="shared" si="77"/>
        <v>0.9765625</v>
      </c>
      <c r="U414">
        <v>34.755409240722699</v>
      </c>
      <c r="V414" s="33">
        <f t="shared" si="85"/>
        <v>3.0784606933025316</v>
      </c>
      <c r="W414">
        <v>231.66200256347699</v>
      </c>
      <c r="X414" s="90">
        <f t="shared" si="86"/>
        <v>9.27734375</v>
      </c>
    </row>
    <row r="415" spans="1:24" x14ac:dyDescent="0.25">
      <c r="A415" s="8">
        <v>42447.166666666664</v>
      </c>
      <c r="B415" s="40">
        <f t="shared" si="78"/>
        <v>4</v>
      </c>
      <c r="C415" s="87">
        <v>55.498821258544901</v>
      </c>
      <c r="D415" s="85">
        <f t="shared" si="79"/>
        <v>0</v>
      </c>
      <c r="E415">
        <v>82.377456665039105</v>
      </c>
      <c r="F415" s="85">
        <f t="shared" si="80"/>
        <v>0</v>
      </c>
      <c r="G415">
        <v>169.91777038574199</v>
      </c>
      <c r="H415" s="86">
        <f t="shared" si="81"/>
        <v>8.30078125</v>
      </c>
      <c r="I415">
        <v>129.68307495117199</v>
      </c>
      <c r="J415" s="86">
        <f t="shared" si="82"/>
        <v>7.278442383011452</v>
      </c>
      <c r="K415">
        <v>195.37763977050801</v>
      </c>
      <c r="L415" s="86">
        <f t="shared" si="83"/>
        <v>15.457153319999861</v>
      </c>
      <c r="M415">
        <v>222.01972961425801</v>
      </c>
      <c r="N415" s="86">
        <f t="shared" si="84"/>
        <v>15.319824218977374</v>
      </c>
      <c r="O415">
        <v>1517.25793457031</v>
      </c>
      <c r="P415" s="40">
        <f t="shared" si="75"/>
        <v>109.74121094000111</v>
      </c>
      <c r="Q415">
        <v>1127.568359375</v>
      </c>
      <c r="R415" s="40">
        <f t="shared" si="76"/>
        <v>0.85449219000111043</v>
      </c>
      <c r="S415">
        <v>2775.27416992188</v>
      </c>
      <c r="T415" s="40">
        <f t="shared" si="77"/>
        <v>0.73242186999777914</v>
      </c>
      <c r="U415">
        <v>34.758487701416001</v>
      </c>
      <c r="V415" s="33">
        <f t="shared" si="85"/>
        <v>3.0822753905965783</v>
      </c>
      <c r="W415">
        <v>231.67127990722699</v>
      </c>
      <c r="X415" s="90">
        <f t="shared" si="86"/>
        <v>8.7738037110227651</v>
      </c>
    </row>
    <row r="416" spans="1:24" x14ac:dyDescent="0.25">
      <c r="A416" s="8">
        <v>42447.208333333336</v>
      </c>
      <c r="B416" s="40">
        <f t="shared" si="78"/>
        <v>5</v>
      </c>
      <c r="C416" s="87">
        <v>55.498821258544901</v>
      </c>
      <c r="D416" s="85">
        <f t="shared" si="79"/>
        <v>0</v>
      </c>
      <c r="E416">
        <v>82.377456665039105</v>
      </c>
      <c r="F416" s="85">
        <f t="shared" si="80"/>
        <v>0.57220458980111744</v>
      </c>
      <c r="G416">
        <v>169.92607116699199</v>
      </c>
      <c r="H416" s="86">
        <f t="shared" si="81"/>
        <v>8.4075927740059342</v>
      </c>
      <c r="I416">
        <v>129.690353393555</v>
      </c>
      <c r="J416" s="86">
        <f t="shared" si="82"/>
        <v>7.2631835930110356</v>
      </c>
      <c r="K416">
        <v>195.39309692382801</v>
      </c>
      <c r="L416" s="86">
        <f t="shared" si="83"/>
        <v>15.106201171988687</v>
      </c>
      <c r="M416">
        <v>222.03504943847699</v>
      </c>
      <c r="N416" s="86">
        <f t="shared" si="84"/>
        <v>15.029907226022488</v>
      </c>
      <c r="O416">
        <v>1517.36767578125</v>
      </c>
      <c r="P416" s="40">
        <f t="shared" si="75"/>
        <v>107.91015625</v>
      </c>
      <c r="Q416">
        <v>1127.56921386719</v>
      </c>
      <c r="R416" s="40">
        <f t="shared" si="76"/>
        <v>0.61035155999888957</v>
      </c>
      <c r="S416">
        <v>2775.27490234375</v>
      </c>
      <c r="T416" s="40">
        <f t="shared" si="77"/>
        <v>5.37109375</v>
      </c>
      <c r="U416">
        <v>34.761569976806598</v>
      </c>
      <c r="V416" s="33">
        <f t="shared" si="85"/>
        <v>3.0021667481037184</v>
      </c>
      <c r="W416">
        <v>231.68005371093801</v>
      </c>
      <c r="X416" s="90">
        <f t="shared" si="86"/>
        <v>8.346557616988548</v>
      </c>
    </row>
    <row r="417" spans="1:24" x14ac:dyDescent="0.25">
      <c r="A417" s="8">
        <v>42447.25</v>
      </c>
      <c r="B417" s="40">
        <f t="shared" si="78"/>
        <v>6</v>
      </c>
      <c r="C417" s="87">
        <v>55.498821258544901</v>
      </c>
      <c r="D417" s="85">
        <f t="shared" si="79"/>
        <v>0</v>
      </c>
      <c r="E417">
        <v>82.378028869628906</v>
      </c>
      <c r="F417" s="85">
        <f t="shared" si="80"/>
        <v>5.5847167968892109</v>
      </c>
      <c r="G417">
        <v>169.93447875976599</v>
      </c>
      <c r="H417" s="86">
        <f t="shared" si="81"/>
        <v>8.6669921870168309</v>
      </c>
      <c r="I417">
        <v>129.69761657714801</v>
      </c>
      <c r="J417" s="86">
        <f t="shared" si="82"/>
        <v>7.6904296879831691</v>
      </c>
      <c r="K417">
        <v>195.408203125</v>
      </c>
      <c r="L417" s="86">
        <f t="shared" si="83"/>
        <v>15.319824219005795</v>
      </c>
      <c r="M417">
        <v>222.05007934570301</v>
      </c>
      <c r="N417" s="86">
        <f t="shared" si="84"/>
        <v>15.228271485000278</v>
      </c>
      <c r="O417">
        <v>1517.4755859375</v>
      </c>
      <c r="P417" s="40">
        <f t="shared" si="75"/>
        <v>110.96191405999889</v>
      </c>
      <c r="Q417">
        <v>1127.56982421875</v>
      </c>
      <c r="R417" s="40">
        <f t="shared" si="76"/>
        <v>0.9765625</v>
      </c>
      <c r="S417">
        <v>2775.2802734375</v>
      </c>
      <c r="T417" s="40">
        <f t="shared" si="77"/>
        <v>106.68945313000222</v>
      </c>
      <c r="U417">
        <v>34.764572143554702</v>
      </c>
      <c r="V417" s="33">
        <f t="shared" si="85"/>
        <v>3.1280517577982891</v>
      </c>
      <c r="W417">
        <v>231.688400268555</v>
      </c>
      <c r="X417" s="90">
        <f t="shared" si="86"/>
        <v>7.9650878899997224</v>
      </c>
    </row>
    <row r="418" spans="1:24" x14ac:dyDescent="0.25">
      <c r="A418" s="8">
        <v>42447.291666666664</v>
      </c>
      <c r="B418" s="40">
        <f t="shared" si="78"/>
        <v>7</v>
      </c>
      <c r="C418" s="87">
        <v>55.498821258544901</v>
      </c>
      <c r="D418" s="85">
        <f t="shared" si="79"/>
        <v>0</v>
      </c>
      <c r="E418">
        <v>82.383613586425795</v>
      </c>
      <c r="F418" s="85">
        <f t="shared" si="80"/>
        <v>5.5313110350994066</v>
      </c>
      <c r="G418">
        <v>169.94314575195301</v>
      </c>
      <c r="H418" s="86">
        <f t="shared" si="81"/>
        <v>8.7738037109943434</v>
      </c>
      <c r="I418">
        <v>129.70530700683599</v>
      </c>
      <c r="J418" s="86">
        <f t="shared" si="82"/>
        <v>7.5073242190057954</v>
      </c>
      <c r="K418">
        <v>195.42352294921901</v>
      </c>
      <c r="L418" s="86">
        <f t="shared" si="83"/>
        <v>15.33508300798303</v>
      </c>
      <c r="M418">
        <v>222.06530761718801</v>
      </c>
      <c r="N418" s="86">
        <f t="shared" si="84"/>
        <v>15.289306639999722</v>
      </c>
      <c r="O418">
        <v>1517.58654785156</v>
      </c>
      <c r="P418" s="40">
        <f t="shared" si="75"/>
        <v>109.61914063000222</v>
      </c>
      <c r="Q418">
        <v>1127.57080078125</v>
      </c>
      <c r="R418" s="40">
        <f t="shared" si="76"/>
        <v>0.73242188000222086</v>
      </c>
      <c r="S418">
        <v>2775.38696289063</v>
      </c>
      <c r="T418" s="40">
        <f t="shared" si="77"/>
        <v>42.96875</v>
      </c>
      <c r="U418">
        <v>34.7677001953125</v>
      </c>
      <c r="V418" s="33">
        <f t="shared" si="85"/>
        <v>3.2882690429971717</v>
      </c>
      <c r="W418">
        <v>231.696365356445</v>
      </c>
      <c r="X418" s="90">
        <f t="shared" si="86"/>
        <v>11.474609375</v>
      </c>
    </row>
    <row r="419" spans="1:24" x14ac:dyDescent="0.25">
      <c r="A419" s="8">
        <v>42447.333333333336</v>
      </c>
      <c r="B419" s="40">
        <f t="shared" si="78"/>
        <v>8</v>
      </c>
      <c r="C419" s="87">
        <v>55.498821258544901</v>
      </c>
      <c r="D419" s="85">
        <f t="shared" si="79"/>
        <v>0</v>
      </c>
      <c r="E419">
        <v>82.389144897460895</v>
      </c>
      <c r="F419" s="85">
        <f t="shared" si="80"/>
        <v>1.4038085938068434</v>
      </c>
      <c r="G419">
        <v>169.95191955566401</v>
      </c>
      <c r="H419" s="86">
        <f t="shared" si="81"/>
        <v>8.4838867190057954</v>
      </c>
      <c r="I419">
        <v>129.712814331055</v>
      </c>
      <c r="J419" s="86">
        <f t="shared" si="82"/>
        <v>7.32421875</v>
      </c>
      <c r="K419">
        <v>195.43885803222699</v>
      </c>
      <c r="L419" s="86">
        <f t="shared" si="83"/>
        <v>15.42663574201697</v>
      </c>
      <c r="M419">
        <v>222.08059692382801</v>
      </c>
      <c r="N419" s="86">
        <f t="shared" si="84"/>
        <v>15.213012694999861</v>
      </c>
      <c r="O419">
        <v>1517.69616699219</v>
      </c>
      <c r="P419" s="40">
        <f t="shared" si="75"/>
        <v>111.20605469000111</v>
      </c>
      <c r="Q419">
        <v>1127.57153320313</v>
      </c>
      <c r="R419" s="40">
        <f t="shared" si="76"/>
        <v>0.85449217999666871</v>
      </c>
      <c r="S419">
        <v>2775.42993164063</v>
      </c>
      <c r="T419" s="40">
        <f t="shared" si="77"/>
        <v>0.73242186999777914</v>
      </c>
      <c r="U419">
        <v>34.770988464355497</v>
      </c>
      <c r="V419" s="33">
        <f t="shared" si="85"/>
        <v>3.3531188965056913</v>
      </c>
      <c r="W419">
        <v>231.70783996582</v>
      </c>
      <c r="X419" s="90">
        <f t="shared" si="86"/>
        <v>16.662597656988964</v>
      </c>
    </row>
    <row r="420" spans="1:24" x14ac:dyDescent="0.25">
      <c r="A420" s="8">
        <v>42447.375</v>
      </c>
      <c r="B420" s="40">
        <f t="shared" si="78"/>
        <v>9</v>
      </c>
      <c r="C420" s="87">
        <v>55.498821258544901</v>
      </c>
      <c r="D420" s="85">
        <f t="shared" si="79"/>
        <v>0</v>
      </c>
      <c r="E420">
        <v>82.390548706054702</v>
      </c>
      <c r="F420" s="85">
        <f t="shared" si="80"/>
        <v>0</v>
      </c>
      <c r="G420">
        <v>169.96040344238301</v>
      </c>
      <c r="H420" s="86">
        <f t="shared" si="81"/>
        <v>8.3160400389772349</v>
      </c>
      <c r="I420">
        <v>129.720138549805</v>
      </c>
      <c r="J420" s="86">
        <f t="shared" si="82"/>
        <v>7.2021484369884092</v>
      </c>
      <c r="K420">
        <v>195.45428466796901</v>
      </c>
      <c r="L420" s="86">
        <f t="shared" si="83"/>
        <v>15.274047850994066</v>
      </c>
      <c r="M420">
        <v>222.09580993652301</v>
      </c>
      <c r="N420" s="86">
        <f t="shared" si="84"/>
        <v>15.243530273977512</v>
      </c>
      <c r="O420">
        <v>1517.80737304688</v>
      </c>
      <c r="P420" s="40">
        <f t="shared" si="75"/>
        <v>111.45019530999889</v>
      </c>
      <c r="Q420">
        <v>1127.57238769531</v>
      </c>
      <c r="R420" s="40">
        <f t="shared" si="76"/>
        <v>0.61035157000333129</v>
      </c>
      <c r="S420">
        <v>2775.4306640625</v>
      </c>
      <c r="T420" s="40">
        <f t="shared" si="77"/>
        <v>0.48828125</v>
      </c>
      <c r="U420">
        <v>34.774341583252003</v>
      </c>
      <c r="V420" s="33">
        <f t="shared" si="85"/>
        <v>3.4065246581960196</v>
      </c>
      <c r="W420">
        <v>231.72450256347699</v>
      </c>
      <c r="X420" s="90">
        <f t="shared" si="86"/>
        <v>18.707275389999722</v>
      </c>
    </row>
    <row r="421" spans="1:24" x14ac:dyDescent="0.25">
      <c r="A421" s="8">
        <v>42447.416666666664</v>
      </c>
      <c r="B421" s="40">
        <f t="shared" si="78"/>
        <v>10</v>
      </c>
      <c r="C421" s="87">
        <v>55.498821258544901</v>
      </c>
      <c r="D421" s="85">
        <f t="shared" si="79"/>
        <v>0</v>
      </c>
      <c r="E421">
        <v>82.390548706054702</v>
      </c>
      <c r="F421" s="85">
        <f t="shared" si="80"/>
        <v>0</v>
      </c>
      <c r="G421">
        <v>169.96871948242199</v>
      </c>
      <c r="H421" s="86">
        <f t="shared" si="81"/>
        <v>8.2855224610227651</v>
      </c>
      <c r="I421">
        <v>129.72734069824199</v>
      </c>
      <c r="J421" s="86">
        <f t="shared" si="82"/>
        <v>7.2021484380115908</v>
      </c>
      <c r="K421">
        <v>195.46955871582</v>
      </c>
      <c r="L421" s="86">
        <f t="shared" si="83"/>
        <v>15.014648438011591</v>
      </c>
      <c r="M421">
        <v>222.11105346679699</v>
      </c>
      <c r="N421" s="86">
        <f t="shared" si="84"/>
        <v>15.18249511701697</v>
      </c>
      <c r="O421">
        <v>1517.91882324219</v>
      </c>
      <c r="P421" s="40">
        <f t="shared" si="75"/>
        <v>111.57226561999778</v>
      </c>
      <c r="Q421">
        <v>1127.57299804688</v>
      </c>
      <c r="R421" s="40">
        <f t="shared" si="76"/>
        <v>0.85449217999666871</v>
      </c>
      <c r="S421">
        <v>2775.43115234375</v>
      </c>
      <c r="T421" s="40">
        <f t="shared" si="77"/>
        <v>0.9765625</v>
      </c>
      <c r="U421">
        <v>34.777748107910199</v>
      </c>
      <c r="V421" s="33">
        <f t="shared" si="85"/>
        <v>3.3416748046022349</v>
      </c>
      <c r="W421">
        <v>231.74320983886699</v>
      </c>
      <c r="X421" s="90">
        <f t="shared" si="86"/>
        <v>17.517089844005795</v>
      </c>
    </row>
    <row r="422" spans="1:24" x14ac:dyDescent="0.25">
      <c r="A422" s="8">
        <v>42447.458333333336</v>
      </c>
      <c r="B422" s="40">
        <f t="shared" si="78"/>
        <v>11</v>
      </c>
      <c r="C422" s="87">
        <v>55.498821258544901</v>
      </c>
      <c r="D422" s="85">
        <f t="shared" si="79"/>
        <v>0</v>
      </c>
      <c r="E422">
        <v>82.390548706054702</v>
      </c>
      <c r="F422" s="85">
        <f t="shared" si="80"/>
        <v>0</v>
      </c>
      <c r="G422">
        <v>169.97700500488301</v>
      </c>
      <c r="H422" s="86">
        <f t="shared" si="81"/>
        <v>8.2550048829830303</v>
      </c>
      <c r="I422">
        <v>129.73454284668</v>
      </c>
      <c r="J422" s="86">
        <f t="shared" si="82"/>
        <v>7.1716308590055178</v>
      </c>
      <c r="K422">
        <v>195.48457336425801</v>
      </c>
      <c r="L422" s="86">
        <f t="shared" si="83"/>
        <v>15.350341796988687</v>
      </c>
      <c r="M422">
        <v>222.12623596191401</v>
      </c>
      <c r="N422" s="86">
        <f t="shared" si="84"/>
        <v>15.029907226988826</v>
      </c>
      <c r="O422">
        <v>1518.03039550781</v>
      </c>
      <c r="P422" s="40">
        <f t="shared" si="75"/>
        <v>111.69433594000111</v>
      </c>
      <c r="Q422">
        <v>1127.57385253906</v>
      </c>
      <c r="R422" s="40">
        <f t="shared" si="76"/>
        <v>0.61035157000333129</v>
      </c>
      <c r="S422">
        <v>2775.43212890625</v>
      </c>
      <c r="T422" s="40">
        <f t="shared" si="77"/>
        <v>0.9765625</v>
      </c>
      <c r="U422">
        <v>34.781089782714801</v>
      </c>
      <c r="V422" s="33">
        <f t="shared" si="85"/>
        <v>3.3607482911008901</v>
      </c>
      <c r="W422">
        <v>231.76072692871099</v>
      </c>
      <c r="X422" s="90">
        <f t="shared" si="86"/>
        <v>15.731811523011174</v>
      </c>
    </row>
    <row r="423" spans="1:24" x14ac:dyDescent="0.25">
      <c r="A423" s="8">
        <v>42447.5</v>
      </c>
      <c r="B423" s="40">
        <f t="shared" si="78"/>
        <v>12</v>
      </c>
      <c r="C423" s="87">
        <v>55.498821258544901</v>
      </c>
      <c r="D423" s="85">
        <f t="shared" si="79"/>
        <v>0</v>
      </c>
      <c r="E423">
        <v>82.390548706054702</v>
      </c>
      <c r="F423" s="85">
        <f t="shared" si="80"/>
        <v>0</v>
      </c>
      <c r="G423">
        <v>169.98526000976599</v>
      </c>
      <c r="H423" s="86">
        <f t="shared" si="81"/>
        <v>8.1481933590055178</v>
      </c>
      <c r="I423">
        <v>129.74171447753901</v>
      </c>
      <c r="J423" s="86">
        <f t="shared" si="82"/>
        <v>7.2021484379831691</v>
      </c>
      <c r="K423">
        <v>195.499923706055</v>
      </c>
      <c r="L423" s="86">
        <f t="shared" si="83"/>
        <v>15.274047850994066</v>
      </c>
      <c r="M423">
        <v>222.14126586914099</v>
      </c>
      <c r="N423" s="86">
        <f t="shared" si="84"/>
        <v>15.167236328011313</v>
      </c>
      <c r="O423">
        <v>1518.14208984375</v>
      </c>
      <c r="P423" s="40">
        <f t="shared" si="75"/>
        <v>109.86328125</v>
      </c>
      <c r="Q423">
        <v>1127.57446289063</v>
      </c>
      <c r="R423" s="40">
        <f t="shared" si="76"/>
        <v>0.85449217999666871</v>
      </c>
      <c r="S423">
        <v>2775.43310546875</v>
      </c>
      <c r="T423" s="40">
        <f t="shared" si="77"/>
        <v>0.48828125</v>
      </c>
      <c r="U423">
        <v>34.784450531005902</v>
      </c>
      <c r="V423" s="33">
        <f t="shared" si="85"/>
        <v>3.368377685497137</v>
      </c>
      <c r="W423">
        <v>231.77645874023401</v>
      </c>
      <c r="X423" s="90">
        <f t="shared" si="86"/>
        <v>14.587402344005795</v>
      </c>
    </row>
    <row r="424" spans="1:24" x14ac:dyDescent="0.25">
      <c r="A424" s="8">
        <v>42447.541666666664</v>
      </c>
      <c r="B424" s="40">
        <f t="shared" si="78"/>
        <v>13</v>
      </c>
      <c r="C424" s="87">
        <v>55.498821258544901</v>
      </c>
      <c r="D424" s="85">
        <f t="shared" si="79"/>
        <v>0</v>
      </c>
      <c r="E424">
        <v>82.390548706054702</v>
      </c>
      <c r="F424" s="85">
        <f t="shared" si="80"/>
        <v>5.3405761704539145E-2</v>
      </c>
      <c r="G424">
        <v>169.993408203125</v>
      </c>
      <c r="H424" s="86">
        <f t="shared" si="81"/>
        <v>8.2855224609943434</v>
      </c>
      <c r="I424">
        <v>129.74891662597699</v>
      </c>
      <c r="J424" s="86">
        <f t="shared" si="82"/>
        <v>7.2174072260224875</v>
      </c>
      <c r="K424">
        <v>195.51519775390599</v>
      </c>
      <c r="L424" s="86">
        <f t="shared" si="83"/>
        <v>15.243530274005934</v>
      </c>
      <c r="M424">
        <v>222.15643310546901</v>
      </c>
      <c r="N424" s="86">
        <f t="shared" si="84"/>
        <v>15.13671875</v>
      </c>
      <c r="O424">
        <v>1518.251953125</v>
      </c>
      <c r="P424" s="40">
        <f t="shared" si="75"/>
        <v>110.96191405999889</v>
      </c>
      <c r="Q424">
        <v>1127.57531738281</v>
      </c>
      <c r="R424" s="40">
        <f t="shared" si="76"/>
        <v>0.85449219000111043</v>
      </c>
      <c r="S424">
        <v>2775.43359375</v>
      </c>
      <c r="T424" s="40">
        <f t="shared" si="77"/>
        <v>0.9765625</v>
      </c>
      <c r="U424">
        <v>34.787818908691399</v>
      </c>
      <c r="V424" s="33">
        <f t="shared" si="85"/>
        <v>3.2386779785014141</v>
      </c>
      <c r="W424">
        <v>231.79104614257801</v>
      </c>
      <c r="X424" s="90">
        <f t="shared" si="86"/>
        <v>15.106201171988687</v>
      </c>
    </row>
    <row r="425" spans="1:24" x14ac:dyDescent="0.25">
      <c r="A425" s="8">
        <v>42447.583333333336</v>
      </c>
      <c r="B425" s="40">
        <f t="shared" si="78"/>
        <v>14</v>
      </c>
      <c r="C425" s="87">
        <v>55.498821258544901</v>
      </c>
      <c r="D425" s="85">
        <f t="shared" si="79"/>
        <v>0</v>
      </c>
      <c r="E425">
        <v>82.390602111816406</v>
      </c>
      <c r="F425" s="85">
        <f t="shared" si="80"/>
        <v>5.5847167968892109</v>
      </c>
      <c r="G425">
        <v>170.00169372558599</v>
      </c>
      <c r="H425" s="86">
        <f t="shared" si="81"/>
        <v>8.7890625</v>
      </c>
      <c r="I425">
        <v>129.75613403320301</v>
      </c>
      <c r="J425" s="86">
        <f t="shared" si="82"/>
        <v>7.5836181639772349</v>
      </c>
      <c r="K425">
        <v>195.53044128418</v>
      </c>
      <c r="L425" s="86">
        <f t="shared" si="83"/>
        <v>15.350341796988687</v>
      </c>
      <c r="M425">
        <v>222.17156982421901</v>
      </c>
      <c r="N425" s="86">
        <f t="shared" si="84"/>
        <v>15.380859375</v>
      </c>
      <c r="O425">
        <v>1518.36291503906</v>
      </c>
      <c r="P425" s="40">
        <f t="shared" si="75"/>
        <v>110.22949219000111</v>
      </c>
      <c r="Q425">
        <v>1127.576171875</v>
      </c>
      <c r="R425" s="40">
        <f t="shared" si="76"/>
        <v>0.85449219000111043</v>
      </c>
      <c r="S425">
        <v>2775.4345703125</v>
      </c>
      <c r="T425" s="40">
        <f t="shared" si="77"/>
        <v>116.45507813000222</v>
      </c>
      <c r="U425">
        <v>34.791057586669901</v>
      </c>
      <c r="V425" s="33">
        <f t="shared" si="85"/>
        <v>3.2119750976988826</v>
      </c>
      <c r="W425">
        <v>231.80615234375</v>
      </c>
      <c r="X425" s="90">
        <f t="shared" si="86"/>
        <v>19.363403319999861</v>
      </c>
    </row>
    <row r="426" spans="1:24" x14ac:dyDescent="0.25">
      <c r="A426" s="8">
        <v>42447.625</v>
      </c>
      <c r="B426" s="40">
        <f t="shared" si="78"/>
        <v>15</v>
      </c>
      <c r="C426" s="87">
        <v>55.498821258544901</v>
      </c>
      <c r="D426" s="85">
        <f t="shared" si="79"/>
        <v>0</v>
      </c>
      <c r="E426">
        <v>82.396186828613295</v>
      </c>
      <c r="F426" s="85">
        <f t="shared" si="80"/>
        <v>5.5694580077982891</v>
      </c>
      <c r="G426">
        <v>170.01048278808599</v>
      </c>
      <c r="H426" s="86">
        <f t="shared" si="81"/>
        <v>8.7585449220171085</v>
      </c>
      <c r="I426">
        <v>129.76371765136699</v>
      </c>
      <c r="J426" s="86">
        <f t="shared" si="82"/>
        <v>7.5988769530113132</v>
      </c>
      <c r="K426">
        <v>195.54579162597699</v>
      </c>
      <c r="L426" s="86">
        <f t="shared" si="83"/>
        <v>15.13671875</v>
      </c>
      <c r="M426">
        <v>222.18695068359401</v>
      </c>
      <c r="N426" s="86">
        <f t="shared" si="84"/>
        <v>15.33508300798303</v>
      </c>
      <c r="O426">
        <v>1518.47314453125</v>
      </c>
      <c r="P426" s="40">
        <f t="shared" si="75"/>
        <v>110.83984375</v>
      </c>
      <c r="Q426">
        <v>1127.57702636719</v>
      </c>
      <c r="R426" s="40">
        <f t="shared" si="76"/>
        <v>0.73242186999777914</v>
      </c>
      <c r="S426">
        <v>2775.55102539063</v>
      </c>
      <c r="T426" s="40">
        <f t="shared" si="77"/>
        <v>117.43164061999778</v>
      </c>
      <c r="U426">
        <v>34.794269561767599</v>
      </c>
      <c r="V426" s="33">
        <f t="shared" si="85"/>
        <v>3.2997131347016762</v>
      </c>
      <c r="W426">
        <v>231.82551574707</v>
      </c>
      <c r="X426" s="90">
        <f t="shared" si="86"/>
        <v>19.683837890994482</v>
      </c>
    </row>
    <row r="427" spans="1:24" x14ac:dyDescent="0.25">
      <c r="A427" s="8">
        <v>42447.666666666664</v>
      </c>
      <c r="B427" s="40">
        <f t="shared" si="78"/>
        <v>16</v>
      </c>
      <c r="C427" s="87">
        <v>55.498821258544901</v>
      </c>
      <c r="D427" s="85">
        <f t="shared" si="79"/>
        <v>0</v>
      </c>
      <c r="E427">
        <v>82.401756286621094</v>
      </c>
      <c r="F427" s="85">
        <f t="shared" si="80"/>
        <v>1.5869140625</v>
      </c>
      <c r="G427">
        <v>170.01924133300801</v>
      </c>
      <c r="H427" s="86">
        <f t="shared" si="81"/>
        <v>8.3923339839770961</v>
      </c>
      <c r="I427">
        <v>129.77131652832</v>
      </c>
      <c r="J427" s="86">
        <f t="shared" si="82"/>
        <v>7.2937011719886868</v>
      </c>
      <c r="K427">
        <v>195.56092834472699</v>
      </c>
      <c r="L427" s="86">
        <f t="shared" si="83"/>
        <v>15.274047851022488</v>
      </c>
      <c r="M427">
        <v>222.20228576660199</v>
      </c>
      <c r="N427" s="86">
        <f t="shared" si="84"/>
        <v>15.029907226022488</v>
      </c>
      <c r="O427">
        <v>1518.583984375</v>
      </c>
      <c r="P427" s="40">
        <f t="shared" si="75"/>
        <v>110.10742188000222</v>
      </c>
      <c r="Q427">
        <v>1127.57775878906</v>
      </c>
      <c r="R427" s="40">
        <f t="shared" si="76"/>
        <v>0.73242188000222086</v>
      </c>
      <c r="S427">
        <v>2775.66845703125</v>
      </c>
      <c r="T427" s="40">
        <f t="shared" si="77"/>
        <v>23.681640630002221</v>
      </c>
      <c r="U427">
        <v>34.797569274902301</v>
      </c>
      <c r="V427" s="33">
        <f t="shared" si="85"/>
        <v>3.4713745117969097</v>
      </c>
      <c r="W427">
        <v>231.84519958496099</v>
      </c>
      <c r="X427" s="90">
        <f t="shared" si="86"/>
        <v>19.653320312016831</v>
      </c>
    </row>
    <row r="428" spans="1:24" x14ac:dyDescent="0.25">
      <c r="A428" s="8">
        <v>42447.708333333336</v>
      </c>
      <c r="B428" s="40">
        <f t="shared" si="78"/>
        <v>17</v>
      </c>
      <c r="C428" s="87">
        <v>55.498821258544901</v>
      </c>
      <c r="D428" s="85">
        <f t="shared" si="79"/>
        <v>0</v>
      </c>
      <c r="E428">
        <v>82.403343200683594</v>
      </c>
      <c r="F428" s="85">
        <f t="shared" si="80"/>
        <v>5.5618286133096717</v>
      </c>
      <c r="G428">
        <v>170.02763366699199</v>
      </c>
      <c r="H428" s="86">
        <f t="shared" si="81"/>
        <v>8.6669921880115908</v>
      </c>
      <c r="I428">
        <v>129.77861022949199</v>
      </c>
      <c r="J428" s="86">
        <f t="shared" si="82"/>
        <v>7.5073242190057954</v>
      </c>
      <c r="K428">
        <v>195.57620239257801</v>
      </c>
      <c r="L428" s="86">
        <f t="shared" si="83"/>
        <v>15.365600585994343</v>
      </c>
      <c r="M428">
        <v>222.21731567382801</v>
      </c>
      <c r="N428" s="86">
        <f t="shared" si="84"/>
        <v>15.274047851988826</v>
      </c>
      <c r="O428">
        <v>1518.69409179688</v>
      </c>
      <c r="P428" s="40">
        <f t="shared" si="75"/>
        <v>110.96191405999889</v>
      </c>
      <c r="Q428">
        <v>1127.57849121094</v>
      </c>
      <c r="R428" s="40">
        <f t="shared" si="76"/>
        <v>0.85449219000111043</v>
      </c>
      <c r="S428">
        <v>2775.69213867188</v>
      </c>
      <c r="T428" s="40">
        <f t="shared" si="77"/>
        <v>112.79296875</v>
      </c>
      <c r="U428">
        <v>34.801040649414098</v>
      </c>
      <c r="V428" s="33">
        <f t="shared" si="85"/>
        <v>3.3798217773011174</v>
      </c>
      <c r="W428">
        <v>231.86485290527301</v>
      </c>
      <c r="X428" s="90">
        <f t="shared" si="86"/>
        <v>19.668579101988826</v>
      </c>
    </row>
    <row r="429" spans="1:24" x14ac:dyDescent="0.25">
      <c r="A429" s="8">
        <v>42447.75</v>
      </c>
      <c r="B429" s="40">
        <f t="shared" si="78"/>
        <v>18</v>
      </c>
      <c r="C429" s="87">
        <v>55.498821258544901</v>
      </c>
      <c r="D429" s="85">
        <f t="shared" si="79"/>
        <v>1.9073486399179274E-2</v>
      </c>
      <c r="E429">
        <v>82.408905029296903</v>
      </c>
      <c r="F429" s="85">
        <f t="shared" si="80"/>
        <v>5.5618286132954609</v>
      </c>
      <c r="G429">
        <v>170.03630065918</v>
      </c>
      <c r="H429" s="86">
        <f t="shared" si="81"/>
        <v>8.7738037109943434</v>
      </c>
      <c r="I429">
        <v>129.78611755371099</v>
      </c>
      <c r="J429" s="86">
        <f t="shared" si="82"/>
        <v>7.5988769530113132</v>
      </c>
      <c r="K429">
        <v>195.59156799316401</v>
      </c>
      <c r="L429" s="86">
        <f t="shared" si="83"/>
        <v>15.472412109005518</v>
      </c>
      <c r="M429">
        <v>222.23258972168</v>
      </c>
      <c r="N429" s="86">
        <f t="shared" si="84"/>
        <v>15.335083008011452</v>
      </c>
      <c r="O429">
        <v>1518.80505371094</v>
      </c>
      <c r="P429" s="40">
        <f t="shared" si="75"/>
        <v>109.74121094000111</v>
      </c>
      <c r="Q429">
        <v>1127.57934570313</v>
      </c>
      <c r="R429" s="40">
        <f t="shared" si="76"/>
        <v>0.85449217999666871</v>
      </c>
      <c r="S429">
        <v>2775.80493164063</v>
      </c>
      <c r="T429" s="40">
        <f t="shared" si="77"/>
        <v>218.99414061999778</v>
      </c>
      <c r="U429">
        <v>34.804420471191399</v>
      </c>
      <c r="V429" s="33">
        <f t="shared" si="85"/>
        <v>3.2272338866974337</v>
      </c>
      <c r="W429">
        <v>231.884521484375</v>
      </c>
      <c r="X429" s="90">
        <f t="shared" si="86"/>
        <v>15.197753905994205</v>
      </c>
    </row>
    <row r="430" spans="1:24" x14ac:dyDescent="0.25">
      <c r="A430" s="8">
        <v>42447.791666666664</v>
      </c>
      <c r="B430" s="40">
        <f t="shared" si="78"/>
        <v>19</v>
      </c>
      <c r="C430" s="87">
        <v>55.4988403320313</v>
      </c>
      <c r="D430" s="85">
        <f t="shared" si="79"/>
        <v>1.1444091697399017E-2</v>
      </c>
      <c r="E430">
        <v>82.414466857910199</v>
      </c>
      <c r="F430" s="85">
        <f t="shared" si="80"/>
        <v>5.5618286131959849</v>
      </c>
      <c r="G430">
        <v>170.04507446289099</v>
      </c>
      <c r="H430" s="86">
        <f t="shared" si="81"/>
        <v>8.7432861320166921</v>
      </c>
      <c r="I430">
        <v>129.79371643066401</v>
      </c>
      <c r="J430" s="86">
        <f t="shared" si="82"/>
        <v>7.6751708990059342</v>
      </c>
      <c r="K430">
        <v>195.60704040527301</v>
      </c>
      <c r="L430" s="86">
        <f t="shared" si="83"/>
        <v>15.441894531988964</v>
      </c>
      <c r="M430">
        <v>222.24792480468801</v>
      </c>
      <c r="N430" s="86">
        <f t="shared" si="84"/>
        <v>15.350341795993927</v>
      </c>
      <c r="O430">
        <v>1518.91479492188</v>
      </c>
      <c r="P430" s="40">
        <f t="shared" si="75"/>
        <v>111.328125</v>
      </c>
      <c r="Q430">
        <v>1127.58020019531</v>
      </c>
      <c r="R430" s="40">
        <f t="shared" si="76"/>
        <v>0.9765625</v>
      </c>
      <c r="S430">
        <v>2776.02392578125</v>
      </c>
      <c r="T430" s="40">
        <f t="shared" si="77"/>
        <v>232.17773438000222</v>
      </c>
      <c r="U430">
        <v>34.807647705078097</v>
      </c>
      <c r="V430" s="33">
        <f t="shared" si="85"/>
        <v>3.334045410205988</v>
      </c>
      <c r="W430">
        <v>231.89971923828099</v>
      </c>
      <c r="X430" s="90">
        <f t="shared" si="86"/>
        <v>13.275146485000278</v>
      </c>
    </row>
    <row r="431" spans="1:24" x14ac:dyDescent="0.25">
      <c r="A431" s="8">
        <v>42447.833333333336</v>
      </c>
      <c r="B431" s="40">
        <f t="shared" si="78"/>
        <v>20</v>
      </c>
      <c r="C431" s="87">
        <v>55.498851776122997</v>
      </c>
      <c r="D431" s="85">
        <f t="shared" si="79"/>
        <v>1.9073486406284701E-2</v>
      </c>
      <c r="E431">
        <v>82.420028686523395</v>
      </c>
      <c r="F431" s="85">
        <f t="shared" si="80"/>
        <v>5.5465698243040151</v>
      </c>
      <c r="G431">
        <v>170.05381774902301</v>
      </c>
      <c r="H431" s="86">
        <f t="shared" si="81"/>
        <v>8.7432861329830303</v>
      </c>
      <c r="I431">
        <v>129.80139160156301</v>
      </c>
      <c r="J431" s="86">
        <f t="shared" si="82"/>
        <v>7.4920654289769573</v>
      </c>
      <c r="K431">
        <v>195.622482299805</v>
      </c>
      <c r="L431" s="86">
        <f t="shared" si="83"/>
        <v>15.13671875</v>
      </c>
      <c r="M431">
        <v>222.26327514648401</v>
      </c>
      <c r="N431" s="86">
        <f t="shared" si="84"/>
        <v>15.167236329006073</v>
      </c>
      <c r="O431">
        <v>1519.02612304688</v>
      </c>
      <c r="P431" s="40">
        <f t="shared" si="75"/>
        <v>112.3046875</v>
      </c>
      <c r="Q431">
        <v>1127.58117675781</v>
      </c>
      <c r="R431" s="40">
        <f t="shared" si="76"/>
        <v>0.85449219000111043</v>
      </c>
      <c r="S431">
        <v>2776.25610351563</v>
      </c>
      <c r="T431" s="40">
        <f t="shared" si="77"/>
        <v>220.703125</v>
      </c>
      <c r="U431">
        <v>34.810981750488303</v>
      </c>
      <c r="V431" s="33">
        <f t="shared" si="85"/>
        <v>3.3874511718963163</v>
      </c>
      <c r="W431">
        <v>231.91299438476599</v>
      </c>
      <c r="X431" s="90">
        <f t="shared" si="86"/>
        <v>12.130737304005379</v>
      </c>
    </row>
    <row r="432" spans="1:24" x14ac:dyDescent="0.25">
      <c r="A432" s="8">
        <v>42447.875</v>
      </c>
      <c r="B432" s="40">
        <f t="shared" si="78"/>
        <v>21</v>
      </c>
      <c r="C432" s="87">
        <v>55.498870849609403</v>
      </c>
      <c r="D432" s="85">
        <f t="shared" si="79"/>
        <v>0</v>
      </c>
      <c r="E432">
        <v>82.425575256347699</v>
      </c>
      <c r="F432" s="85">
        <f t="shared" si="80"/>
        <v>5.5694580077982891</v>
      </c>
      <c r="G432">
        <v>170.06256103515599</v>
      </c>
      <c r="H432" s="86">
        <f t="shared" si="81"/>
        <v>8.6364746100002776</v>
      </c>
      <c r="I432">
        <v>129.80888366699199</v>
      </c>
      <c r="J432" s="86">
        <f t="shared" si="82"/>
        <v>7.6446533210230427</v>
      </c>
      <c r="K432">
        <v>195.637619018555</v>
      </c>
      <c r="L432" s="86">
        <f t="shared" si="83"/>
        <v>15.335083008011452</v>
      </c>
      <c r="M432">
        <v>222.27844238281301</v>
      </c>
      <c r="N432" s="86">
        <f t="shared" si="84"/>
        <v>15.289306639999722</v>
      </c>
      <c r="O432">
        <v>1519.13842773438</v>
      </c>
      <c r="P432" s="40">
        <f t="shared" si="75"/>
        <v>110.83984375</v>
      </c>
      <c r="Q432">
        <v>1127.58203125</v>
      </c>
      <c r="R432" s="40">
        <f t="shared" si="76"/>
        <v>0.73242188000222086</v>
      </c>
      <c r="S432">
        <v>2776.47680664063</v>
      </c>
      <c r="T432" s="40">
        <f t="shared" si="77"/>
        <v>107.421875</v>
      </c>
      <c r="U432">
        <v>34.814369201660199</v>
      </c>
      <c r="V432" s="33">
        <f t="shared" si="85"/>
        <v>3.3683776855042424</v>
      </c>
      <c r="W432">
        <v>231.92512512207</v>
      </c>
      <c r="X432" s="90">
        <f t="shared" si="86"/>
        <v>13.793945313011591</v>
      </c>
    </row>
    <row r="433" spans="1:24" x14ac:dyDescent="0.25">
      <c r="A433" s="8">
        <v>42447.916666666664</v>
      </c>
      <c r="B433" s="40">
        <f t="shared" si="78"/>
        <v>22</v>
      </c>
      <c r="C433" s="87">
        <v>55.498870849609403</v>
      </c>
      <c r="D433" s="85">
        <f t="shared" si="79"/>
        <v>0</v>
      </c>
      <c r="E433">
        <v>82.431144714355497</v>
      </c>
      <c r="F433" s="85">
        <f t="shared" si="80"/>
        <v>5.5770874023011174</v>
      </c>
      <c r="G433">
        <v>170.07119750976599</v>
      </c>
      <c r="H433" s="86">
        <f t="shared" si="81"/>
        <v>8.7280273430110356</v>
      </c>
      <c r="I433">
        <v>129.81652832031301</v>
      </c>
      <c r="J433" s="86">
        <f t="shared" si="82"/>
        <v>7.5531005849995836</v>
      </c>
      <c r="K433">
        <v>195.65295410156301</v>
      </c>
      <c r="L433" s="86">
        <f t="shared" si="83"/>
        <v>15.304565428976957</v>
      </c>
      <c r="M433">
        <v>222.29373168945301</v>
      </c>
      <c r="N433" s="86">
        <f t="shared" si="84"/>
        <v>15.350341796988687</v>
      </c>
      <c r="O433">
        <v>1519.24926757813</v>
      </c>
      <c r="P433" s="40">
        <f t="shared" si="75"/>
        <v>111.328125</v>
      </c>
      <c r="Q433">
        <v>1127.58276367188</v>
      </c>
      <c r="R433" s="40">
        <f t="shared" si="76"/>
        <v>0.85449217999666871</v>
      </c>
      <c r="S433">
        <v>2776.58422851563</v>
      </c>
      <c r="T433" s="40">
        <f t="shared" si="77"/>
        <v>106.20117186999778</v>
      </c>
      <c r="U433">
        <v>34.817737579345703</v>
      </c>
      <c r="V433" s="33">
        <f t="shared" si="85"/>
        <v>3.2615661620951641</v>
      </c>
      <c r="W433">
        <v>231.93891906738301</v>
      </c>
      <c r="X433" s="90">
        <f t="shared" si="86"/>
        <v>13.504028319999861</v>
      </c>
    </row>
    <row r="434" spans="1:24" x14ac:dyDescent="0.25">
      <c r="A434" s="8">
        <v>42447.958333333336</v>
      </c>
      <c r="B434" s="40">
        <f t="shared" si="78"/>
        <v>23</v>
      </c>
      <c r="C434" s="87">
        <v>55.498870849609403</v>
      </c>
      <c r="D434" s="85">
        <f t="shared" si="79"/>
        <v>0</v>
      </c>
      <c r="E434">
        <v>82.436721801757798</v>
      </c>
      <c r="F434" s="85">
        <f t="shared" si="80"/>
        <v>5.5770874024005934</v>
      </c>
      <c r="G434">
        <v>170.07992553710901</v>
      </c>
      <c r="H434" s="86">
        <f t="shared" si="81"/>
        <v>8.7738037109943434</v>
      </c>
      <c r="I434">
        <v>129.82408142089801</v>
      </c>
      <c r="J434" s="86">
        <f t="shared" si="82"/>
        <v>7.6751708989775125</v>
      </c>
      <c r="K434">
        <v>195.66825866699199</v>
      </c>
      <c r="L434" s="86">
        <f t="shared" si="83"/>
        <v>15.42663574201697</v>
      </c>
      <c r="M434">
        <v>222.30908203125</v>
      </c>
      <c r="N434" s="86">
        <f t="shared" si="84"/>
        <v>15.228271484005518</v>
      </c>
      <c r="O434">
        <v>1519.36059570313</v>
      </c>
      <c r="P434" s="40">
        <f t="shared" si="75"/>
        <v>110.83984375</v>
      </c>
      <c r="Q434">
        <v>1127.58361816406</v>
      </c>
      <c r="R434" s="40">
        <f t="shared" si="76"/>
        <v>0.85449219000111043</v>
      </c>
      <c r="S434">
        <v>2776.6904296875</v>
      </c>
      <c r="T434" s="40">
        <f t="shared" si="77"/>
        <v>103.75976563000222</v>
      </c>
      <c r="U434">
        <v>34.820999145507798</v>
      </c>
      <c r="V434" s="33">
        <f t="shared" si="85"/>
        <v>3.2386779785014141</v>
      </c>
      <c r="W434">
        <v>231.95242309570301</v>
      </c>
      <c r="X434" s="90">
        <f t="shared" si="86"/>
        <v>12.16125488298303</v>
      </c>
    </row>
    <row r="435" spans="1:24" x14ac:dyDescent="0.25">
      <c r="A435" s="8">
        <v>42448</v>
      </c>
      <c r="B435" s="40">
        <f t="shared" si="78"/>
        <v>0</v>
      </c>
      <c r="C435" s="87">
        <v>55.498870849609403</v>
      </c>
      <c r="D435" s="85">
        <f t="shared" si="79"/>
        <v>0</v>
      </c>
      <c r="E435">
        <v>82.442298889160199</v>
      </c>
      <c r="F435" s="85">
        <f t="shared" si="80"/>
        <v>5.5694580077982891</v>
      </c>
      <c r="G435">
        <v>170.08869934082</v>
      </c>
      <c r="H435" s="86">
        <f t="shared" si="81"/>
        <v>8.8043212890056566</v>
      </c>
      <c r="I435">
        <v>129.83175659179699</v>
      </c>
      <c r="J435" s="86">
        <f t="shared" si="82"/>
        <v>7.568359375</v>
      </c>
      <c r="K435">
        <v>195.68368530273401</v>
      </c>
      <c r="L435" s="86">
        <f t="shared" si="83"/>
        <v>15.274047851988826</v>
      </c>
      <c r="M435">
        <v>222.32431030273401</v>
      </c>
      <c r="N435" s="86">
        <f t="shared" si="84"/>
        <v>14.968872070994621</v>
      </c>
      <c r="O435">
        <v>1519.47143554688</v>
      </c>
      <c r="P435" s="40">
        <f t="shared" si="75"/>
        <v>108.52050780999889</v>
      </c>
      <c r="Q435">
        <v>1127.58447265625</v>
      </c>
      <c r="R435" s="40">
        <f t="shared" si="76"/>
        <v>0.73242188000222086</v>
      </c>
      <c r="S435">
        <v>2776.79418945313</v>
      </c>
      <c r="T435" s="40">
        <f t="shared" si="77"/>
        <v>101.80664061999778</v>
      </c>
      <c r="U435">
        <v>34.8242378234863</v>
      </c>
      <c r="V435" s="33">
        <f t="shared" si="85"/>
        <v>3.185272216796875</v>
      </c>
      <c r="W435">
        <v>231.96458435058599</v>
      </c>
      <c r="X435" s="90">
        <f t="shared" si="86"/>
        <v>11.138916015994482</v>
      </c>
    </row>
    <row r="436" spans="1:24" x14ac:dyDescent="0.25">
      <c r="A436" s="8">
        <v>42448.041666666664</v>
      </c>
      <c r="B436" s="40">
        <f t="shared" si="78"/>
        <v>1</v>
      </c>
      <c r="C436" s="87">
        <v>55.498870849609403</v>
      </c>
      <c r="D436" s="85">
        <f t="shared" si="79"/>
        <v>0</v>
      </c>
      <c r="E436">
        <v>82.447868347167997</v>
      </c>
      <c r="F436" s="85">
        <f t="shared" si="80"/>
        <v>2.2659301758096717</v>
      </c>
      <c r="G436">
        <v>170.09750366210901</v>
      </c>
      <c r="H436" s="86">
        <f t="shared" si="81"/>
        <v>8.4533691409944822</v>
      </c>
      <c r="I436">
        <v>129.83932495117199</v>
      </c>
      <c r="J436" s="86">
        <f t="shared" si="82"/>
        <v>7.4157714840055178</v>
      </c>
      <c r="K436">
        <v>195.69895935058599</v>
      </c>
      <c r="L436" s="86">
        <f t="shared" si="83"/>
        <v>15.167236328011313</v>
      </c>
      <c r="M436">
        <v>222.339279174805</v>
      </c>
      <c r="N436" s="86">
        <f t="shared" si="84"/>
        <v>15.289306639999722</v>
      </c>
      <c r="O436">
        <v>1519.57995605469</v>
      </c>
      <c r="P436" s="40">
        <f t="shared" ref="P436:P499" si="87">+(O437-O436)*1000</f>
        <v>110.3515625</v>
      </c>
      <c r="Q436">
        <v>1127.58520507813</v>
      </c>
      <c r="R436" s="40">
        <f t="shared" ref="R436:R499" si="88">+(Q437-Q436)*1000</f>
        <v>0.9765625</v>
      </c>
      <c r="S436">
        <v>2776.89599609375</v>
      </c>
      <c r="T436" s="40">
        <f t="shared" ref="T436:T499" si="89">+(S437-S436)*1000</f>
        <v>34.912109380002221</v>
      </c>
      <c r="U436">
        <v>34.827423095703097</v>
      </c>
      <c r="V436" s="33">
        <f t="shared" si="85"/>
        <v>3.1280517578053946</v>
      </c>
      <c r="W436">
        <v>231.97572326660199</v>
      </c>
      <c r="X436" s="90">
        <f t="shared" si="86"/>
        <v>9.765625</v>
      </c>
    </row>
    <row r="437" spans="1:24" x14ac:dyDescent="0.25">
      <c r="A437" s="8">
        <v>42448.083333333336</v>
      </c>
      <c r="B437" s="40">
        <f t="shared" si="78"/>
        <v>2</v>
      </c>
      <c r="C437" s="87">
        <v>55.498870849609403</v>
      </c>
      <c r="D437" s="85">
        <f t="shared" si="79"/>
        <v>0</v>
      </c>
      <c r="E437">
        <v>82.450134277343807</v>
      </c>
      <c r="F437" s="85">
        <f t="shared" si="80"/>
        <v>0</v>
      </c>
      <c r="G437">
        <v>170.10595703125</v>
      </c>
      <c r="H437" s="86">
        <f t="shared" si="81"/>
        <v>8.3618164059942046</v>
      </c>
      <c r="I437">
        <v>129.84674072265599</v>
      </c>
      <c r="J437" s="86">
        <f t="shared" si="82"/>
        <v>7.2631835940057954</v>
      </c>
      <c r="K437">
        <v>195.71412658691401</v>
      </c>
      <c r="L437" s="86">
        <f t="shared" si="83"/>
        <v>15.319824219005795</v>
      </c>
      <c r="M437">
        <v>222.354568481445</v>
      </c>
      <c r="N437" s="86">
        <f t="shared" si="84"/>
        <v>15.274047851988826</v>
      </c>
      <c r="O437">
        <v>1519.69030761719</v>
      </c>
      <c r="P437" s="40">
        <f t="shared" si="87"/>
        <v>108.64257811999778</v>
      </c>
      <c r="Q437">
        <v>1127.58618164063</v>
      </c>
      <c r="R437" s="40">
        <f t="shared" si="88"/>
        <v>0.61035155999888957</v>
      </c>
      <c r="S437">
        <v>2776.93090820313</v>
      </c>
      <c r="T437" s="40">
        <f t="shared" si="89"/>
        <v>0.73242186999777914</v>
      </c>
      <c r="U437">
        <v>34.830551147460902</v>
      </c>
      <c r="V437" s="33">
        <f t="shared" si="85"/>
        <v>2.9983520507954609</v>
      </c>
      <c r="W437">
        <v>231.98548889160199</v>
      </c>
      <c r="X437" s="90">
        <f t="shared" si="86"/>
        <v>9.5062255860227651</v>
      </c>
    </row>
    <row r="438" spans="1:24" x14ac:dyDescent="0.25">
      <c r="A438" s="8">
        <v>42448.125</v>
      </c>
      <c r="B438" s="40">
        <f t="shared" si="78"/>
        <v>3</v>
      </c>
      <c r="C438" s="87">
        <v>55.498870849609403</v>
      </c>
      <c r="D438" s="85">
        <f t="shared" si="79"/>
        <v>0</v>
      </c>
      <c r="E438">
        <v>82.450134277343807</v>
      </c>
      <c r="F438" s="85">
        <f t="shared" si="80"/>
        <v>9.1552734289734872E-2</v>
      </c>
      <c r="G438">
        <v>170.11431884765599</v>
      </c>
      <c r="H438" s="86">
        <f t="shared" si="81"/>
        <v>8.3923339850002776</v>
      </c>
      <c r="I438">
        <v>129.85400390625</v>
      </c>
      <c r="J438" s="86">
        <f t="shared" si="82"/>
        <v>7.3089599609943434</v>
      </c>
      <c r="K438">
        <v>195.72944641113301</v>
      </c>
      <c r="L438" s="86">
        <f t="shared" si="83"/>
        <v>15.350341796988687</v>
      </c>
      <c r="M438">
        <v>222.36984252929699</v>
      </c>
      <c r="N438" s="86">
        <f t="shared" si="84"/>
        <v>15.289306641022904</v>
      </c>
      <c r="O438">
        <v>1519.79895019531</v>
      </c>
      <c r="P438" s="40">
        <f t="shared" si="87"/>
        <v>108.3984375</v>
      </c>
      <c r="Q438">
        <v>1127.58679199219</v>
      </c>
      <c r="R438" s="40">
        <f t="shared" si="88"/>
        <v>0.85449219000111043</v>
      </c>
      <c r="S438">
        <v>2776.931640625</v>
      </c>
      <c r="T438" s="40">
        <f t="shared" si="89"/>
        <v>0.9765625</v>
      </c>
      <c r="U438">
        <v>34.833549499511697</v>
      </c>
      <c r="V438" s="33">
        <f t="shared" si="85"/>
        <v>2.8724670410014141</v>
      </c>
      <c r="W438">
        <v>231.99499511718801</v>
      </c>
      <c r="X438" s="90">
        <f t="shared" si="86"/>
        <v>9.6893310539769573</v>
      </c>
    </row>
    <row r="439" spans="1:24" x14ac:dyDescent="0.25">
      <c r="A439" s="8">
        <v>42448.166666666664</v>
      </c>
      <c r="B439" s="40">
        <f t="shared" si="78"/>
        <v>4</v>
      </c>
      <c r="C439" s="87">
        <v>55.498870849609403</v>
      </c>
      <c r="D439" s="85">
        <f t="shared" si="79"/>
        <v>0</v>
      </c>
      <c r="E439">
        <v>82.450225830078097</v>
      </c>
      <c r="F439" s="85">
        <f t="shared" si="80"/>
        <v>5.5999755860085543</v>
      </c>
      <c r="G439">
        <v>170.12271118164099</v>
      </c>
      <c r="H439" s="86">
        <f t="shared" si="81"/>
        <v>8.8806152340055178</v>
      </c>
      <c r="I439">
        <v>129.86131286621099</v>
      </c>
      <c r="J439" s="86">
        <f t="shared" si="82"/>
        <v>7.7209472659944822</v>
      </c>
      <c r="K439">
        <v>195.74479675293</v>
      </c>
      <c r="L439" s="86">
        <f t="shared" si="83"/>
        <v>15.274047850994066</v>
      </c>
      <c r="M439">
        <v>222.38513183593801</v>
      </c>
      <c r="N439" s="86">
        <f t="shared" si="84"/>
        <v>15.213012694999861</v>
      </c>
      <c r="O439">
        <v>1519.90734863281</v>
      </c>
      <c r="P439" s="40">
        <f t="shared" si="87"/>
        <v>109.00878907000333</v>
      </c>
      <c r="Q439">
        <v>1127.58764648438</v>
      </c>
      <c r="R439" s="40">
        <f t="shared" si="88"/>
        <v>0.73242186999777914</v>
      </c>
      <c r="S439">
        <v>2776.9326171875</v>
      </c>
      <c r="T439" s="40">
        <f t="shared" si="89"/>
        <v>105.22460938000222</v>
      </c>
      <c r="U439">
        <v>34.836421966552699</v>
      </c>
      <c r="V439" s="33">
        <f t="shared" si="85"/>
        <v>2.9487609863991793</v>
      </c>
      <c r="W439">
        <v>232.00468444824199</v>
      </c>
      <c r="X439" s="90">
        <f t="shared" si="86"/>
        <v>9.3688964850002776</v>
      </c>
    </row>
    <row r="440" spans="1:24" x14ac:dyDescent="0.25">
      <c r="A440" s="8">
        <v>42448.208333333336</v>
      </c>
      <c r="B440" s="40">
        <f t="shared" si="78"/>
        <v>5</v>
      </c>
      <c r="C440" s="87">
        <v>55.498870849609403</v>
      </c>
      <c r="D440" s="85">
        <f t="shared" si="79"/>
        <v>0</v>
      </c>
      <c r="E440">
        <v>82.455825805664105</v>
      </c>
      <c r="F440" s="85">
        <f t="shared" si="80"/>
        <v>5.6076049803976957</v>
      </c>
      <c r="G440">
        <v>170.131591796875</v>
      </c>
      <c r="H440" s="86">
        <f t="shared" si="81"/>
        <v>8.8958740230111744</v>
      </c>
      <c r="I440">
        <v>129.86903381347699</v>
      </c>
      <c r="J440" s="86">
        <f t="shared" si="82"/>
        <v>7.6141357420169697</v>
      </c>
      <c r="K440">
        <v>195.76007080078099</v>
      </c>
      <c r="L440" s="86">
        <f t="shared" si="83"/>
        <v>15.304565430000139</v>
      </c>
      <c r="M440">
        <v>222.40034484863301</v>
      </c>
      <c r="N440" s="86">
        <f t="shared" si="84"/>
        <v>15.213012694999861</v>
      </c>
      <c r="O440">
        <v>1520.01635742188</v>
      </c>
      <c r="P440" s="40">
        <f t="shared" si="87"/>
        <v>108.03222655999889</v>
      </c>
      <c r="Q440">
        <v>1127.58837890625</v>
      </c>
      <c r="R440" s="40">
        <f t="shared" si="88"/>
        <v>0.85449219000111043</v>
      </c>
      <c r="S440">
        <v>2777.03784179688</v>
      </c>
      <c r="T440" s="40">
        <f t="shared" si="89"/>
        <v>107.66601561999778</v>
      </c>
      <c r="U440">
        <v>34.839370727539098</v>
      </c>
      <c r="V440" s="33">
        <f t="shared" si="85"/>
        <v>3.162384033203125</v>
      </c>
      <c r="W440">
        <v>232.01405334472699</v>
      </c>
      <c r="X440" s="90">
        <f t="shared" si="86"/>
        <v>8.4381103510224875</v>
      </c>
    </row>
    <row r="441" spans="1:24" x14ac:dyDescent="0.25">
      <c r="A441" s="8">
        <v>42448.25</v>
      </c>
      <c r="B441" s="40">
        <f t="shared" si="78"/>
        <v>6</v>
      </c>
      <c r="C441" s="87">
        <v>55.498870849609403</v>
      </c>
      <c r="D441" s="85">
        <f t="shared" si="79"/>
        <v>7.6293944957228632E-3</v>
      </c>
      <c r="E441">
        <v>82.461433410644503</v>
      </c>
      <c r="F441" s="85">
        <f t="shared" si="80"/>
        <v>5.5999755859943434</v>
      </c>
      <c r="G441">
        <v>170.14048767089801</v>
      </c>
      <c r="H441" s="86">
        <f t="shared" si="81"/>
        <v>8.8195800789776513</v>
      </c>
      <c r="I441">
        <v>129.87664794921901</v>
      </c>
      <c r="J441" s="86">
        <f t="shared" si="82"/>
        <v>7.6751708979827526</v>
      </c>
      <c r="K441">
        <v>195.77537536621099</v>
      </c>
      <c r="L441" s="86">
        <f t="shared" si="83"/>
        <v>15.13671875</v>
      </c>
      <c r="M441">
        <v>222.41555786132801</v>
      </c>
      <c r="N441" s="86">
        <f t="shared" si="84"/>
        <v>15.228271485000278</v>
      </c>
      <c r="O441">
        <v>1520.12438964844</v>
      </c>
      <c r="P441" s="40">
        <f t="shared" si="87"/>
        <v>110.83984375</v>
      </c>
      <c r="Q441">
        <v>1127.58923339844</v>
      </c>
      <c r="R441" s="40">
        <f t="shared" si="88"/>
        <v>0.73242186999777914</v>
      </c>
      <c r="S441">
        <v>2777.1455078125</v>
      </c>
      <c r="T441" s="40">
        <f t="shared" si="89"/>
        <v>105.71289063000222</v>
      </c>
      <c r="U441">
        <v>34.842533111572301</v>
      </c>
      <c r="V441" s="33">
        <f t="shared" si="85"/>
        <v>3.1776428222016762</v>
      </c>
      <c r="W441">
        <v>232.02249145507801</v>
      </c>
      <c r="X441" s="90">
        <f t="shared" si="86"/>
        <v>7.9345703129831691</v>
      </c>
    </row>
    <row r="442" spans="1:24" x14ac:dyDescent="0.25">
      <c r="A442" s="8">
        <v>42448.291666666664</v>
      </c>
      <c r="B442" s="40">
        <f t="shared" si="78"/>
        <v>7</v>
      </c>
      <c r="C442" s="87">
        <v>55.498878479003899</v>
      </c>
      <c r="D442" s="85">
        <f t="shared" si="79"/>
        <v>0</v>
      </c>
      <c r="E442">
        <v>82.467033386230497</v>
      </c>
      <c r="F442" s="85">
        <f t="shared" si="80"/>
        <v>2.9678344725994066</v>
      </c>
      <c r="G442">
        <v>170.14930725097699</v>
      </c>
      <c r="H442" s="86">
        <f t="shared" si="81"/>
        <v>8.4533691399997224</v>
      </c>
      <c r="I442">
        <v>129.88432312011699</v>
      </c>
      <c r="J442" s="86">
        <f t="shared" si="82"/>
        <v>7.4462890630115908</v>
      </c>
      <c r="K442">
        <v>195.79051208496099</v>
      </c>
      <c r="L442" s="86">
        <f t="shared" si="83"/>
        <v>15.396118164005657</v>
      </c>
      <c r="M442">
        <v>222.43078613281301</v>
      </c>
      <c r="N442" s="86">
        <f t="shared" si="84"/>
        <v>15.151977538977235</v>
      </c>
      <c r="O442">
        <v>1520.23522949219</v>
      </c>
      <c r="P442" s="40">
        <f t="shared" si="87"/>
        <v>110.96191405999889</v>
      </c>
      <c r="Q442">
        <v>1127.58996582031</v>
      </c>
      <c r="R442" s="40">
        <f t="shared" si="88"/>
        <v>0.73242188000222086</v>
      </c>
      <c r="S442">
        <v>2777.25122070313</v>
      </c>
      <c r="T442" s="40">
        <f t="shared" si="89"/>
        <v>58.349609369997779</v>
      </c>
      <c r="U442">
        <v>34.845710754394503</v>
      </c>
      <c r="V442" s="33">
        <f t="shared" si="85"/>
        <v>3.31878662109375</v>
      </c>
      <c r="W442">
        <v>232.03042602539099</v>
      </c>
      <c r="X442" s="90">
        <f t="shared" si="86"/>
        <v>10.803222655994205</v>
      </c>
    </row>
    <row r="443" spans="1:24" x14ac:dyDescent="0.25">
      <c r="A443" s="8">
        <v>42448.333333333336</v>
      </c>
      <c r="B443" s="40">
        <f t="shared" si="78"/>
        <v>8</v>
      </c>
      <c r="C443" s="87">
        <v>55.498878479003899</v>
      </c>
      <c r="D443" s="85">
        <f t="shared" si="79"/>
        <v>0</v>
      </c>
      <c r="E443">
        <v>82.470001220703097</v>
      </c>
      <c r="F443" s="85">
        <f t="shared" si="80"/>
        <v>0</v>
      </c>
      <c r="G443">
        <v>170.15776062011699</v>
      </c>
      <c r="H443" s="86">
        <f t="shared" si="81"/>
        <v>8.3160400390056566</v>
      </c>
      <c r="I443">
        <v>129.89176940918</v>
      </c>
      <c r="J443" s="86">
        <f t="shared" si="82"/>
        <v>7.2631835930110356</v>
      </c>
      <c r="K443">
        <v>195.805908203125</v>
      </c>
      <c r="L443" s="86">
        <f t="shared" si="83"/>
        <v>15.106201171988687</v>
      </c>
      <c r="M443">
        <v>222.44593811035199</v>
      </c>
      <c r="N443" s="86">
        <f t="shared" si="84"/>
        <v>15.243530273011174</v>
      </c>
      <c r="O443">
        <v>1520.34619140625</v>
      </c>
      <c r="P443" s="40">
        <f t="shared" si="87"/>
        <v>109.98535155999889</v>
      </c>
      <c r="Q443">
        <v>1127.59069824219</v>
      </c>
      <c r="R443" s="40">
        <f t="shared" si="88"/>
        <v>0.9765625</v>
      </c>
      <c r="S443">
        <v>2777.3095703125</v>
      </c>
      <c r="T443" s="40">
        <f t="shared" si="89"/>
        <v>0.48828125</v>
      </c>
      <c r="U443">
        <v>34.849029541015597</v>
      </c>
      <c r="V443" s="33">
        <f t="shared" si="85"/>
        <v>3.3416748047017109</v>
      </c>
      <c r="W443">
        <v>232.04122924804699</v>
      </c>
      <c r="X443" s="90">
        <f t="shared" si="86"/>
        <v>18.11218261701697</v>
      </c>
    </row>
    <row r="444" spans="1:24" x14ac:dyDescent="0.25">
      <c r="A444" s="8">
        <v>42448.375</v>
      </c>
      <c r="B444" s="40">
        <f t="shared" si="78"/>
        <v>9</v>
      </c>
      <c r="C444" s="87">
        <v>55.498878479003899</v>
      </c>
      <c r="D444" s="85">
        <f t="shared" si="79"/>
        <v>0</v>
      </c>
      <c r="E444">
        <v>82.470001220703097</v>
      </c>
      <c r="F444" s="85">
        <f t="shared" si="80"/>
        <v>0</v>
      </c>
      <c r="G444">
        <v>170.16607666015599</v>
      </c>
      <c r="H444" s="86">
        <f t="shared" si="81"/>
        <v>8.3312988280113132</v>
      </c>
      <c r="I444">
        <v>129.89903259277301</v>
      </c>
      <c r="J444" s="86">
        <f t="shared" si="82"/>
        <v>7.1258544929833079</v>
      </c>
      <c r="K444">
        <v>195.82101440429699</v>
      </c>
      <c r="L444" s="86">
        <f t="shared" si="83"/>
        <v>15.274047851022488</v>
      </c>
      <c r="M444">
        <v>222.461181640625</v>
      </c>
      <c r="N444" s="86">
        <f t="shared" si="84"/>
        <v>15.182495116988548</v>
      </c>
      <c r="O444">
        <v>1520.45617675781</v>
      </c>
      <c r="P444" s="40">
        <f t="shared" si="87"/>
        <v>110.3515625</v>
      </c>
      <c r="Q444">
        <v>1127.59167480469</v>
      </c>
      <c r="R444" s="40">
        <f t="shared" si="88"/>
        <v>0.73242186999777914</v>
      </c>
      <c r="S444">
        <v>2777.31005859375</v>
      </c>
      <c r="T444" s="40">
        <f t="shared" si="89"/>
        <v>0.9765625</v>
      </c>
      <c r="U444">
        <v>34.852371215820298</v>
      </c>
      <c r="V444" s="33">
        <f t="shared" si="85"/>
        <v>3.2768249512002967</v>
      </c>
      <c r="W444">
        <v>232.05934143066401</v>
      </c>
      <c r="X444" s="90">
        <f t="shared" si="86"/>
        <v>19.653320312983169</v>
      </c>
    </row>
    <row r="445" spans="1:24" x14ac:dyDescent="0.25">
      <c r="A445" s="8">
        <v>42448.416666666664</v>
      </c>
      <c r="B445" s="40">
        <f t="shared" si="78"/>
        <v>10</v>
      </c>
      <c r="C445" s="87">
        <v>55.498878479003899</v>
      </c>
      <c r="D445" s="85">
        <f t="shared" si="79"/>
        <v>0</v>
      </c>
      <c r="E445">
        <v>82.470001220703097</v>
      </c>
      <c r="F445" s="85">
        <f t="shared" si="80"/>
        <v>0</v>
      </c>
      <c r="G445">
        <v>170.17440795898401</v>
      </c>
      <c r="H445" s="86">
        <f t="shared" si="81"/>
        <v>8.30078125</v>
      </c>
      <c r="I445">
        <v>129.90615844726599</v>
      </c>
      <c r="J445" s="86">
        <f t="shared" si="82"/>
        <v>7.2326660149997224</v>
      </c>
      <c r="K445">
        <v>195.83628845214801</v>
      </c>
      <c r="L445" s="86">
        <f t="shared" si="83"/>
        <v>15.213012695994621</v>
      </c>
      <c r="M445">
        <v>222.47636413574199</v>
      </c>
      <c r="N445" s="86">
        <f t="shared" si="84"/>
        <v>14.923095703011313</v>
      </c>
      <c r="O445">
        <v>1520.56652832031</v>
      </c>
      <c r="P445" s="40">
        <f t="shared" si="87"/>
        <v>110.10742188000222</v>
      </c>
      <c r="Q445">
        <v>1127.59240722656</v>
      </c>
      <c r="R445" s="40">
        <f t="shared" si="88"/>
        <v>0.73242188000222086</v>
      </c>
      <c r="S445">
        <v>2777.31103515625</v>
      </c>
      <c r="T445" s="40">
        <f t="shared" si="89"/>
        <v>0.73242188000222086</v>
      </c>
      <c r="U445">
        <v>34.855648040771499</v>
      </c>
      <c r="V445" s="33">
        <f t="shared" si="85"/>
        <v>3.2615661621022696</v>
      </c>
      <c r="W445">
        <v>232.07899475097699</v>
      </c>
      <c r="X445" s="90">
        <f t="shared" si="86"/>
        <v>19.775390625</v>
      </c>
    </row>
    <row r="446" spans="1:24" x14ac:dyDescent="0.25">
      <c r="A446" s="8">
        <v>42448.458333333336</v>
      </c>
      <c r="B446" s="40">
        <f t="shared" si="78"/>
        <v>11</v>
      </c>
      <c r="C446" s="87">
        <v>55.498878479003899</v>
      </c>
      <c r="D446" s="85">
        <f t="shared" si="79"/>
        <v>0</v>
      </c>
      <c r="E446">
        <v>82.470001220703097</v>
      </c>
      <c r="F446" s="85">
        <f t="shared" si="80"/>
        <v>0</v>
      </c>
      <c r="G446">
        <v>170.18270874023401</v>
      </c>
      <c r="H446" s="86">
        <f t="shared" si="81"/>
        <v>8.331298829006073</v>
      </c>
      <c r="I446">
        <v>129.91339111328099</v>
      </c>
      <c r="J446" s="86">
        <f t="shared" si="82"/>
        <v>7.2174072270172474</v>
      </c>
      <c r="K446">
        <v>195.85150146484401</v>
      </c>
      <c r="L446" s="86">
        <f t="shared" si="83"/>
        <v>15.289306639999722</v>
      </c>
      <c r="M446">
        <v>222.491287231445</v>
      </c>
      <c r="N446" s="86">
        <f t="shared" si="84"/>
        <v>15.289306640994482</v>
      </c>
      <c r="O446">
        <v>1520.67663574219</v>
      </c>
      <c r="P446" s="40">
        <f t="shared" si="87"/>
        <v>110.59570311999778</v>
      </c>
      <c r="Q446">
        <v>1127.59313964844</v>
      </c>
      <c r="R446" s="40">
        <f t="shared" si="88"/>
        <v>0.73242186999777914</v>
      </c>
      <c r="S446">
        <v>2777.31176757813</v>
      </c>
      <c r="T446" s="40">
        <f t="shared" si="89"/>
        <v>0.48828125</v>
      </c>
      <c r="U446">
        <v>34.858909606933601</v>
      </c>
      <c r="V446" s="33">
        <f t="shared" si="85"/>
        <v>3.2310485839985859</v>
      </c>
      <c r="W446">
        <v>232.09877014160199</v>
      </c>
      <c r="X446" s="90">
        <f t="shared" si="86"/>
        <v>18.798828125</v>
      </c>
    </row>
    <row r="447" spans="1:24" x14ac:dyDescent="0.25">
      <c r="A447" s="8">
        <v>42448.5</v>
      </c>
      <c r="B447" s="40">
        <f t="shared" si="78"/>
        <v>12</v>
      </c>
      <c r="C447" s="87">
        <v>55.498878479003899</v>
      </c>
      <c r="D447" s="85">
        <f t="shared" si="79"/>
        <v>0</v>
      </c>
      <c r="E447">
        <v>82.470001220703097</v>
      </c>
      <c r="F447" s="85">
        <f t="shared" si="80"/>
        <v>5.3787231446023043</v>
      </c>
      <c r="G447">
        <v>170.19104003906301</v>
      </c>
      <c r="H447" s="86">
        <f t="shared" si="81"/>
        <v>8.7738037099995836</v>
      </c>
      <c r="I447">
        <v>129.92060852050801</v>
      </c>
      <c r="J447" s="86">
        <f t="shared" si="82"/>
        <v>7.614135741988548</v>
      </c>
      <c r="K447">
        <v>195.86679077148401</v>
      </c>
      <c r="L447" s="86">
        <f t="shared" si="83"/>
        <v>15.167236329006073</v>
      </c>
      <c r="M447">
        <v>222.50657653808599</v>
      </c>
      <c r="N447" s="86">
        <f t="shared" si="84"/>
        <v>15.304565430000139</v>
      </c>
      <c r="O447">
        <v>1520.78723144531</v>
      </c>
      <c r="P447" s="40">
        <f t="shared" si="87"/>
        <v>109.375</v>
      </c>
      <c r="Q447">
        <v>1127.59387207031</v>
      </c>
      <c r="R447" s="40">
        <f t="shared" si="88"/>
        <v>0.85449219000111043</v>
      </c>
      <c r="S447">
        <v>2777.31225585938</v>
      </c>
      <c r="T447" s="40">
        <f t="shared" si="89"/>
        <v>109.375</v>
      </c>
      <c r="U447">
        <v>34.862140655517599</v>
      </c>
      <c r="V447" s="33">
        <f t="shared" si="85"/>
        <v>3.2501220702982891</v>
      </c>
      <c r="W447">
        <v>232.11756896972699</v>
      </c>
      <c r="X447" s="90">
        <f t="shared" si="86"/>
        <v>19.668579101022488</v>
      </c>
    </row>
    <row r="448" spans="1:24" x14ac:dyDescent="0.25">
      <c r="A448" s="8">
        <v>42448.541666666664</v>
      </c>
      <c r="B448" s="40">
        <f t="shared" si="78"/>
        <v>13</v>
      </c>
      <c r="C448" s="87">
        <v>55.498878479003899</v>
      </c>
      <c r="D448" s="85">
        <f t="shared" si="79"/>
        <v>0</v>
      </c>
      <c r="E448">
        <v>82.475379943847699</v>
      </c>
      <c r="F448" s="85">
        <f t="shared" si="80"/>
        <v>5.5694580077982891</v>
      </c>
      <c r="G448">
        <v>170.19981384277301</v>
      </c>
      <c r="H448" s="86">
        <f t="shared" si="81"/>
        <v>8.621215820994621</v>
      </c>
      <c r="I448">
        <v>129.92822265625</v>
      </c>
      <c r="J448" s="86">
        <f t="shared" si="82"/>
        <v>7.5988769530113132</v>
      </c>
      <c r="K448">
        <v>195.88195800781301</v>
      </c>
      <c r="L448" s="86">
        <f t="shared" si="83"/>
        <v>15.319824217982614</v>
      </c>
      <c r="M448">
        <v>222.52188110351599</v>
      </c>
      <c r="N448" s="86">
        <f t="shared" si="84"/>
        <v>15.319824218011036</v>
      </c>
      <c r="O448">
        <v>1520.89660644531</v>
      </c>
      <c r="P448" s="40">
        <f t="shared" si="87"/>
        <v>111.45019532000333</v>
      </c>
      <c r="Q448">
        <v>1127.5947265625</v>
      </c>
      <c r="R448" s="40">
        <f t="shared" si="88"/>
        <v>0.73242188000222086</v>
      </c>
      <c r="S448">
        <v>2777.42163085938</v>
      </c>
      <c r="T448" s="40">
        <f t="shared" si="89"/>
        <v>117.67578125</v>
      </c>
      <c r="U448">
        <v>34.865390777587898</v>
      </c>
      <c r="V448" s="33">
        <f t="shared" si="85"/>
        <v>3.3264160156036837</v>
      </c>
      <c r="W448">
        <v>232.13723754882801</v>
      </c>
      <c r="X448" s="90">
        <f t="shared" si="86"/>
        <v>19.744873046988687</v>
      </c>
    </row>
    <row r="449" spans="1:24" x14ac:dyDescent="0.25">
      <c r="A449" s="8">
        <v>42448.583333333336</v>
      </c>
      <c r="B449" s="40">
        <f t="shared" si="78"/>
        <v>14</v>
      </c>
      <c r="C449" s="87">
        <v>55.498878479003899</v>
      </c>
      <c r="D449" s="85">
        <f t="shared" si="79"/>
        <v>0</v>
      </c>
      <c r="E449">
        <v>82.480949401855497</v>
      </c>
      <c r="F449" s="85">
        <f t="shared" si="80"/>
        <v>5.5770874023011174</v>
      </c>
      <c r="G449">
        <v>170.20843505859401</v>
      </c>
      <c r="H449" s="86">
        <f t="shared" si="81"/>
        <v>8.8043212890056566</v>
      </c>
      <c r="I449">
        <v>129.93582153320301</v>
      </c>
      <c r="J449" s="86">
        <f t="shared" si="82"/>
        <v>7.5836181639772349</v>
      </c>
      <c r="K449">
        <v>195.89727783203099</v>
      </c>
      <c r="L449" s="86">
        <f t="shared" si="83"/>
        <v>15.365600585994343</v>
      </c>
      <c r="M449">
        <v>222.53720092773401</v>
      </c>
      <c r="N449" s="86">
        <f t="shared" si="84"/>
        <v>15.075683594005795</v>
      </c>
      <c r="O449">
        <v>1521.00805664063</v>
      </c>
      <c r="P449" s="40">
        <f t="shared" si="87"/>
        <v>111.20605467999667</v>
      </c>
      <c r="Q449">
        <v>1127.59545898438</v>
      </c>
      <c r="R449" s="40">
        <f t="shared" si="88"/>
        <v>0.9765625</v>
      </c>
      <c r="S449">
        <v>2777.53930664063</v>
      </c>
      <c r="T449" s="40">
        <f t="shared" si="89"/>
        <v>117.67578125</v>
      </c>
      <c r="U449">
        <v>34.868717193603501</v>
      </c>
      <c r="V449" s="33">
        <f t="shared" si="85"/>
        <v>3.3531188964985859</v>
      </c>
      <c r="W449">
        <v>232.156982421875</v>
      </c>
      <c r="X449" s="90">
        <f t="shared" si="86"/>
        <v>19.577026366988548</v>
      </c>
    </row>
    <row r="450" spans="1:24" x14ac:dyDescent="0.25">
      <c r="A450" s="8">
        <v>42448.625</v>
      </c>
      <c r="B450" s="40">
        <f t="shared" si="78"/>
        <v>15</v>
      </c>
      <c r="C450" s="87">
        <v>55.498878479003899</v>
      </c>
      <c r="D450" s="85">
        <f t="shared" si="79"/>
        <v>1.1444091803980427E-2</v>
      </c>
      <c r="E450">
        <v>82.486526489257798</v>
      </c>
      <c r="F450" s="85">
        <f t="shared" si="80"/>
        <v>5.5694580077982891</v>
      </c>
      <c r="G450">
        <v>170.21723937988301</v>
      </c>
      <c r="H450" s="86">
        <f t="shared" si="81"/>
        <v>8.7432861329830303</v>
      </c>
      <c r="I450">
        <v>129.94340515136699</v>
      </c>
      <c r="J450" s="86">
        <f t="shared" si="82"/>
        <v>7.5836181640056566</v>
      </c>
      <c r="K450">
        <v>195.91264343261699</v>
      </c>
      <c r="L450" s="86">
        <f t="shared" si="83"/>
        <v>15.365600586022765</v>
      </c>
      <c r="M450">
        <v>222.55227661132801</v>
      </c>
      <c r="N450" s="86">
        <f t="shared" si="84"/>
        <v>15.441894530994205</v>
      </c>
      <c r="O450">
        <v>1521.11926269531</v>
      </c>
      <c r="P450" s="40">
        <f t="shared" si="87"/>
        <v>111.45019532000333</v>
      </c>
      <c r="Q450">
        <v>1127.59643554688</v>
      </c>
      <c r="R450" s="40">
        <f t="shared" si="88"/>
        <v>0.85449217999666871</v>
      </c>
      <c r="S450">
        <v>2777.65698242188</v>
      </c>
      <c r="T450" s="40">
        <f t="shared" si="89"/>
        <v>116.45507811999778</v>
      </c>
      <c r="U450">
        <v>34.8720703125</v>
      </c>
      <c r="V450" s="33">
        <f t="shared" si="85"/>
        <v>3.3721923827982891</v>
      </c>
      <c r="W450">
        <v>232.17655944824199</v>
      </c>
      <c r="X450" s="90">
        <f t="shared" si="86"/>
        <v>19.714355469005795</v>
      </c>
    </row>
    <row r="451" spans="1:24" x14ac:dyDescent="0.25">
      <c r="A451" s="8">
        <v>42448.666666666664</v>
      </c>
      <c r="B451" s="40">
        <f t="shared" si="78"/>
        <v>16</v>
      </c>
      <c r="C451" s="87">
        <v>55.498889923095703</v>
      </c>
      <c r="D451" s="85">
        <f t="shared" si="79"/>
        <v>0</v>
      </c>
      <c r="E451">
        <v>82.492095947265597</v>
      </c>
      <c r="F451" s="85">
        <f t="shared" si="80"/>
        <v>5.59234619140625</v>
      </c>
      <c r="G451">
        <v>170.22598266601599</v>
      </c>
      <c r="H451" s="86">
        <f t="shared" si="81"/>
        <v>8.7432861320166921</v>
      </c>
      <c r="I451">
        <v>129.95098876953099</v>
      </c>
      <c r="J451" s="86">
        <f t="shared" si="82"/>
        <v>7.5836181640056566</v>
      </c>
      <c r="K451">
        <v>195.92800903320301</v>
      </c>
      <c r="L451" s="86">
        <f t="shared" si="83"/>
        <v>15.304565430000139</v>
      </c>
      <c r="M451">
        <v>222.56771850585901</v>
      </c>
      <c r="N451" s="86">
        <f t="shared" si="84"/>
        <v>15.228271485000278</v>
      </c>
      <c r="O451">
        <v>1521.23071289063</v>
      </c>
      <c r="P451" s="40">
        <f t="shared" si="87"/>
        <v>112.54882811999778</v>
      </c>
      <c r="Q451">
        <v>1127.59729003906</v>
      </c>
      <c r="R451" s="40">
        <f t="shared" si="88"/>
        <v>0.73242188000222086</v>
      </c>
      <c r="S451">
        <v>2777.7734375</v>
      </c>
      <c r="T451" s="40">
        <f t="shared" si="89"/>
        <v>19.775390630002221</v>
      </c>
      <c r="U451">
        <v>34.875442504882798</v>
      </c>
      <c r="V451" s="33">
        <f t="shared" si="85"/>
        <v>3.479003906299738</v>
      </c>
      <c r="W451">
        <v>232.19627380371099</v>
      </c>
      <c r="X451" s="90">
        <f t="shared" si="86"/>
        <v>19.683837890994482</v>
      </c>
    </row>
    <row r="452" spans="1:24" x14ac:dyDescent="0.25">
      <c r="A452" s="8">
        <v>42448.708333333336</v>
      </c>
      <c r="B452" s="40">
        <f t="shared" ref="B452:B507" si="90">+HOUR(A452)</f>
        <v>17</v>
      </c>
      <c r="C452" s="87">
        <v>55.498889923095703</v>
      </c>
      <c r="D452" s="85">
        <f t="shared" ref="D452:D506" si="91">+(C453-C452)*1000</f>
        <v>0</v>
      </c>
      <c r="E452">
        <v>82.497688293457003</v>
      </c>
      <c r="F452" s="85">
        <f t="shared" ref="F452:F506" si="92">+(E453-E452)*1000</f>
        <v>5.5694580077982891</v>
      </c>
      <c r="G452">
        <v>170.23472595214801</v>
      </c>
      <c r="H452" s="86">
        <f t="shared" ref="H452:H506" si="93">+(G453-G452)*1000</f>
        <v>8.7738037109943434</v>
      </c>
      <c r="I452">
        <v>129.958572387695</v>
      </c>
      <c r="J452" s="86">
        <f t="shared" ref="J452:J506" si="94">+(I453-I452)*1000</f>
        <v>7.5836181640056566</v>
      </c>
      <c r="K452">
        <v>195.94331359863301</v>
      </c>
      <c r="L452" s="86">
        <f t="shared" ref="L452:L506" si="95">+(K453-K452)*1000</f>
        <v>15.426635741988548</v>
      </c>
      <c r="M452">
        <v>222.58294677734401</v>
      </c>
      <c r="N452" s="86">
        <f t="shared" ref="N452:N506" si="96">+(M453-M452)*1000</f>
        <v>15.289306639999722</v>
      </c>
      <c r="O452">
        <v>1521.34326171875</v>
      </c>
      <c r="P452" s="40">
        <f t="shared" si="87"/>
        <v>109.25292969000111</v>
      </c>
      <c r="Q452">
        <v>1127.59802246094</v>
      </c>
      <c r="R452" s="40">
        <f t="shared" si="88"/>
        <v>0.73242186999777914</v>
      </c>
      <c r="S452">
        <v>2777.79321289063</v>
      </c>
      <c r="T452" s="40">
        <f t="shared" si="89"/>
        <v>79.1015625</v>
      </c>
      <c r="U452">
        <v>34.878921508789098</v>
      </c>
      <c r="V452" s="33">
        <f t="shared" ref="V452:V506" si="97">+(U453-U452)*1000</f>
        <v>3.3683776855042424</v>
      </c>
      <c r="W452">
        <v>232.21595764160199</v>
      </c>
      <c r="X452" s="90">
        <f t="shared" ref="X452:X506" si="98">+(W453-W452)*1000</f>
        <v>19.317626953011313</v>
      </c>
    </row>
    <row r="453" spans="1:24" x14ac:dyDescent="0.25">
      <c r="A453" s="8">
        <v>42448.75</v>
      </c>
      <c r="B453" s="40">
        <f t="shared" si="90"/>
        <v>18</v>
      </c>
      <c r="C453" s="87">
        <v>55.498889923095703</v>
      </c>
      <c r="D453" s="85">
        <f t="shared" si="91"/>
        <v>7.6293944957228632E-3</v>
      </c>
      <c r="E453">
        <v>82.503257751464801</v>
      </c>
      <c r="F453" s="85">
        <f t="shared" si="92"/>
        <v>5.470275879005726</v>
      </c>
      <c r="G453">
        <v>170.24349975585901</v>
      </c>
      <c r="H453" s="86">
        <f t="shared" si="93"/>
        <v>8.7890625</v>
      </c>
      <c r="I453">
        <v>129.96615600585901</v>
      </c>
      <c r="J453" s="86">
        <f t="shared" si="94"/>
        <v>7.6904296879831691</v>
      </c>
      <c r="K453">
        <v>195.958740234375</v>
      </c>
      <c r="L453" s="86">
        <f t="shared" si="95"/>
        <v>15.319824219005795</v>
      </c>
      <c r="M453">
        <v>222.59823608398401</v>
      </c>
      <c r="N453" s="86">
        <f t="shared" si="96"/>
        <v>15.411376954006073</v>
      </c>
      <c r="O453">
        <v>1521.45251464844</v>
      </c>
      <c r="P453" s="40">
        <f t="shared" si="87"/>
        <v>111.57226561999778</v>
      </c>
      <c r="Q453">
        <v>1127.59875488281</v>
      </c>
      <c r="R453" s="40">
        <f t="shared" si="88"/>
        <v>0.85449219000111043</v>
      </c>
      <c r="S453">
        <v>2777.87231445313</v>
      </c>
      <c r="T453" s="40">
        <f t="shared" si="89"/>
        <v>237.3046875</v>
      </c>
      <c r="U453">
        <v>34.882289886474602</v>
      </c>
      <c r="V453" s="33">
        <f t="shared" si="97"/>
        <v>3.2234191894957576</v>
      </c>
      <c r="W453">
        <v>232.235275268555</v>
      </c>
      <c r="X453" s="90">
        <f t="shared" si="98"/>
        <v>19.485473633011452</v>
      </c>
    </row>
    <row r="454" spans="1:24" x14ac:dyDescent="0.25">
      <c r="A454" s="8">
        <v>42448.791666666664</v>
      </c>
      <c r="B454" s="40">
        <f t="shared" si="90"/>
        <v>19</v>
      </c>
      <c r="C454" s="87">
        <v>55.498897552490199</v>
      </c>
      <c r="D454" s="85">
        <f t="shared" si="91"/>
        <v>2.2888183600855427E-2</v>
      </c>
      <c r="E454">
        <v>82.508728027343807</v>
      </c>
      <c r="F454" s="85">
        <f t="shared" si="92"/>
        <v>5.5618286131959849</v>
      </c>
      <c r="G454">
        <v>170.25228881835901</v>
      </c>
      <c r="H454" s="86">
        <f t="shared" si="93"/>
        <v>8.7585449219886868</v>
      </c>
      <c r="I454">
        <v>129.97384643554699</v>
      </c>
      <c r="J454" s="86">
        <f t="shared" si="94"/>
        <v>7.5073242190057954</v>
      </c>
      <c r="K454">
        <v>195.97406005859401</v>
      </c>
      <c r="L454" s="86">
        <f t="shared" si="95"/>
        <v>15.380859375</v>
      </c>
      <c r="M454">
        <v>222.61364746093801</v>
      </c>
      <c r="N454" s="86">
        <f t="shared" si="96"/>
        <v>15.151977538977235</v>
      </c>
      <c r="O454">
        <v>1521.56408691406</v>
      </c>
      <c r="P454" s="40">
        <f t="shared" si="87"/>
        <v>111.81640625</v>
      </c>
      <c r="Q454">
        <v>1127.599609375</v>
      </c>
      <c r="R454" s="40">
        <f t="shared" si="88"/>
        <v>0.85449219000111043</v>
      </c>
      <c r="S454">
        <v>2778.10961914063</v>
      </c>
      <c r="T454" s="40">
        <f t="shared" si="89"/>
        <v>224.85351561999778</v>
      </c>
      <c r="U454">
        <v>34.885513305664098</v>
      </c>
      <c r="V454" s="33">
        <f t="shared" si="97"/>
        <v>3.3836364746022696</v>
      </c>
      <c r="W454">
        <v>232.25476074218801</v>
      </c>
      <c r="X454" s="90">
        <f t="shared" si="98"/>
        <v>16.006469725994066</v>
      </c>
    </row>
    <row r="455" spans="1:24" x14ac:dyDescent="0.25">
      <c r="A455" s="8">
        <v>42448.833333333336</v>
      </c>
      <c r="B455" s="40">
        <f t="shared" si="90"/>
        <v>20</v>
      </c>
      <c r="C455" s="87">
        <v>55.4989204406738</v>
      </c>
      <c r="D455" s="85">
        <f t="shared" si="91"/>
        <v>7.6293946023042736E-3</v>
      </c>
      <c r="E455">
        <v>82.514289855957003</v>
      </c>
      <c r="F455" s="85">
        <f t="shared" si="92"/>
        <v>5.5999755859943434</v>
      </c>
      <c r="G455">
        <v>170.26104736328099</v>
      </c>
      <c r="H455" s="86">
        <f t="shared" si="93"/>
        <v>8.7585449220171085</v>
      </c>
      <c r="I455">
        <v>129.98135375976599</v>
      </c>
      <c r="J455" s="86">
        <f t="shared" si="94"/>
        <v>7.568359375</v>
      </c>
      <c r="K455">
        <v>195.98944091796901</v>
      </c>
      <c r="L455" s="86">
        <f t="shared" si="95"/>
        <v>15.243530272982753</v>
      </c>
      <c r="M455">
        <v>222.62879943847699</v>
      </c>
      <c r="N455" s="86">
        <f t="shared" si="96"/>
        <v>15.380859375</v>
      </c>
      <c r="O455">
        <v>1521.67590332031</v>
      </c>
      <c r="P455" s="40">
        <f t="shared" si="87"/>
        <v>109.98535157000333</v>
      </c>
      <c r="Q455">
        <v>1127.60046386719</v>
      </c>
      <c r="R455" s="40">
        <f t="shared" si="88"/>
        <v>0.85449219000111043</v>
      </c>
      <c r="S455">
        <v>2778.33447265625</v>
      </c>
      <c r="T455" s="40">
        <f t="shared" si="89"/>
        <v>226.5625</v>
      </c>
      <c r="U455">
        <v>34.8888969421387</v>
      </c>
      <c r="V455" s="33">
        <f t="shared" si="97"/>
        <v>3.4027099609019729</v>
      </c>
      <c r="W455">
        <v>232.27076721191401</v>
      </c>
      <c r="X455" s="90">
        <f t="shared" si="98"/>
        <v>16.189575194999861</v>
      </c>
    </row>
    <row r="456" spans="1:24" x14ac:dyDescent="0.25">
      <c r="A456" s="8">
        <v>42448.875</v>
      </c>
      <c r="B456" s="40">
        <f t="shared" si="90"/>
        <v>21</v>
      </c>
      <c r="C456" s="87">
        <v>55.498928070068402</v>
      </c>
      <c r="D456" s="85">
        <f t="shared" si="91"/>
        <v>1.1444091796875E-2</v>
      </c>
      <c r="E456">
        <v>82.519889831542997</v>
      </c>
      <c r="F456" s="85">
        <f t="shared" si="92"/>
        <v>5.5694580077982891</v>
      </c>
      <c r="G456">
        <v>170.26980590820301</v>
      </c>
      <c r="H456" s="86">
        <f t="shared" si="93"/>
        <v>8.7585449219886868</v>
      </c>
      <c r="I456">
        <v>129.98892211914099</v>
      </c>
      <c r="J456" s="86">
        <f t="shared" si="94"/>
        <v>7.6141357420169697</v>
      </c>
      <c r="K456">
        <v>196.00468444824199</v>
      </c>
      <c r="L456" s="86">
        <f t="shared" si="95"/>
        <v>15.365600586022765</v>
      </c>
      <c r="M456">
        <v>222.64418029785199</v>
      </c>
      <c r="N456" s="86">
        <f t="shared" si="96"/>
        <v>15.411376953011313</v>
      </c>
      <c r="O456">
        <v>1521.78588867188</v>
      </c>
      <c r="P456" s="40">
        <f t="shared" si="87"/>
        <v>112.18261717999667</v>
      </c>
      <c r="Q456">
        <v>1127.60131835938</v>
      </c>
      <c r="R456" s="40">
        <f t="shared" si="88"/>
        <v>0.9765625</v>
      </c>
      <c r="S456">
        <v>2778.56103515625</v>
      </c>
      <c r="T456" s="40">
        <f t="shared" si="89"/>
        <v>143.79882813000222</v>
      </c>
      <c r="U456">
        <v>34.892299652099602</v>
      </c>
      <c r="V456" s="33">
        <f t="shared" si="97"/>
        <v>3.41796875</v>
      </c>
      <c r="W456">
        <v>232.28695678710901</v>
      </c>
      <c r="X456" s="90">
        <f t="shared" si="98"/>
        <v>16.250610351988826</v>
      </c>
    </row>
    <row r="457" spans="1:24" x14ac:dyDescent="0.25">
      <c r="A457" s="8">
        <v>42448.916666666664</v>
      </c>
      <c r="B457" s="40">
        <f t="shared" si="90"/>
        <v>22</v>
      </c>
      <c r="C457" s="87">
        <v>55.498939514160199</v>
      </c>
      <c r="D457" s="85">
        <f t="shared" si="91"/>
        <v>0</v>
      </c>
      <c r="E457">
        <v>82.525459289550795</v>
      </c>
      <c r="F457" s="85">
        <f t="shared" si="92"/>
        <v>5.5770874023011174</v>
      </c>
      <c r="G457">
        <v>170.278564453125</v>
      </c>
      <c r="H457" s="86">
        <f t="shared" si="93"/>
        <v>8.590698241988548</v>
      </c>
      <c r="I457">
        <v>129.99653625488301</v>
      </c>
      <c r="J457" s="86">
        <f t="shared" si="94"/>
        <v>7.614135741988548</v>
      </c>
      <c r="K457">
        <v>196.02005004882801</v>
      </c>
      <c r="L457" s="86">
        <f t="shared" si="95"/>
        <v>15.304565430000139</v>
      </c>
      <c r="M457">
        <v>222.659591674805</v>
      </c>
      <c r="N457" s="86">
        <f t="shared" si="96"/>
        <v>15.121459960994343</v>
      </c>
      <c r="O457">
        <v>1521.89807128906</v>
      </c>
      <c r="P457" s="40">
        <f t="shared" si="87"/>
        <v>112.18261719000111</v>
      </c>
      <c r="Q457">
        <v>1127.60229492188</v>
      </c>
      <c r="R457" s="40">
        <f t="shared" si="88"/>
        <v>0.73242186999777914</v>
      </c>
      <c r="S457">
        <v>2778.70483398438</v>
      </c>
      <c r="T457" s="40">
        <f t="shared" si="89"/>
        <v>105.71289061999778</v>
      </c>
      <c r="U457">
        <v>34.895717620849602</v>
      </c>
      <c r="V457" s="33">
        <f t="shared" si="97"/>
        <v>3.3416748046946054</v>
      </c>
      <c r="W457">
        <v>232.30320739746099</v>
      </c>
      <c r="X457" s="90">
        <f t="shared" si="98"/>
        <v>16.052246094005795</v>
      </c>
    </row>
    <row r="458" spans="1:24" x14ac:dyDescent="0.25">
      <c r="A458" s="8">
        <v>42448.958333333336</v>
      </c>
      <c r="B458" s="40">
        <f t="shared" si="90"/>
        <v>23</v>
      </c>
      <c r="C458" s="87">
        <v>55.498939514160199</v>
      </c>
      <c r="D458" s="85">
        <f t="shared" si="91"/>
        <v>0</v>
      </c>
      <c r="E458">
        <v>82.531036376953097</v>
      </c>
      <c r="F458" s="85">
        <f t="shared" si="92"/>
        <v>5.5694580077982891</v>
      </c>
      <c r="G458">
        <v>170.28715515136699</v>
      </c>
      <c r="H458" s="86">
        <f t="shared" si="93"/>
        <v>8.8043212890056566</v>
      </c>
      <c r="I458">
        <v>130.004150390625</v>
      </c>
      <c r="J458" s="86">
        <f t="shared" si="94"/>
        <v>7.6293945309942046</v>
      </c>
      <c r="K458">
        <v>196.03535461425801</v>
      </c>
      <c r="L458" s="86">
        <f t="shared" si="95"/>
        <v>15.304565430000139</v>
      </c>
      <c r="M458">
        <v>222.67471313476599</v>
      </c>
      <c r="N458" s="86">
        <f t="shared" si="96"/>
        <v>15.213012694999861</v>
      </c>
      <c r="O458">
        <v>1522.01025390625</v>
      </c>
      <c r="P458" s="40">
        <f t="shared" si="87"/>
        <v>109.86328125</v>
      </c>
      <c r="Q458">
        <v>1127.60302734375</v>
      </c>
      <c r="R458" s="40">
        <f t="shared" si="88"/>
        <v>0.85449219000111043</v>
      </c>
      <c r="S458">
        <v>2778.810546875</v>
      </c>
      <c r="T458" s="40">
        <f t="shared" si="89"/>
        <v>104.00390625</v>
      </c>
      <c r="U458">
        <v>34.899059295654297</v>
      </c>
      <c r="V458" s="33">
        <f t="shared" si="97"/>
        <v>3.2691955566050979</v>
      </c>
      <c r="W458">
        <v>232.319259643555</v>
      </c>
      <c r="X458" s="90">
        <f t="shared" si="98"/>
        <v>13.610839843011036</v>
      </c>
    </row>
    <row r="459" spans="1:24" x14ac:dyDescent="0.25">
      <c r="A459" s="8">
        <v>42449</v>
      </c>
      <c r="B459" s="40">
        <f t="shared" si="90"/>
        <v>0</v>
      </c>
      <c r="C459" s="87">
        <v>55.498939514160199</v>
      </c>
      <c r="D459" s="85">
        <f t="shared" si="91"/>
        <v>0</v>
      </c>
      <c r="E459">
        <v>82.536605834960895</v>
      </c>
      <c r="F459" s="85">
        <f t="shared" si="92"/>
        <v>5.5847167969034217</v>
      </c>
      <c r="G459">
        <v>170.29595947265599</v>
      </c>
      <c r="H459" s="86">
        <f t="shared" si="93"/>
        <v>8.8043212890056566</v>
      </c>
      <c r="I459">
        <v>130.01177978515599</v>
      </c>
      <c r="J459" s="86">
        <f t="shared" si="94"/>
        <v>7.6293945320173862</v>
      </c>
      <c r="K459">
        <v>196.05065917968801</v>
      </c>
      <c r="L459" s="86">
        <f t="shared" si="95"/>
        <v>15.289306639999722</v>
      </c>
      <c r="M459">
        <v>222.68992614746099</v>
      </c>
      <c r="N459" s="86">
        <f t="shared" si="96"/>
        <v>15.335083008011452</v>
      </c>
      <c r="O459">
        <v>1522.1201171875</v>
      </c>
      <c r="P459" s="40">
        <f t="shared" si="87"/>
        <v>111.20605469000111</v>
      </c>
      <c r="Q459">
        <v>1127.60388183594</v>
      </c>
      <c r="R459" s="40">
        <f t="shared" si="88"/>
        <v>0.85449219000111043</v>
      </c>
      <c r="S459">
        <v>2778.91455078125</v>
      </c>
      <c r="T459" s="40">
        <f t="shared" si="89"/>
        <v>101.31835938000222</v>
      </c>
      <c r="U459">
        <v>34.902328491210902</v>
      </c>
      <c r="V459" s="33">
        <f t="shared" si="97"/>
        <v>3.2424926757954609</v>
      </c>
      <c r="W459">
        <v>232.33287048339801</v>
      </c>
      <c r="X459" s="90">
        <f t="shared" si="98"/>
        <v>11.42883300798303</v>
      </c>
    </row>
    <row r="460" spans="1:24" x14ac:dyDescent="0.25">
      <c r="A460" s="8">
        <v>42449.041666666664</v>
      </c>
      <c r="B460" s="40">
        <f t="shared" si="90"/>
        <v>1</v>
      </c>
      <c r="C460" s="87">
        <v>55.498939514160199</v>
      </c>
      <c r="D460" s="85">
        <f t="shared" si="91"/>
        <v>0</v>
      </c>
      <c r="E460">
        <v>82.542190551757798</v>
      </c>
      <c r="F460" s="85">
        <f t="shared" si="92"/>
        <v>5.5847167969034217</v>
      </c>
      <c r="G460">
        <v>170.304763793945</v>
      </c>
      <c r="H460" s="86">
        <f t="shared" si="93"/>
        <v>8.7585449219886868</v>
      </c>
      <c r="I460">
        <v>130.01940917968801</v>
      </c>
      <c r="J460" s="86">
        <f t="shared" si="94"/>
        <v>7.614135741988548</v>
      </c>
      <c r="K460">
        <v>196.06594848632801</v>
      </c>
      <c r="L460" s="86">
        <f t="shared" si="95"/>
        <v>15.045166015994482</v>
      </c>
      <c r="M460">
        <v>222.70526123046901</v>
      </c>
      <c r="N460" s="86">
        <f t="shared" si="96"/>
        <v>15.09094238298303</v>
      </c>
      <c r="O460">
        <v>1522.23132324219</v>
      </c>
      <c r="P460" s="40">
        <f t="shared" si="87"/>
        <v>111.57226561999778</v>
      </c>
      <c r="Q460">
        <v>1127.60473632813</v>
      </c>
      <c r="R460" s="40">
        <f t="shared" si="88"/>
        <v>0.73242186999777914</v>
      </c>
      <c r="S460">
        <v>2779.01586914063</v>
      </c>
      <c r="T460" s="40">
        <f t="shared" si="89"/>
        <v>100.34179686999778</v>
      </c>
      <c r="U460">
        <v>34.905570983886697</v>
      </c>
      <c r="V460" s="33">
        <f t="shared" si="97"/>
        <v>3.356933593799738</v>
      </c>
      <c r="W460">
        <v>232.34429931640599</v>
      </c>
      <c r="X460" s="90">
        <f t="shared" si="98"/>
        <v>10.070800782017386</v>
      </c>
    </row>
    <row r="461" spans="1:24" x14ac:dyDescent="0.25">
      <c r="A461" s="8">
        <v>42449.083333333336</v>
      </c>
      <c r="B461" s="40">
        <f t="shared" si="90"/>
        <v>2</v>
      </c>
      <c r="C461" s="87">
        <v>55.498939514160199</v>
      </c>
      <c r="D461" s="85">
        <f t="shared" si="91"/>
        <v>0</v>
      </c>
      <c r="E461">
        <v>82.547775268554702</v>
      </c>
      <c r="F461" s="85">
        <f t="shared" si="92"/>
        <v>1.8997192382954609</v>
      </c>
      <c r="G461">
        <v>170.31352233886699</v>
      </c>
      <c r="H461" s="86">
        <f t="shared" si="93"/>
        <v>8.4838867190057954</v>
      </c>
      <c r="I461">
        <v>130.02702331543</v>
      </c>
      <c r="J461" s="86">
        <f t="shared" si="94"/>
        <v>7.3394775390056566</v>
      </c>
      <c r="K461">
        <v>196.08099365234401</v>
      </c>
      <c r="L461" s="86">
        <f t="shared" si="95"/>
        <v>15.502929686988409</v>
      </c>
      <c r="M461">
        <v>222.72035217285199</v>
      </c>
      <c r="N461" s="86">
        <f t="shared" si="96"/>
        <v>15.304565429005379</v>
      </c>
      <c r="O461">
        <v>1522.34289550781</v>
      </c>
      <c r="P461" s="40">
        <f t="shared" si="87"/>
        <v>111.81640625</v>
      </c>
      <c r="Q461">
        <v>1127.60546875</v>
      </c>
      <c r="R461" s="40">
        <f t="shared" si="88"/>
        <v>0.73242188000222086</v>
      </c>
      <c r="S461">
        <v>2779.1162109375</v>
      </c>
      <c r="T461" s="40">
        <f t="shared" si="89"/>
        <v>31.982421880002221</v>
      </c>
      <c r="U461">
        <v>34.908927917480497</v>
      </c>
      <c r="V461" s="33">
        <f t="shared" si="97"/>
        <v>3.3035278320028283</v>
      </c>
      <c r="W461">
        <v>232.35437011718801</v>
      </c>
      <c r="X461" s="90">
        <f t="shared" si="98"/>
        <v>10.070800780994205</v>
      </c>
    </row>
    <row r="462" spans="1:24" x14ac:dyDescent="0.25">
      <c r="A462" s="8">
        <v>42449.125</v>
      </c>
      <c r="B462" s="40">
        <f t="shared" si="90"/>
        <v>3</v>
      </c>
      <c r="C462" s="87">
        <v>55.498939514160199</v>
      </c>
      <c r="D462" s="85">
        <v>0</v>
      </c>
      <c r="E462">
        <v>82.549674987792997</v>
      </c>
      <c r="F462" s="85">
        <f t="shared" si="92"/>
        <v>0</v>
      </c>
      <c r="G462">
        <v>170.32200622558599</v>
      </c>
      <c r="H462" s="86">
        <f t="shared" si="93"/>
        <v>8.30078125</v>
      </c>
      <c r="I462">
        <v>130.03436279296901</v>
      </c>
      <c r="J462" s="86">
        <f t="shared" si="94"/>
        <v>7.1105957029828915</v>
      </c>
      <c r="K462">
        <v>196.09649658203099</v>
      </c>
      <c r="L462" s="86">
        <f t="shared" si="95"/>
        <v>15.380859375</v>
      </c>
      <c r="M462">
        <v>222.73565673828099</v>
      </c>
      <c r="N462" s="86">
        <f t="shared" si="96"/>
        <v>15.350341797017109</v>
      </c>
      <c r="O462">
        <v>1522.45471191406</v>
      </c>
      <c r="P462" s="40">
        <f t="shared" si="87"/>
        <v>109.25292969000111</v>
      </c>
      <c r="Q462">
        <v>1127.60620117188</v>
      </c>
      <c r="R462" s="40">
        <f t="shared" si="88"/>
        <v>0.85449217999666871</v>
      </c>
      <c r="S462">
        <v>2779.14819335938</v>
      </c>
      <c r="T462" s="40">
        <f t="shared" si="89"/>
        <v>0.73242186999777914</v>
      </c>
      <c r="U462">
        <v>34.9122314453125</v>
      </c>
      <c r="V462" s="33">
        <f t="shared" si="97"/>
        <v>3.1661987304971717</v>
      </c>
      <c r="W462">
        <v>232.36444091796901</v>
      </c>
      <c r="X462" s="90">
        <f t="shared" si="98"/>
        <v>9.6130371090055178</v>
      </c>
    </row>
    <row r="463" spans="1:24" x14ac:dyDescent="0.25">
      <c r="A463" s="8">
        <v>42449.166666666664</v>
      </c>
      <c r="B463" s="40">
        <f t="shared" si="90"/>
        <v>4</v>
      </c>
      <c r="C463">
        <f>+C462+(C464-C462)/2</f>
        <v>55.498939514160199</v>
      </c>
      <c r="D463" s="85">
        <v>0</v>
      </c>
      <c r="E463">
        <v>82.549674987792997</v>
      </c>
      <c r="F463" s="85">
        <f t="shared" si="92"/>
        <v>0</v>
      </c>
      <c r="G463">
        <v>170.33030700683599</v>
      </c>
      <c r="H463" s="86">
        <f t="shared" si="93"/>
        <v>8.3312988280113132</v>
      </c>
      <c r="I463">
        <v>130.04147338867199</v>
      </c>
      <c r="J463" s="86">
        <f t="shared" si="94"/>
        <v>7.2479248050001388</v>
      </c>
      <c r="K463">
        <v>196.11187744140599</v>
      </c>
      <c r="L463" s="86">
        <f t="shared" si="95"/>
        <v>15.075683594005795</v>
      </c>
      <c r="M463">
        <v>222.75100708007801</v>
      </c>
      <c r="N463" s="86">
        <f t="shared" si="96"/>
        <v>15.33508300798303</v>
      </c>
      <c r="O463">
        <v>1522.56396484375</v>
      </c>
      <c r="P463" s="40">
        <f t="shared" si="87"/>
        <v>110.3515625</v>
      </c>
      <c r="Q463">
        <v>1127.60705566406</v>
      </c>
      <c r="R463" s="40">
        <f t="shared" si="88"/>
        <v>0.85449219000111043</v>
      </c>
      <c r="S463">
        <v>2779.14892578125</v>
      </c>
      <c r="T463" s="40">
        <f t="shared" si="89"/>
        <v>0.73242188000222086</v>
      </c>
      <c r="U463">
        <v>34.915397644042997</v>
      </c>
      <c r="V463" s="33">
        <f t="shared" si="97"/>
        <v>3.112792968700262</v>
      </c>
      <c r="W463">
        <v>232.37405395507801</v>
      </c>
      <c r="X463" s="90">
        <f t="shared" si="98"/>
        <v>9.0179443359943434</v>
      </c>
    </row>
    <row r="464" spans="1:24" x14ac:dyDescent="0.25">
      <c r="A464" s="8">
        <v>42449.208333333336</v>
      </c>
      <c r="B464" s="40">
        <f t="shared" si="90"/>
        <v>5</v>
      </c>
      <c r="C464" s="87">
        <v>55.498939514160199</v>
      </c>
      <c r="D464" s="85">
        <f t="shared" si="91"/>
        <v>0</v>
      </c>
      <c r="E464">
        <v>82.549674987792997</v>
      </c>
      <c r="F464" s="85">
        <f t="shared" si="92"/>
        <v>0.37384033200282829</v>
      </c>
      <c r="G464">
        <v>170.33863830566401</v>
      </c>
      <c r="H464" s="86">
        <f t="shared" si="93"/>
        <v>8.2855224609943434</v>
      </c>
      <c r="I464">
        <v>130.04872131347699</v>
      </c>
      <c r="J464" s="86">
        <f t="shared" si="94"/>
        <v>7.2784423820166921</v>
      </c>
      <c r="K464">
        <v>196.126953125</v>
      </c>
      <c r="L464" s="86">
        <f t="shared" si="95"/>
        <v>15.411376953011313</v>
      </c>
      <c r="M464">
        <v>222.76634216308599</v>
      </c>
      <c r="N464" s="86">
        <f t="shared" si="96"/>
        <v>15.304565430000139</v>
      </c>
      <c r="O464">
        <v>1522.67431640625</v>
      </c>
      <c r="P464" s="40">
        <f t="shared" si="87"/>
        <v>110.83984375</v>
      </c>
      <c r="Q464">
        <v>1127.60791015625</v>
      </c>
      <c r="R464" s="40">
        <f t="shared" si="88"/>
        <v>0.61035155999888957</v>
      </c>
      <c r="S464">
        <v>2779.14965820313</v>
      </c>
      <c r="T464" s="40">
        <f t="shared" si="89"/>
        <v>3.41796875</v>
      </c>
      <c r="U464">
        <v>34.918510437011697</v>
      </c>
      <c r="V464" s="33">
        <f t="shared" si="97"/>
        <v>3.089904785205988</v>
      </c>
      <c r="W464">
        <v>232.38307189941401</v>
      </c>
      <c r="X464" s="90">
        <f t="shared" si="98"/>
        <v>14.831542969005795</v>
      </c>
    </row>
    <row r="465" spans="1:24" x14ac:dyDescent="0.25">
      <c r="A465" s="8">
        <v>42449.25</v>
      </c>
      <c r="B465" s="40">
        <f t="shared" si="90"/>
        <v>6</v>
      </c>
      <c r="C465" s="87">
        <v>55.498939514160199</v>
      </c>
      <c r="D465" s="85">
        <f t="shared" si="91"/>
        <v>0</v>
      </c>
      <c r="E465">
        <v>82.550048828125</v>
      </c>
      <c r="F465" s="85">
        <f t="shared" si="92"/>
        <v>5.59234619140625</v>
      </c>
      <c r="G465">
        <v>170.346923828125</v>
      </c>
      <c r="H465" s="86">
        <f t="shared" si="93"/>
        <v>8.7890625</v>
      </c>
      <c r="I465">
        <v>130.05599975585901</v>
      </c>
      <c r="J465" s="86">
        <f t="shared" si="94"/>
        <v>7.6751708990059342</v>
      </c>
      <c r="K465">
        <v>196.14236450195301</v>
      </c>
      <c r="L465" s="86">
        <f t="shared" si="95"/>
        <v>15.197753905994205</v>
      </c>
      <c r="M465">
        <v>222.78164672851599</v>
      </c>
      <c r="N465" s="86">
        <f t="shared" si="96"/>
        <v>15.197753905994205</v>
      </c>
      <c r="O465">
        <v>1522.78515625</v>
      </c>
      <c r="P465" s="40">
        <f t="shared" si="87"/>
        <v>110.47363280999889</v>
      </c>
      <c r="Q465">
        <v>1127.60852050781</v>
      </c>
      <c r="R465" s="40">
        <f t="shared" si="88"/>
        <v>0.85449219000111043</v>
      </c>
      <c r="S465">
        <v>2779.15307617188</v>
      </c>
      <c r="T465" s="40">
        <f t="shared" si="89"/>
        <v>111.08398436999778</v>
      </c>
      <c r="U465">
        <v>34.921600341796903</v>
      </c>
      <c r="V465" s="33">
        <f t="shared" si="97"/>
        <v>3.2386779784943087</v>
      </c>
      <c r="W465">
        <v>232.39790344238301</v>
      </c>
      <c r="X465" s="90">
        <f t="shared" si="98"/>
        <v>14.099121093977374</v>
      </c>
    </row>
    <row r="466" spans="1:24" x14ac:dyDescent="0.25">
      <c r="A466" s="8">
        <v>42449.291666666664</v>
      </c>
      <c r="B466" s="40">
        <f t="shared" si="90"/>
        <v>7</v>
      </c>
      <c r="C466" s="87">
        <v>55.498939514160199</v>
      </c>
      <c r="D466" s="85">
        <f t="shared" si="91"/>
        <v>0</v>
      </c>
      <c r="E466">
        <v>82.555641174316406</v>
      </c>
      <c r="F466" s="85">
        <f t="shared" si="92"/>
        <v>2.9983520507954609</v>
      </c>
      <c r="G466">
        <v>170.355712890625</v>
      </c>
      <c r="H466" s="86">
        <f t="shared" si="93"/>
        <v>8.5601806640056566</v>
      </c>
      <c r="I466">
        <v>130.06367492675801</v>
      </c>
      <c r="J466" s="86">
        <f t="shared" si="94"/>
        <v>7.4005126949998612</v>
      </c>
      <c r="K466">
        <v>196.15756225585901</v>
      </c>
      <c r="L466" s="86">
        <f t="shared" si="95"/>
        <v>15.09094238298303</v>
      </c>
      <c r="M466">
        <v>222.79684448242199</v>
      </c>
      <c r="N466" s="86">
        <f t="shared" si="96"/>
        <v>14.999389648011174</v>
      </c>
      <c r="O466">
        <v>1522.89562988281</v>
      </c>
      <c r="P466" s="40">
        <f t="shared" si="87"/>
        <v>109.86328125</v>
      </c>
      <c r="Q466">
        <v>1127.609375</v>
      </c>
      <c r="R466" s="40">
        <f t="shared" si="88"/>
        <v>0.73242188000222086</v>
      </c>
      <c r="S466">
        <v>2779.26416015625</v>
      </c>
      <c r="T466" s="40">
        <f t="shared" si="89"/>
        <v>55.17578125</v>
      </c>
      <c r="U466">
        <v>34.924839019775398</v>
      </c>
      <c r="V466" s="33">
        <f t="shared" si="97"/>
        <v>3.3721923828053946</v>
      </c>
      <c r="W466">
        <v>232.41200256347699</v>
      </c>
      <c r="X466" s="90">
        <f t="shared" si="98"/>
        <v>14.93835449201697</v>
      </c>
    </row>
    <row r="467" spans="1:24" x14ac:dyDescent="0.25">
      <c r="A467" s="8">
        <v>42449.333333333336</v>
      </c>
      <c r="B467" s="40">
        <f t="shared" si="90"/>
        <v>8</v>
      </c>
      <c r="C467" s="87">
        <v>55.498939514160199</v>
      </c>
      <c r="D467" s="85">
        <f t="shared" si="91"/>
        <v>0</v>
      </c>
      <c r="E467">
        <v>82.558639526367202</v>
      </c>
      <c r="F467" s="85">
        <f t="shared" si="92"/>
        <v>0</v>
      </c>
      <c r="G467">
        <v>170.36427307128901</v>
      </c>
      <c r="H467" s="86">
        <f t="shared" si="93"/>
        <v>8.2397460940057954</v>
      </c>
      <c r="I467">
        <v>130.07107543945301</v>
      </c>
      <c r="J467" s="86">
        <f t="shared" si="94"/>
        <v>7.1868896489775125</v>
      </c>
      <c r="K467">
        <v>196.17265319824199</v>
      </c>
      <c r="L467" s="86">
        <f t="shared" si="95"/>
        <v>15.42663574201697</v>
      </c>
      <c r="M467">
        <v>222.81184387207</v>
      </c>
      <c r="N467" s="86">
        <f t="shared" si="96"/>
        <v>15.274047851988826</v>
      </c>
      <c r="O467">
        <v>1523.00549316406</v>
      </c>
      <c r="P467" s="40">
        <f t="shared" si="87"/>
        <v>111.45019532000333</v>
      </c>
      <c r="Q467">
        <v>1127.61010742188</v>
      </c>
      <c r="R467" s="40">
        <f t="shared" si="88"/>
        <v>0.73242186999777914</v>
      </c>
      <c r="S467">
        <v>2779.3193359375</v>
      </c>
      <c r="T467" s="40">
        <f t="shared" si="89"/>
        <v>0.9765625</v>
      </c>
      <c r="U467">
        <v>34.928211212158203</v>
      </c>
      <c r="V467" s="33">
        <f t="shared" si="97"/>
        <v>3.3988952637002967</v>
      </c>
      <c r="W467">
        <v>232.42694091796901</v>
      </c>
      <c r="X467" s="90">
        <f t="shared" si="98"/>
        <v>19.577026366988548</v>
      </c>
    </row>
    <row r="468" spans="1:24" x14ac:dyDescent="0.25">
      <c r="A468" s="8">
        <v>42449.375</v>
      </c>
      <c r="B468" s="40">
        <f t="shared" si="90"/>
        <v>9</v>
      </c>
      <c r="C468" s="87">
        <v>55.498939514160199</v>
      </c>
      <c r="D468" s="85">
        <f t="shared" si="91"/>
        <v>0</v>
      </c>
      <c r="E468">
        <v>82.558639526367202</v>
      </c>
      <c r="F468" s="85">
        <f t="shared" si="92"/>
        <v>0</v>
      </c>
      <c r="G468">
        <v>170.37251281738301</v>
      </c>
      <c r="H468" s="86">
        <f t="shared" si="93"/>
        <v>8.2702636719886868</v>
      </c>
      <c r="I468">
        <v>130.07826232910199</v>
      </c>
      <c r="J468" s="86">
        <f t="shared" si="94"/>
        <v>7.1258544920169697</v>
      </c>
      <c r="K468">
        <v>196.18807983398401</v>
      </c>
      <c r="L468" s="86">
        <f t="shared" si="95"/>
        <v>15.228271485000278</v>
      </c>
      <c r="M468">
        <v>222.82711791992199</v>
      </c>
      <c r="N468" s="86">
        <f t="shared" si="96"/>
        <v>15.319824219005795</v>
      </c>
      <c r="O468">
        <v>1523.11694335938</v>
      </c>
      <c r="P468" s="40">
        <f t="shared" si="87"/>
        <v>110.96191405999889</v>
      </c>
      <c r="Q468">
        <v>1127.61083984375</v>
      </c>
      <c r="R468" s="40">
        <f t="shared" si="88"/>
        <v>0.73242188000222086</v>
      </c>
      <c r="S468">
        <v>2779.3203125</v>
      </c>
      <c r="T468" s="40">
        <f t="shared" si="89"/>
        <v>0.73242188000222086</v>
      </c>
      <c r="U468">
        <v>34.931610107421903</v>
      </c>
      <c r="V468" s="33">
        <f t="shared" si="97"/>
        <v>3.4027099608948674</v>
      </c>
      <c r="W468">
        <v>232.44651794433599</v>
      </c>
      <c r="X468" s="90">
        <f t="shared" si="98"/>
        <v>19.683837890994482</v>
      </c>
    </row>
    <row r="469" spans="1:24" x14ac:dyDescent="0.25">
      <c r="A469" s="8">
        <v>42449.416666666664</v>
      </c>
      <c r="B469" s="40">
        <f t="shared" si="90"/>
        <v>10</v>
      </c>
      <c r="C469" s="87">
        <v>55.498939514160199</v>
      </c>
      <c r="D469" s="85">
        <f t="shared" si="91"/>
        <v>0</v>
      </c>
      <c r="E469">
        <v>82.558639526367202</v>
      </c>
      <c r="F469" s="85">
        <f t="shared" si="92"/>
        <v>0.51116943359375</v>
      </c>
      <c r="G469">
        <v>170.380783081055</v>
      </c>
      <c r="H469" s="86">
        <f t="shared" si="93"/>
        <v>8.3160400390056566</v>
      </c>
      <c r="I469">
        <v>130.08538818359401</v>
      </c>
      <c r="J469" s="86">
        <f t="shared" si="94"/>
        <v>7.32421875</v>
      </c>
      <c r="K469">
        <v>196.20330810546901</v>
      </c>
      <c r="L469" s="86">
        <f t="shared" si="95"/>
        <v>15.289306639999722</v>
      </c>
      <c r="M469">
        <v>222.84243774414099</v>
      </c>
      <c r="N469" s="86">
        <f t="shared" si="96"/>
        <v>15.106201172017109</v>
      </c>
      <c r="O469">
        <v>1523.22790527344</v>
      </c>
      <c r="P469" s="40">
        <f t="shared" si="87"/>
        <v>110.3515625</v>
      </c>
      <c r="Q469">
        <v>1127.61157226563</v>
      </c>
      <c r="R469" s="40">
        <f t="shared" si="88"/>
        <v>0.9765625</v>
      </c>
      <c r="S469">
        <v>2779.32104492188</v>
      </c>
      <c r="T469" s="40">
        <f t="shared" si="89"/>
        <v>8.0566406199977791</v>
      </c>
      <c r="U469">
        <v>34.935012817382798</v>
      </c>
      <c r="V469" s="33">
        <f t="shared" si="97"/>
        <v>3.2958984375</v>
      </c>
      <c r="W469">
        <v>232.46620178222699</v>
      </c>
      <c r="X469" s="90">
        <f t="shared" si="98"/>
        <v>19.714355468011036</v>
      </c>
    </row>
    <row r="470" spans="1:24" x14ac:dyDescent="0.25">
      <c r="A470" s="8">
        <v>42449.458333333336</v>
      </c>
      <c r="B470" s="40">
        <f t="shared" si="90"/>
        <v>11</v>
      </c>
      <c r="C470" s="87">
        <v>55.498939514160199</v>
      </c>
      <c r="D470" s="85">
        <f t="shared" si="91"/>
        <v>1.1444091803980427E-2</v>
      </c>
      <c r="E470">
        <v>82.559150695800795</v>
      </c>
      <c r="F470" s="85">
        <f t="shared" si="92"/>
        <v>5.6381225586079609</v>
      </c>
      <c r="G470">
        <v>170.38909912109401</v>
      </c>
      <c r="H470" s="86">
        <f t="shared" si="93"/>
        <v>8.6669921869884092</v>
      </c>
      <c r="I470">
        <v>130.09271240234401</v>
      </c>
      <c r="J470" s="86">
        <f t="shared" si="94"/>
        <v>7.5225830079830303</v>
      </c>
      <c r="K470">
        <v>196.21859741210901</v>
      </c>
      <c r="L470" s="86">
        <f t="shared" si="95"/>
        <v>15.060424805000139</v>
      </c>
      <c r="M470">
        <v>222.85754394531301</v>
      </c>
      <c r="N470" s="86">
        <f t="shared" si="96"/>
        <v>15.304565428976957</v>
      </c>
      <c r="O470">
        <v>1523.33825683594</v>
      </c>
      <c r="P470" s="40">
        <f t="shared" si="87"/>
        <v>111.93847655999889</v>
      </c>
      <c r="Q470">
        <v>1127.61254882813</v>
      </c>
      <c r="R470" s="40">
        <f t="shared" si="88"/>
        <v>0.73242186999777914</v>
      </c>
      <c r="S470">
        <v>2779.3291015625</v>
      </c>
      <c r="T470" s="40">
        <f t="shared" si="89"/>
        <v>134.03320313000222</v>
      </c>
      <c r="U470">
        <v>34.938308715820298</v>
      </c>
      <c r="V470" s="33">
        <f t="shared" si="97"/>
        <v>3.2997131348011521</v>
      </c>
      <c r="W470">
        <v>232.485916137695</v>
      </c>
      <c r="X470" s="90">
        <f t="shared" si="98"/>
        <v>19.683837890994482</v>
      </c>
    </row>
    <row r="471" spans="1:24" x14ac:dyDescent="0.25">
      <c r="A471" s="8">
        <v>42449.5</v>
      </c>
      <c r="B471" s="40">
        <f t="shared" si="90"/>
        <v>12</v>
      </c>
      <c r="C471" s="87">
        <v>55.498950958252003</v>
      </c>
      <c r="D471" s="85">
        <f t="shared" si="91"/>
        <v>0</v>
      </c>
      <c r="E471">
        <v>82.564788818359403</v>
      </c>
      <c r="F471" s="85">
        <f t="shared" si="92"/>
        <v>5.5007934570028283</v>
      </c>
      <c r="G471">
        <v>170.39776611328099</v>
      </c>
      <c r="H471" s="86">
        <f t="shared" si="93"/>
        <v>8.7280273440057954</v>
      </c>
      <c r="I471">
        <v>130.10023498535199</v>
      </c>
      <c r="J471" s="86">
        <f t="shared" si="94"/>
        <v>7.6141357420169697</v>
      </c>
      <c r="K471">
        <v>196.23365783691401</v>
      </c>
      <c r="L471" s="86">
        <f t="shared" si="95"/>
        <v>15.350341796988687</v>
      </c>
      <c r="M471">
        <v>222.87284851074199</v>
      </c>
      <c r="N471" s="86">
        <f t="shared" si="96"/>
        <v>15.350341797017109</v>
      </c>
      <c r="O471">
        <v>1523.4501953125</v>
      </c>
      <c r="P471" s="40">
        <f t="shared" si="87"/>
        <v>109.375</v>
      </c>
      <c r="Q471">
        <v>1127.61328125</v>
      </c>
      <c r="R471" s="40">
        <f t="shared" si="88"/>
        <v>0.85449219000111043</v>
      </c>
      <c r="S471">
        <v>2779.46313476563</v>
      </c>
      <c r="T471" s="40">
        <f t="shared" si="89"/>
        <v>137.93945311999778</v>
      </c>
      <c r="U471">
        <v>34.941608428955099</v>
      </c>
      <c r="V471" s="33">
        <v>3.2997131348011521</v>
      </c>
      <c r="W471">
        <v>232.50559997558599</v>
      </c>
      <c r="X471" s="90">
        <f t="shared" si="98"/>
        <v>19.485473633011452</v>
      </c>
    </row>
    <row r="472" spans="1:24" x14ac:dyDescent="0.25">
      <c r="A472" s="8">
        <v>42449.541666666664</v>
      </c>
      <c r="B472" s="40">
        <f t="shared" si="90"/>
        <v>13</v>
      </c>
      <c r="C472" s="87">
        <v>55.498950958252003</v>
      </c>
      <c r="D472" s="85">
        <f t="shared" si="91"/>
        <v>0</v>
      </c>
      <c r="E472">
        <v>82.570289611816406</v>
      </c>
      <c r="F472" s="85">
        <f t="shared" si="92"/>
        <v>5.5618286132954609</v>
      </c>
      <c r="G472">
        <v>170.406494140625</v>
      </c>
      <c r="H472" s="86">
        <f t="shared" si="93"/>
        <v>8.743286133011452</v>
      </c>
      <c r="I472">
        <v>130.10784912109401</v>
      </c>
      <c r="J472" s="86">
        <f t="shared" si="94"/>
        <v>7.5836181640056566</v>
      </c>
      <c r="K472">
        <v>196.24900817871099</v>
      </c>
      <c r="L472" s="86">
        <f t="shared" si="95"/>
        <v>15.42663574201697</v>
      </c>
      <c r="M472">
        <v>222.88819885253901</v>
      </c>
      <c r="N472" s="86">
        <f t="shared" si="96"/>
        <v>15.396118164005657</v>
      </c>
      <c r="O472">
        <v>1523.5595703125</v>
      </c>
      <c r="P472" s="40">
        <f t="shared" si="87"/>
        <v>110.96191405999889</v>
      </c>
      <c r="Q472">
        <v>1127.61413574219</v>
      </c>
      <c r="R472" s="40">
        <f t="shared" si="88"/>
        <v>0.85449219000111043</v>
      </c>
      <c r="S472">
        <v>2779.60107421875</v>
      </c>
      <c r="T472" s="40">
        <f t="shared" si="89"/>
        <v>136.96289063000222</v>
      </c>
      <c r="U472">
        <f>+U471+(U473-U471)/2</f>
        <v>34.945014953613295</v>
      </c>
      <c r="V472" s="33">
        <v>3.2997131348011521</v>
      </c>
      <c r="W472">
        <v>232.52508544921901</v>
      </c>
      <c r="X472" s="90">
        <f t="shared" si="98"/>
        <v>19.699096679005379</v>
      </c>
    </row>
    <row r="473" spans="1:24" x14ac:dyDescent="0.25">
      <c r="A473" s="8">
        <v>42449.583333333336</v>
      </c>
      <c r="B473" s="40">
        <f t="shared" si="90"/>
        <v>14</v>
      </c>
      <c r="C473" s="87">
        <v>55.498950958252003</v>
      </c>
      <c r="D473" s="85">
        <f t="shared" si="91"/>
        <v>1.1444091796875E-2</v>
      </c>
      <c r="E473">
        <v>82.575851440429702</v>
      </c>
      <c r="F473" s="85">
        <f t="shared" si="92"/>
        <v>5.5541992186931566</v>
      </c>
      <c r="G473">
        <v>170.41523742675801</v>
      </c>
      <c r="H473" s="86">
        <f t="shared" si="93"/>
        <v>8.7585449219886868</v>
      </c>
      <c r="I473">
        <v>130.11543273925801</v>
      </c>
      <c r="J473" s="86">
        <f t="shared" si="94"/>
        <v>7.5225830079830303</v>
      </c>
      <c r="K473">
        <v>196.26443481445301</v>
      </c>
      <c r="L473" s="86">
        <f t="shared" si="95"/>
        <v>15.197753905994205</v>
      </c>
      <c r="M473">
        <v>222.90359497070301</v>
      </c>
      <c r="N473" s="86">
        <f t="shared" si="96"/>
        <v>15.182495116988548</v>
      </c>
      <c r="O473">
        <v>1523.67053222656</v>
      </c>
      <c r="P473" s="40">
        <f t="shared" si="87"/>
        <v>110.59570313000222</v>
      </c>
      <c r="Q473">
        <v>1127.61499023438</v>
      </c>
      <c r="R473" s="40">
        <f t="shared" si="88"/>
        <v>0.85449217999666871</v>
      </c>
      <c r="S473">
        <v>2779.73803710938</v>
      </c>
      <c r="T473" s="40">
        <f t="shared" si="89"/>
        <v>133.7890625</v>
      </c>
      <c r="U473">
        <v>34.948421478271499</v>
      </c>
      <c r="V473" s="33">
        <f t="shared" si="97"/>
        <v>3.3073425293039804</v>
      </c>
      <c r="W473">
        <v>232.54478454589801</v>
      </c>
      <c r="X473" s="90">
        <f t="shared" si="98"/>
        <v>19.699096680000139</v>
      </c>
    </row>
    <row r="474" spans="1:24" x14ac:dyDescent="0.25">
      <c r="A474" s="8">
        <v>42449.625</v>
      </c>
      <c r="B474" s="40">
        <f t="shared" si="90"/>
        <v>15</v>
      </c>
      <c r="C474" s="87">
        <v>55.4989624023438</v>
      </c>
      <c r="D474" s="85">
        <f t="shared" si="91"/>
        <v>7.6293945028282906E-3</v>
      </c>
      <c r="E474">
        <v>82.581405639648395</v>
      </c>
      <c r="F474" s="85">
        <f t="shared" si="92"/>
        <v>5.569458007911976</v>
      </c>
      <c r="G474">
        <v>170.42399597168</v>
      </c>
      <c r="H474" s="86">
        <f t="shared" si="93"/>
        <v>8.6975097649997224</v>
      </c>
      <c r="I474">
        <v>130.12295532226599</v>
      </c>
      <c r="J474" s="86">
        <f t="shared" si="94"/>
        <v>7.6141357420169697</v>
      </c>
      <c r="K474">
        <v>196.27963256835901</v>
      </c>
      <c r="L474" s="86">
        <f t="shared" si="95"/>
        <v>15.319824219005795</v>
      </c>
      <c r="M474">
        <v>222.91877746582</v>
      </c>
      <c r="N474" s="86">
        <f t="shared" si="96"/>
        <v>15.350341796988687</v>
      </c>
      <c r="O474">
        <v>1523.78112792969</v>
      </c>
      <c r="P474" s="40">
        <f t="shared" si="87"/>
        <v>111.328125</v>
      </c>
      <c r="Q474">
        <v>1127.61584472656</v>
      </c>
      <c r="R474" s="40">
        <f t="shared" si="88"/>
        <v>0.73242188000222086</v>
      </c>
      <c r="S474">
        <v>2779.87182617188</v>
      </c>
      <c r="T474" s="40">
        <f t="shared" si="89"/>
        <v>133.7890625</v>
      </c>
      <c r="U474">
        <v>34.951728820800803</v>
      </c>
      <c r="V474" s="33">
        <f t="shared" si="97"/>
        <v>3.2501220702982891</v>
      </c>
      <c r="W474">
        <v>232.56448364257801</v>
      </c>
      <c r="X474" s="90">
        <f t="shared" si="98"/>
        <v>19.424438476988826</v>
      </c>
    </row>
    <row r="475" spans="1:24" x14ac:dyDescent="0.25">
      <c r="A475" s="8">
        <v>42449.666666666664</v>
      </c>
      <c r="B475" s="40">
        <f t="shared" si="90"/>
        <v>16</v>
      </c>
      <c r="C475" s="87">
        <v>55.498970031738303</v>
      </c>
      <c r="D475" s="85">
        <f t="shared" si="91"/>
        <v>1.1444091796875E-2</v>
      </c>
      <c r="E475">
        <v>82.586975097656307</v>
      </c>
      <c r="F475" s="85">
        <f t="shared" si="92"/>
        <v>5.5694580077982891</v>
      </c>
      <c r="G475">
        <v>170.432693481445</v>
      </c>
      <c r="H475" s="86">
        <f t="shared" si="93"/>
        <v>8.743286133011452</v>
      </c>
      <c r="I475">
        <v>130.13056945800801</v>
      </c>
      <c r="J475" s="86">
        <f t="shared" si="94"/>
        <v>7.568359375</v>
      </c>
      <c r="K475">
        <v>196.29495239257801</v>
      </c>
      <c r="L475" s="86">
        <f t="shared" si="95"/>
        <v>15.411376952982891</v>
      </c>
      <c r="M475">
        <v>222.93412780761699</v>
      </c>
      <c r="N475" s="86">
        <f t="shared" si="96"/>
        <v>15.274047852017247</v>
      </c>
      <c r="O475">
        <v>1523.89245605469</v>
      </c>
      <c r="P475" s="40">
        <f t="shared" si="87"/>
        <v>109.98535155999889</v>
      </c>
      <c r="Q475">
        <v>1127.61657714844</v>
      </c>
      <c r="R475" s="40">
        <f t="shared" si="88"/>
        <v>0.9765625</v>
      </c>
      <c r="S475">
        <v>2780.00561523438</v>
      </c>
      <c r="T475" s="40">
        <f t="shared" si="89"/>
        <v>132.32421875</v>
      </c>
      <c r="U475">
        <v>34.954978942871101</v>
      </c>
      <c r="V475" s="33">
        <f t="shared" si="97"/>
        <v>3.4713745116974337</v>
      </c>
      <c r="W475">
        <v>232.583908081055</v>
      </c>
      <c r="X475" s="90">
        <f t="shared" si="98"/>
        <v>19.653320311988409</v>
      </c>
    </row>
    <row r="476" spans="1:24" x14ac:dyDescent="0.25">
      <c r="A476" s="8">
        <v>42449.708333333336</v>
      </c>
      <c r="B476" s="40">
        <f t="shared" si="90"/>
        <v>17</v>
      </c>
      <c r="C476" s="87">
        <v>55.498981475830099</v>
      </c>
      <c r="D476" s="85">
        <f t="shared" si="91"/>
        <v>0</v>
      </c>
      <c r="E476">
        <v>82.592544555664105</v>
      </c>
      <c r="F476" s="85">
        <f t="shared" si="92"/>
        <v>5.5923461913920391</v>
      </c>
      <c r="G476">
        <v>170.44143676757801</v>
      </c>
      <c r="H476" s="86">
        <f t="shared" si="93"/>
        <v>8.6822509769888256</v>
      </c>
      <c r="I476">
        <v>130.13813781738301</v>
      </c>
      <c r="J476" s="86">
        <f t="shared" si="94"/>
        <v>7.614135741988548</v>
      </c>
      <c r="K476">
        <v>196.31036376953099</v>
      </c>
      <c r="L476" s="86">
        <f t="shared" si="95"/>
        <v>15.350341797017109</v>
      </c>
      <c r="M476">
        <v>222.94940185546901</v>
      </c>
      <c r="N476" s="86">
        <f t="shared" si="96"/>
        <v>15.319824219005795</v>
      </c>
      <c r="O476">
        <v>1524.00244140625</v>
      </c>
      <c r="P476" s="40">
        <f t="shared" si="87"/>
        <v>111.93847655999889</v>
      </c>
      <c r="Q476">
        <v>1127.61755371094</v>
      </c>
      <c r="R476" s="40">
        <f t="shared" si="88"/>
        <v>0.85449219000111043</v>
      </c>
      <c r="S476">
        <v>2780.13793945313</v>
      </c>
      <c r="T476" s="40">
        <f t="shared" si="89"/>
        <v>129.8828125</v>
      </c>
      <c r="U476">
        <v>34.958450317382798</v>
      </c>
      <c r="V476" s="33">
        <f t="shared" si="97"/>
        <v>3.4408569336008554</v>
      </c>
      <c r="W476">
        <v>232.60356140136699</v>
      </c>
      <c r="X476" s="90">
        <f t="shared" si="98"/>
        <v>19.638061524005934</v>
      </c>
    </row>
    <row r="477" spans="1:24" x14ac:dyDescent="0.25">
      <c r="A477" s="8">
        <v>42449.75</v>
      </c>
      <c r="B477" s="40">
        <f t="shared" si="90"/>
        <v>18</v>
      </c>
      <c r="C477" s="87">
        <v>55.498981475830099</v>
      </c>
      <c r="D477" s="85">
        <f t="shared" si="91"/>
        <v>7.6293945028282906E-3</v>
      </c>
      <c r="E477">
        <v>82.598136901855497</v>
      </c>
      <c r="F477" s="85">
        <f t="shared" si="92"/>
        <v>5.615234375</v>
      </c>
      <c r="G477">
        <v>170.450119018555</v>
      </c>
      <c r="H477" s="86">
        <f t="shared" si="93"/>
        <v>8.8043212890056566</v>
      </c>
      <c r="I477">
        <v>130.145751953125</v>
      </c>
      <c r="J477" s="86">
        <f t="shared" si="94"/>
        <v>7.6446533199998612</v>
      </c>
      <c r="K477">
        <v>196.32571411132801</v>
      </c>
      <c r="L477" s="86">
        <f t="shared" si="95"/>
        <v>15.274047851988826</v>
      </c>
      <c r="M477">
        <v>222.96472167968801</v>
      </c>
      <c r="N477" s="86">
        <f t="shared" si="96"/>
        <v>15.228271483977096</v>
      </c>
      <c r="O477">
        <v>1524.11437988281</v>
      </c>
      <c r="P477" s="40">
        <f t="shared" si="87"/>
        <v>111.20605469000111</v>
      </c>
      <c r="Q477">
        <v>1127.61840820313</v>
      </c>
      <c r="R477" s="40">
        <f t="shared" si="88"/>
        <v>0.85449217999666871</v>
      </c>
      <c r="S477">
        <v>2780.26782226563</v>
      </c>
      <c r="T477" s="40">
        <f t="shared" si="89"/>
        <v>129.8828125</v>
      </c>
      <c r="U477">
        <v>34.961891174316399</v>
      </c>
      <c r="V477" s="33">
        <f t="shared" si="97"/>
        <v>3.3264160156036837</v>
      </c>
      <c r="W477">
        <v>232.62319946289099</v>
      </c>
      <c r="X477" s="90">
        <f t="shared" si="98"/>
        <v>19.57702636701697</v>
      </c>
    </row>
    <row r="478" spans="1:24" x14ac:dyDescent="0.25">
      <c r="A478" s="8">
        <v>42449.791666666664</v>
      </c>
      <c r="B478" s="40">
        <f t="shared" si="90"/>
        <v>19</v>
      </c>
      <c r="C478" s="87">
        <v>55.498989105224602</v>
      </c>
      <c r="D478" s="85">
        <f t="shared" si="91"/>
        <v>1.1444091796875E-2</v>
      </c>
      <c r="E478">
        <v>82.603752136230497</v>
      </c>
      <c r="F478" s="85">
        <f t="shared" si="92"/>
        <v>5.5770874023011174</v>
      </c>
      <c r="G478">
        <v>170.45892333984401</v>
      </c>
      <c r="H478" s="86">
        <f t="shared" si="93"/>
        <v>8.7585449219886868</v>
      </c>
      <c r="I478">
        <v>130.153396606445</v>
      </c>
      <c r="J478" s="86">
        <f t="shared" si="94"/>
        <v>7.6141357430117296</v>
      </c>
      <c r="K478">
        <v>196.34098815918</v>
      </c>
      <c r="L478" s="86">
        <f t="shared" si="95"/>
        <v>15.167236328011313</v>
      </c>
      <c r="M478">
        <v>222.97994995117199</v>
      </c>
      <c r="N478" s="86">
        <f t="shared" si="96"/>
        <v>15.090942383011452</v>
      </c>
      <c r="O478">
        <v>1524.2255859375</v>
      </c>
      <c r="P478" s="40">
        <f t="shared" si="87"/>
        <v>110.83984375</v>
      </c>
      <c r="Q478">
        <v>1127.61926269531</v>
      </c>
      <c r="R478" s="40">
        <f t="shared" si="88"/>
        <v>0.73242188000222086</v>
      </c>
      <c r="S478">
        <v>2780.39770507813</v>
      </c>
      <c r="T478" s="40">
        <f t="shared" si="89"/>
        <v>227.29492186999778</v>
      </c>
      <c r="U478">
        <v>34.965217590332003</v>
      </c>
      <c r="V478" s="33">
        <f t="shared" si="97"/>
        <v>3.2958984375</v>
      </c>
      <c r="W478">
        <v>232.64277648925801</v>
      </c>
      <c r="X478" s="90">
        <f t="shared" si="98"/>
        <v>19.302368163977235</v>
      </c>
    </row>
    <row r="479" spans="1:24" x14ac:dyDescent="0.25">
      <c r="A479" s="8">
        <v>42449.833333333336</v>
      </c>
      <c r="B479" s="40">
        <f t="shared" si="90"/>
        <v>20</v>
      </c>
      <c r="C479" s="87">
        <v>55.499000549316399</v>
      </c>
      <c r="D479" s="85">
        <f t="shared" si="91"/>
        <v>1.9073486299703291E-2</v>
      </c>
      <c r="E479">
        <v>82.609329223632798</v>
      </c>
      <c r="F479" s="85">
        <f t="shared" si="92"/>
        <v>5.5770874024005934</v>
      </c>
      <c r="G479">
        <v>170.46768188476599</v>
      </c>
      <c r="H479" s="86">
        <f t="shared" si="93"/>
        <v>8.6669921870168309</v>
      </c>
      <c r="I479">
        <v>130.16101074218801</v>
      </c>
      <c r="J479" s="86">
        <f t="shared" si="94"/>
        <v>7.5988769529828915</v>
      </c>
      <c r="K479">
        <v>196.35615539550801</v>
      </c>
      <c r="L479" s="86">
        <f t="shared" si="95"/>
        <v>15.365600585994343</v>
      </c>
      <c r="M479">
        <v>222.995040893555</v>
      </c>
      <c r="N479" s="86">
        <f t="shared" si="96"/>
        <v>15.365600585994343</v>
      </c>
      <c r="O479">
        <v>1524.33642578125</v>
      </c>
      <c r="P479" s="40">
        <f t="shared" si="87"/>
        <v>112.3046875</v>
      </c>
      <c r="Q479">
        <v>1127.61999511719</v>
      </c>
      <c r="R479" s="40">
        <f t="shared" si="88"/>
        <v>0.85449219000111043</v>
      </c>
      <c r="S479">
        <v>2780.625</v>
      </c>
      <c r="T479" s="40">
        <f t="shared" si="89"/>
        <v>223.14453125</v>
      </c>
      <c r="U479">
        <v>34.968513488769503</v>
      </c>
      <c r="V479" s="33">
        <f t="shared" si="97"/>
        <v>3.3149719238991793</v>
      </c>
      <c r="W479">
        <v>232.66207885742199</v>
      </c>
      <c r="X479" s="90">
        <f t="shared" si="98"/>
        <v>18.615722656022626</v>
      </c>
    </row>
    <row r="480" spans="1:24" x14ac:dyDescent="0.25">
      <c r="A480" s="8">
        <v>42449.875</v>
      </c>
      <c r="B480" s="40">
        <f t="shared" si="90"/>
        <v>21</v>
      </c>
      <c r="C480" s="87">
        <v>55.499019622802699</v>
      </c>
      <c r="D480" s="85">
        <f t="shared" si="91"/>
        <v>1.1444091803980427E-2</v>
      </c>
      <c r="E480">
        <v>82.614906311035199</v>
      </c>
      <c r="F480" s="85">
        <f t="shared" si="92"/>
        <v>5.59234619140625</v>
      </c>
      <c r="G480">
        <v>170.47634887695301</v>
      </c>
      <c r="H480" s="86">
        <f t="shared" si="93"/>
        <v>8.7280273439773737</v>
      </c>
      <c r="I480">
        <v>130.16860961914099</v>
      </c>
      <c r="J480" s="86">
        <f t="shared" si="94"/>
        <v>7.4615478509940658</v>
      </c>
      <c r="K480">
        <v>196.37152099609401</v>
      </c>
      <c r="L480" s="86">
        <f t="shared" si="95"/>
        <v>15.350341796988687</v>
      </c>
      <c r="M480">
        <v>223.01040649414099</v>
      </c>
      <c r="N480" s="86">
        <f t="shared" si="96"/>
        <v>15.335083007016692</v>
      </c>
      <c r="O480">
        <v>1524.44873046875</v>
      </c>
      <c r="P480" s="40">
        <f t="shared" si="87"/>
        <v>110.83984375</v>
      </c>
      <c r="Q480">
        <v>1127.62084960938</v>
      </c>
      <c r="R480" s="40">
        <f t="shared" si="88"/>
        <v>0.85449217999666871</v>
      </c>
      <c r="S480">
        <v>2780.84814453125</v>
      </c>
      <c r="T480" s="40">
        <f t="shared" si="89"/>
        <v>226.31835938000222</v>
      </c>
      <c r="U480">
        <v>34.971828460693402</v>
      </c>
      <c r="V480" s="33">
        <f t="shared" si="97"/>
        <v>3.3645629881959849</v>
      </c>
      <c r="W480">
        <v>232.68069458007801</v>
      </c>
      <c r="X480" s="90">
        <f t="shared" si="98"/>
        <v>18.234252930000139</v>
      </c>
    </row>
    <row r="481" spans="1:24" x14ac:dyDescent="0.25">
      <c r="A481" s="8">
        <v>42449.916666666664</v>
      </c>
      <c r="B481" s="40">
        <f t="shared" si="90"/>
        <v>22</v>
      </c>
      <c r="C481" s="87">
        <v>55.499031066894503</v>
      </c>
      <c r="D481" s="85">
        <f t="shared" si="91"/>
        <v>7.6293945951988462E-3</v>
      </c>
      <c r="E481">
        <v>82.620498657226605</v>
      </c>
      <c r="F481" s="85">
        <f t="shared" si="92"/>
        <v>5.5923461913920391</v>
      </c>
      <c r="G481">
        <v>170.48507690429699</v>
      </c>
      <c r="H481" s="86">
        <f t="shared" si="93"/>
        <v>8.7738037110227651</v>
      </c>
      <c r="I481">
        <v>130.17607116699199</v>
      </c>
      <c r="J481" s="86">
        <f t="shared" si="94"/>
        <v>7.5988769530113132</v>
      </c>
      <c r="K481">
        <v>196.38687133789099</v>
      </c>
      <c r="L481" s="86">
        <f t="shared" si="95"/>
        <v>15.350341797017109</v>
      </c>
      <c r="M481">
        <v>223.02574157714801</v>
      </c>
      <c r="N481" s="86">
        <f t="shared" si="96"/>
        <v>15.243530273977512</v>
      </c>
      <c r="O481">
        <v>1524.5595703125</v>
      </c>
      <c r="P481" s="40">
        <f t="shared" si="87"/>
        <v>112.54882813000222</v>
      </c>
      <c r="Q481">
        <v>1127.62170410156</v>
      </c>
      <c r="R481" s="40">
        <f t="shared" si="88"/>
        <v>0.85449219000111043</v>
      </c>
      <c r="S481">
        <v>2781.07446289063</v>
      </c>
      <c r="T481" s="40">
        <f t="shared" si="89"/>
        <v>124.0234375</v>
      </c>
      <c r="U481">
        <v>34.975193023681598</v>
      </c>
      <c r="V481" s="33">
        <f t="shared" si="97"/>
        <v>3.3645629883025663</v>
      </c>
      <c r="W481">
        <v>232.69892883300801</v>
      </c>
      <c r="X481" s="90">
        <f t="shared" si="98"/>
        <v>15.197753905994205</v>
      </c>
    </row>
    <row r="482" spans="1:24" x14ac:dyDescent="0.25">
      <c r="A482" s="8">
        <v>42449.958333333336</v>
      </c>
      <c r="B482" s="40">
        <f t="shared" si="90"/>
        <v>23</v>
      </c>
      <c r="C482" s="87">
        <v>55.499038696289098</v>
      </c>
      <c r="D482" s="85">
        <f t="shared" si="91"/>
        <v>0</v>
      </c>
      <c r="E482">
        <v>82.626091003417997</v>
      </c>
      <c r="F482" s="85">
        <f t="shared" si="92"/>
        <v>5.59234619140625</v>
      </c>
      <c r="G482">
        <v>170.49385070800801</v>
      </c>
      <c r="H482" s="86">
        <f t="shared" si="93"/>
        <v>8.834838866988548</v>
      </c>
      <c r="I482">
        <v>130.183670043945</v>
      </c>
      <c r="J482" s="86">
        <f t="shared" si="94"/>
        <v>7.6751708990059342</v>
      </c>
      <c r="K482">
        <v>196.40222167968801</v>
      </c>
      <c r="L482" s="86">
        <f t="shared" si="95"/>
        <v>15.258789061988409</v>
      </c>
      <c r="M482">
        <v>223.04098510742199</v>
      </c>
      <c r="N482" s="86">
        <f t="shared" si="96"/>
        <v>15.213012694999861</v>
      </c>
      <c r="O482">
        <v>1524.67211914063</v>
      </c>
      <c r="P482" s="40">
        <f t="shared" si="87"/>
        <v>109.375</v>
      </c>
      <c r="Q482">
        <v>1127.62255859375</v>
      </c>
      <c r="R482" s="40">
        <f t="shared" si="88"/>
        <v>0.9765625</v>
      </c>
      <c r="S482">
        <v>2781.19848632813</v>
      </c>
      <c r="T482" s="40">
        <f t="shared" si="89"/>
        <v>119.62890625</v>
      </c>
      <c r="U482">
        <v>34.978557586669901</v>
      </c>
      <c r="V482" s="33">
        <f t="shared" si="97"/>
        <v>3.2806396485014488</v>
      </c>
      <c r="W482">
        <v>232.71412658691401</v>
      </c>
      <c r="X482" s="90">
        <f t="shared" si="98"/>
        <v>13.687133789005657</v>
      </c>
    </row>
    <row r="483" spans="1:24" x14ac:dyDescent="0.25">
      <c r="A483" s="8">
        <v>42450</v>
      </c>
      <c r="B483" s="40">
        <f t="shared" si="90"/>
        <v>0</v>
      </c>
      <c r="C483" s="87">
        <v>55.499038696289098</v>
      </c>
      <c r="D483" s="85">
        <f t="shared" si="91"/>
        <v>0</v>
      </c>
      <c r="E483">
        <v>82.631683349609403</v>
      </c>
      <c r="F483" s="85">
        <f t="shared" si="92"/>
        <v>5.5923461913920391</v>
      </c>
      <c r="G483">
        <v>170.502685546875</v>
      </c>
      <c r="H483" s="86">
        <f t="shared" si="93"/>
        <v>8.7738037109943434</v>
      </c>
      <c r="I483">
        <v>130.19134521484401</v>
      </c>
      <c r="J483" s="86">
        <f t="shared" si="94"/>
        <v>7.6446533199998612</v>
      </c>
      <c r="K483">
        <v>196.41748046875</v>
      </c>
      <c r="L483" s="86">
        <f t="shared" si="95"/>
        <v>14.953613280994205</v>
      </c>
      <c r="M483">
        <v>223.05619812011699</v>
      </c>
      <c r="N483" s="86">
        <f t="shared" si="96"/>
        <v>15.167236328011313</v>
      </c>
      <c r="O483">
        <v>1524.78149414063</v>
      </c>
      <c r="P483" s="40">
        <f t="shared" si="87"/>
        <v>111.45019530999889</v>
      </c>
      <c r="Q483">
        <v>1127.62353515625</v>
      </c>
      <c r="R483" s="40">
        <f t="shared" si="88"/>
        <v>0.73242188000222086</v>
      </c>
      <c r="S483">
        <v>2781.31811523438</v>
      </c>
      <c r="T483" s="40">
        <f t="shared" si="89"/>
        <v>120.60546875</v>
      </c>
      <c r="U483">
        <v>34.981838226318402</v>
      </c>
      <c r="V483" s="33">
        <f t="shared" si="97"/>
        <v>3.2920837401988479</v>
      </c>
      <c r="W483">
        <v>232.72781372070301</v>
      </c>
      <c r="X483" s="90">
        <f t="shared" si="98"/>
        <v>15.411376952982891</v>
      </c>
    </row>
    <row r="484" spans="1:24" x14ac:dyDescent="0.25">
      <c r="A484" s="8">
        <v>42450.041666666664</v>
      </c>
      <c r="B484" s="40">
        <f t="shared" si="90"/>
        <v>1</v>
      </c>
      <c r="C484" s="87">
        <v>55.499038696289098</v>
      </c>
      <c r="D484" s="85">
        <f t="shared" si="91"/>
        <v>0</v>
      </c>
      <c r="E484">
        <v>82.637275695800795</v>
      </c>
      <c r="F484" s="85">
        <f t="shared" si="92"/>
        <v>5.5236816406107891</v>
      </c>
      <c r="G484">
        <v>170.51145935058599</v>
      </c>
      <c r="H484" s="86">
        <f t="shared" si="93"/>
        <v>8.7738037109943434</v>
      </c>
      <c r="I484">
        <v>130.19898986816401</v>
      </c>
      <c r="J484" s="86">
        <f t="shared" si="94"/>
        <v>7.5531005859943434</v>
      </c>
      <c r="K484">
        <v>196.43243408203099</v>
      </c>
      <c r="L484" s="86">
        <f t="shared" si="95"/>
        <v>15.258789063011591</v>
      </c>
      <c r="M484">
        <v>223.071365356445</v>
      </c>
      <c r="N484" s="86">
        <f t="shared" si="96"/>
        <v>15.213012695994621</v>
      </c>
      <c r="O484">
        <v>1524.89294433594</v>
      </c>
      <c r="P484" s="40">
        <f t="shared" si="87"/>
        <v>110.96191405999889</v>
      </c>
      <c r="Q484">
        <v>1127.62426757813</v>
      </c>
      <c r="R484" s="40">
        <f t="shared" si="88"/>
        <v>0.73242186999777914</v>
      </c>
      <c r="S484">
        <v>2781.43872070313</v>
      </c>
      <c r="T484" s="40">
        <f t="shared" si="89"/>
        <v>121.33789061999778</v>
      </c>
      <c r="U484">
        <v>34.985130310058601</v>
      </c>
      <c r="V484" s="33">
        <f t="shared" si="97"/>
        <v>3.3302307128977304</v>
      </c>
      <c r="W484">
        <v>232.74322509765599</v>
      </c>
      <c r="X484" s="90">
        <f t="shared" si="98"/>
        <v>15.777587890994482</v>
      </c>
    </row>
    <row r="485" spans="1:24" x14ac:dyDescent="0.25">
      <c r="A485" s="8">
        <v>42450.083333333336</v>
      </c>
      <c r="B485" s="40">
        <f t="shared" si="90"/>
        <v>2</v>
      </c>
      <c r="C485" s="87">
        <v>55.499038696289098</v>
      </c>
      <c r="D485" s="85">
        <f t="shared" si="91"/>
        <v>0</v>
      </c>
      <c r="E485">
        <v>82.642799377441406</v>
      </c>
      <c r="F485" s="85">
        <f t="shared" si="92"/>
        <v>5.6076049804971717</v>
      </c>
      <c r="G485">
        <v>170.52023315429699</v>
      </c>
      <c r="H485" s="86">
        <f t="shared" si="93"/>
        <v>8.6364746090055178</v>
      </c>
      <c r="I485">
        <v>130.20654296875</v>
      </c>
      <c r="J485" s="86">
        <f t="shared" si="94"/>
        <v>7.6904296880115908</v>
      </c>
      <c r="K485">
        <v>196.44769287109401</v>
      </c>
      <c r="L485" s="86">
        <f t="shared" si="95"/>
        <v>15.106201171988687</v>
      </c>
      <c r="M485">
        <v>223.08657836914099</v>
      </c>
      <c r="N485" s="86">
        <f t="shared" si="96"/>
        <v>14.907836914005657</v>
      </c>
      <c r="O485">
        <v>1525.00390625</v>
      </c>
      <c r="P485" s="40">
        <f t="shared" si="87"/>
        <v>110.96191405999889</v>
      </c>
      <c r="Q485">
        <v>1127.625</v>
      </c>
      <c r="R485" s="40">
        <f t="shared" si="88"/>
        <v>0.85449219000111043</v>
      </c>
      <c r="S485">
        <v>2781.56005859375</v>
      </c>
      <c r="T485" s="40">
        <f t="shared" si="89"/>
        <v>119.62890625</v>
      </c>
      <c r="U485">
        <v>34.988460540771499</v>
      </c>
      <c r="V485" s="33">
        <f t="shared" si="97"/>
        <v>3.4294128418039804</v>
      </c>
      <c r="W485">
        <v>232.75900268554699</v>
      </c>
      <c r="X485" s="90">
        <f t="shared" si="98"/>
        <v>16.15905761701697</v>
      </c>
    </row>
    <row r="486" spans="1:24" x14ac:dyDescent="0.25">
      <c r="A486" s="8">
        <v>42450.125</v>
      </c>
      <c r="B486" s="40">
        <f t="shared" si="90"/>
        <v>3</v>
      </c>
      <c r="C486" s="87">
        <v>55.499038696289098</v>
      </c>
      <c r="D486" s="85">
        <f t="shared" si="91"/>
        <v>0</v>
      </c>
      <c r="E486">
        <v>82.648406982421903</v>
      </c>
      <c r="F486" s="85">
        <f t="shared" si="92"/>
        <v>1.0604858398011174</v>
      </c>
      <c r="G486">
        <v>170.52886962890599</v>
      </c>
      <c r="H486" s="86">
        <f t="shared" si="93"/>
        <v>8.4381103520172474</v>
      </c>
      <c r="I486">
        <v>130.21423339843801</v>
      </c>
      <c r="J486" s="86">
        <f t="shared" si="94"/>
        <v>7.3089599599995836</v>
      </c>
      <c r="K486">
        <v>196.46279907226599</v>
      </c>
      <c r="L486" s="86">
        <f t="shared" si="95"/>
        <v>15.441894530994205</v>
      </c>
      <c r="M486">
        <v>223.101486206055</v>
      </c>
      <c r="N486" s="86">
        <f t="shared" si="96"/>
        <v>15.396118164005657</v>
      </c>
      <c r="O486">
        <v>1525.11486816406</v>
      </c>
      <c r="P486" s="40">
        <f t="shared" si="87"/>
        <v>109.13085938000222</v>
      </c>
      <c r="Q486">
        <v>1127.62585449219</v>
      </c>
      <c r="R486" s="40">
        <f t="shared" si="88"/>
        <v>0.73242186999777914</v>
      </c>
      <c r="S486">
        <v>2781.6796875</v>
      </c>
      <c r="T486" s="40">
        <f t="shared" si="89"/>
        <v>7.0800781300022209</v>
      </c>
      <c r="U486">
        <v>34.991889953613303</v>
      </c>
      <c r="V486" s="33">
        <f t="shared" si="97"/>
        <v>3.2997131346945707</v>
      </c>
      <c r="W486">
        <v>232.77516174316401</v>
      </c>
      <c r="X486" s="90">
        <f t="shared" si="98"/>
        <v>17.211914062983169</v>
      </c>
    </row>
    <row r="487" spans="1:24" x14ac:dyDescent="0.25">
      <c r="A487" s="8">
        <v>42450.166666666664</v>
      </c>
      <c r="B487" s="40">
        <f t="shared" si="90"/>
        <v>4</v>
      </c>
      <c r="C487" s="87">
        <v>55.499038696289098</v>
      </c>
      <c r="D487" s="85">
        <f t="shared" si="91"/>
        <v>0</v>
      </c>
      <c r="E487">
        <v>82.649467468261705</v>
      </c>
      <c r="F487" s="85">
        <f t="shared" si="92"/>
        <v>0</v>
      </c>
      <c r="G487">
        <v>170.53730773925801</v>
      </c>
      <c r="H487" s="86">
        <f t="shared" si="93"/>
        <v>8.346557616988548</v>
      </c>
      <c r="I487">
        <v>130.22154235839801</v>
      </c>
      <c r="J487" s="86">
        <f t="shared" si="94"/>
        <v>7.2479248050001388</v>
      </c>
      <c r="K487">
        <v>196.47824096679699</v>
      </c>
      <c r="L487" s="86">
        <f t="shared" si="95"/>
        <v>15.121459961022765</v>
      </c>
      <c r="M487">
        <v>223.11688232421901</v>
      </c>
      <c r="N487" s="86">
        <f t="shared" si="96"/>
        <v>14.984130859005518</v>
      </c>
      <c r="O487">
        <v>1525.22399902344</v>
      </c>
      <c r="P487" s="40">
        <f t="shared" si="87"/>
        <v>110.83984375</v>
      </c>
      <c r="Q487">
        <v>1127.62658691406</v>
      </c>
      <c r="R487" s="40">
        <f t="shared" si="88"/>
        <v>0.73242188000222086</v>
      </c>
      <c r="S487">
        <v>2781.68676757813</v>
      </c>
      <c r="T487" s="40">
        <f t="shared" si="89"/>
        <v>0.48828125</v>
      </c>
      <c r="U487">
        <v>34.995189666747997</v>
      </c>
      <c r="V487" s="33">
        <f t="shared" si="97"/>
        <v>3.1394958497017456</v>
      </c>
      <c r="W487">
        <v>232.79237365722699</v>
      </c>
      <c r="X487" s="90">
        <f t="shared" si="98"/>
        <v>16.174316406022626</v>
      </c>
    </row>
    <row r="488" spans="1:24" x14ac:dyDescent="0.25">
      <c r="A488" s="8">
        <v>42450.208333333336</v>
      </c>
      <c r="B488" s="40">
        <f t="shared" si="90"/>
        <v>5</v>
      </c>
      <c r="C488" s="87">
        <v>55.499038696289098</v>
      </c>
      <c r="D488" s="85">
        <f t="shared" si="91"/>
        <v>0</v>
      </c>
      <c r="E488">
        <v>82.649467468261705</v>
      </c>
      <c r="F488" s="85">
        <f t="shared" si="92"/>
        <v>0</v>
      </c>
      <c r="G488">
        <v>170.545654296875</v>
      </c>
      <c r="H488" s="86">
        <f t="shared" si="93"/>
        <v>8.3923339840055178</v>
      </c>
      <c r="I488">
        <v>130.22879028320301</v>
      </c>
      <c r="J488" s="86">
        <f t="shared" si="94"/>
        <v>7.1563720699998612</v>
      </c>
      <c r="K488">
        <v>196.49336242675801</v>
      </c>
      <c r="L488" s="86">
        <f t="shared" si="95"/>
        <v>15.289306639999722</v>
      </c>
      <c r="M488">
        <v>223.13186645507801</v>
      </c>
      <c r="N488" s="86">
        <f t="shared" si="96"/>
        <v>15.289306640994482</v>
      </c>
      <c r="O488">
        <v>1525.33483886719</v>
      </c>
      <c r="P488" s="40">
        <f t="shared" si="87"/>
        <v>109.86328125</v>
      </c>
      <c r="Q488">
        <v>1127.62731933594</v>
      </c>
      <c r="R488" s="40">
        <f t="shared" si="88"/>
        <v>0.85449219000111043</v>
      </c>
      <c r="S488">
        <v>2781.68725585938</v>
      </c>
      <c r="T488" s="40">
        <f t="shared" si="89"/>
        <v>0.9765625</v>
      </c>
      <c r="U488">
        <v>34.998329162597699</v>
      </c>
      <c r="V488" s="33">
        <f t="shared" si="97"/>
        <v>3.0479431151988479</v>
      </c>
      <c r="W488">
        <v>232.80854797363301</v>
      </c>
      <c r="X488" s="90">
        <f t="shared" si="98"/>
        <v>15.655517577982891</v>
      </c>
    </row>
    <row r="489" spans="1:24" x14ac:dyDescent="0.25">
      <c r="A489" s="8">
        <v>42450.25</v>
      </c>
      <c r="B489" s="40">
        <f t="shared" si="90"/>
        <v>6</v>
      </c>
      <c r="C489" s="87">
        <v>55.499038696289098</v>
      </c>
      <c r="D489" s="85">
        <f t="shared" si="91"/>
        <v>0</v>
      </c>
      <c r="E489">
        <v>82.649467468261705</v>
      </c>
      <c r="F489" s="85">
        <f t="shared" si="92"/>
        <v>4.5623779297017109</v>
      </c>
      <c r="G489">
        <v>170.55404663085901</v>
      </c>
      <c r="H489" s="86">
        <f t="shared" si="93"/>
        <v>8.7432861329830303</v>
      </c>
      <c r="I489">
        <v>130.23594665527301</v>
      </c>
      <c r="J489" s="86">
        <f t="shared" si="94"/>
        <v>7.6293945319889644</v>
      </c>
      <c r="K489">
        <v>196.50865173339801</v>
      </c>
      <c r="L489" s="86">
        <f t="shared" si="95"/>
        <v>15.350341796988687</v>
      </c>
      <c r="M489">
        <v>223.14715576171901</v>
      </c>
      <c r="N489" s="86">
        <f t="shared" si="96"/>
        <v>15.182495116988548</v>
      </c>
      <c r="O489">
        <v>1525.44470214844</v>
      </c>
      <c r="P489" s="40">
        <f t="shared" si="87"/>
        <v>110.22949219000111</v>
      </c>
      <c r="Q489">
        <v>1127.62817382813</v>
      </c>
      <c r="R489" s="40">
        <f t="shared" si="88"/>
        <v>0.85449217999666871</v>
      </c>
      <c r="S489">
        <v>2781.68823242188</v>
      </c>
      <c r="T489" s="40">
        <f t="shared" si="89"/>
        <v>84.228515619997779</v>
      </c>
      <c r="U489">
        <v>35.001377105712898</v>
      </c>
      <c r="V489" s="33">
        <f t="shared" si="97"/>
        <v>3.1547546387002967</v>
      </c>
      <c r="W489">
        <v>232.82420349121099</v>
      </c>
      <c r="X489" s="90">
        <f t="shared" si="98"/>
        <v>13.275146484005518</v>
      </c>
    </row>
    <row r="490" spans="1:24" x14ac:dyDescent="0.25">
      <c r="A490" s="8">
        <v>42450.291666666664</v>
      </c>
      <c r="B490" s="40">
        <f t="shared" si="90"/>
        <v>7</v>
      </c>
      <c r="C490" s="87">
        <v>55.499038696289098</v>
      </c>
      <c r="D490" s="85">
        <f t="shared" si="91"/>
        <v>0</v>
      </c>
      <c r="E490">
        <v>82.654029846191406</v>
      </c>
      <c r="F490" s="85">
        <f t="shared" si="92"/>
        <v>5.5618286132954609</v>
      </c>
      <c r="G490">
        <v>170.56278991699199</v>
      </c>
      <c r="H490" s="86">
        <f t="shared" si="93"/>
        <v>8.8500976560226263</v>
      </c>
      <c r="I490">
        <v>130.243576049805</v>
      </c>
      <c r="J490" s="86">
        <f t="shared" si="94"/>
        <v>7.6751708980111744</v>
      </c>
      <c r="K490">
        <v>196.524002075195</v>
      </c>
      <c r="L490" s="86">
        <f t="shared" si="95"/>
        <v>15.411376953011313</v>
      </c>
      <c r="M490">
        <v>223.16233825683599</v>
      </c>
      <c r="N490" s="86">
        <f t="shared" si="96"/>
        <v>15.014648437016831</v>
      </c>
      <c r="O490">
        <v>1525.55493164063</v>
      </c>
      <c r="P490" s="40">
        <f t="shared" si="87"/>
        <v>111.57226561999778</v>
      </c>
      <c r="Q490">
        <v>1127.62902832031</v>
      </c>
      <c r="R490" s="40">
        <f t="shared" si="88"/>
        <v>0.73242188000222086</v>
      </c>
      <c r="S490">
        <v>2781.7724609375</v>
      </c>
      <c r="T490" s="40">
        <f t="shared" si="89"/>
        <v>112.06054688000222</v>
      </c>
      <c r="U490">
        <v>35.004531860351598</v>
      </c>
      <c r="V490" s="33">
        <f t="shared" si="97"/>
        <v>3.356933593700262</v>
      </c>
      <c r="W490">
        <v>232.837478637695</v>
      </c>
      <c r="X490" s="90">
        <f t="shared" si="98"/>
        <v>14.389038085994343</v>
      </c>
    </row>
    <row r="491" spans="1:24" x14ac:dyDescent="0.25">
      <c r="A491" s="8">
        <v>42450.333333333336</v>
      </c>
      <c r="B491" s="40">
        <f t="shared" si="90"/>
        <v>8</v>
      </c>
      <c r="C491" s="87">
        <v>55.499038696289098</v>
      </c>
      <c r="D491" s="85">
        <f t="shared" si="91"/>
        <v>0</v>
      </c>
      <c r="E491">
        <v>82.659591674804702</v>
      </c>
      <c r="F491" s="85">
        <f t="shared" si="92"/>
        <v>5.5770874023011174</v>
      </c>
      <c r="G491">
        <v>170.57164001464801</v>
      </c>
      <c r="H491" s="86">
        <f t="shared" si="93"/>
        <v>8.6364746100002776</v>
      </c>
      <c r="I491">
        <v>130.25125122070301</v>
      </c>
      <c r="J491" s="86">
        <f t="shared" si="94"/>
        <v>7.6751708989775125</v>
      </c>
      <c r="K491">
        <v>196.53941345214801</v>
      </c>
      <c r="L491" s="86">
        <f t="shared" si="95"/>
        <v>15.457153320994621</v>
      </c>
      <c r="M491">
        <v>223.17735290527301</v>
      </c>
      <c r="N491" s="86">
        <f t="shared" si="96"/>
        <v>15.304565430000139</v>
      </c>
      <c r="O491">
        <v>1525.66650390625</v>
      </c>
      <c r="P491" s="40">
        <f t="shared" si="87"/>
        <v>112.91503905999889</v>
      </c>
      <c r="Q491">
        <v>1127.62976074219</v>
      </c>
      <c r="R491" s="40">
        <f t="shared" si="88"/>
        <v>0.85449219000111043</v>
      </c>
      <c r="S491">
        <v>2781.88452148438</v>
      </c>
      <c r="T491" s="40">
        <f t="shared" si="89"/>
        <v>103.02734375</v>
      </c>
      <c r="U491">
        <v>35.007888793945298</v>
      </c>
      <c r="V491" s="33">
        <f t="shared" si="97"/>
        <v>3.4713745117045391</v>
      </c>
      <c r="W491">
        <v>232.85186767578099</v>
      </c>
      <c r="X491" s="90">
        <f t="shared" si="98"/>
        <v>19.775390625</v>
      </c>
    </row>
    <row r="492" spans="1:24" x14ac:dyDescent="0.25">
      <c r="A492" s="8">
        <v>42450.375</v>
      </c>
      <c r="B492" s="40">
        <f t="shared" si="90"/>
        <v>9</v>
      </c>
      <c r="C492" s="87">
        <v>55.499038696289098</v>
      </c>
      <c r="D492" s="85">
        <f t="shared" si="91"/>
        <v>0</v>
      </c>
      <c r="E492">
        <v>82.665168762207003</v>
      </c>
      <c r="F492" s="85">
        <f t="shared" si="92"/>
        <v>5.6076049804971717</v>
      </c>
      <c r="G492">
        <v>170.58027648925801</v>
      </c>
      <c r="H492" s="86">
        <f t="shared" si="93"/>
        <v>8.7890625</v>
      </c>
      <c r="I492">
        <v>130.25892639160199</v>
      </c>
      <c r="J492" s="86">
        <f t="shared" si="94"/>
        <v>7.6141357420169697</v>
      </c>
      <c r="K492">
        <v>196.55487060546901</v>
      </c>
      <c r="L492" s="86">
        <f t="shared" si="95"/>
        <v>15.365600585994343</v>
      </c>
      <c r="M492">
        <v>223.19265747070301</v>
      </c>
      <c r="N492" s="86">
        <f t="shared" si="96"/>
        <v>15.182495116988548</v>
      </c>
      <c r="O492">
        <v>1525.77941894531</v>
      </c>
      <c r="P492" s="40">
        <f t="shared" si="87"/>
        <v>111.328125</v>
      </c>
      <c r="Q492">
        <v>1127.63061523438</v>
      </c>
      <c r="R492" s="40">
        <f t="shared" si="88"/>
        <v>0.73242186999777914</v>
      </c>
      <c r="S492">
        <v>2781.98754882813</v>
      </c>
      <c r="T492" s="40">
        <f t="shared" si="89"/>
        <v>0.73242186999777914</v>
      </c>
      <c r="U492">
        <v>35.011360168457003</v>
      </c>
      <c r="V492" s="33">
        <f t="shared" si="97"/>
        <v>3.490447998096613</v>
      </c>
      <c r="W492">
        <v>232.87164306640599</v>
      </c>
      <c r="X492" s="90">
        <f t="shared" si="98"/>
        <v>19.409179688011591</v>
      </c>
    </row>
    <row r="493" spans="1:24" x14ac:dyDescent="0.25">
      <c r="A493" s="8">
        <v>42450.416666666664</v>
      </c>
      <c r="B493" s="40">
        <f t="shared" si="90"/>
        <v>10</v>
      </c>
      <c r="C493" s="87">
        <v>55.499038696289098</v>
      </c>
      <c r="D493" s="85">
        <f t="shared" si="91"/>
        <v>1.1444091803980427E-2</v>
      </c>
      <c r="E493">
        <v>82.6707763671875</v>
      </c>
      <c r="F493" s="85">
        <f t="shared" si="92"/>
        <v>5.5694580077982891</v>
      </c>
      <c r="G493">
        <v>170.58906555175801</v>
      </c>
      <c r="H493" s="86">
        <f t="shared" si="93"/>
        <v>8.7432861329830303</v>
      </c>
      <c r="I493">
        <v>130.26654052734401</v>
      </c>
      <c r="J493" s="86">
        <f t="shared" si="94"/>
        <v>7.5073242190057954</v>
      </c>
      <c r="K493">
        <v>196.570236206055</v>
      </c>
      <c r="L493" s="86">
        <f t="shared" si="95"/>
        <v>15.487670898011174</v>
      </c>
      <c r="M493">
        <v>223.20783996582</v>
      </c>
      <c r="N493" s="86">
        <f t="shared" si="96"/>
        <v>15.243530274005934</v>
      </c>
      <c r="O493">
        <v>1525.89074707031</v>
      </c>
      <c r="P493" s="40">
        <f t="shared" si="87"/>
        <v>109.74121094000111</v>
      </c>
      <c r="Q493">
        <v>1127.63134765625</v>
      </c>
      <c r="R493" s="40">
        <f t="shared" si="88"/>
        <v>0.73242188000222086</v>
      </c>
      <c r="S493">
        <v>2781.98828125</v>
      </c>
      <c r="T493" s="40">
        <f t="shared" si="89"/>
        <v>71.2890625</v>
      </c>
      <c r="U493">
        <v>35.014850616455099</v>
      </c>
      <c r="V493" s="33">
        <f t="shared" si="97"/>
        <v>3.3607482910014141</v>
      </c>
      <c r="W493">
        <v>232.89105224609401</v>
      </c>
      <c r="X493" s="90">
        <f t="shared" si="98"/>
        <v>19.958496094005795</v>
      </c>
    </row>
    <row r="494" spans="1:24" x14ac:dyDescent="0.25">
      <c r="A494" s="8">
        <v>42450.458333333336</v>
      </c>
      <c r="B494" s="40">
        <f t="shared" si="90"/>
        <v>11</v>
      </c>
      <c r="C494" s="87">
        <v>55.499050140380902</v>
      </c>
      <c r="D494" s="85">
        <f t="shared" si="91"/>
        <v>0</v>
      </c>
      <c r="E494">
        <v>82.676345825195298</v>
      </c>
      <c r="F494" s="85">
        <f t="shared" si="92"/>
        <v>5.5541992188068434</v>
      </c>
      <c r="G494">
        <v>170.59780883789099</v>
      </c>
      <c r="H494" s="86">
        <f t="shared" si="93"/>
        <v>8.7738037109943434</v>
      </c>
      <c r="I494">
        <v>130.27404785156301</v>
      </c>
      <c r="J494" s="86">
        <f t="shared" si="94"/>
        <v>7.568359375</v>
      </c>
      <c r="K494">
        <v>196.58572387695301</v>
      </c>
      <c r="L494" s="86">
        <f t="shared" si="95"/>
        <v>15.472412110000278</v>
      </c>
      <c r="M494">
        <v>223.22308349609401</v>
      </c>
      <c r="N494" s="86">
        <f t="shared" si="96"/>
        <v>15.075683594005795</v>
      </c>
      <c r="O494">
        <v>1526.00048828125</v>
      </c>
      <c r="P494" s="40">
        <f t="shared" si="87"/>
        <v>112.67089844000111</v>
      </c>
      <c r="Q494">
        <v>1127.63208007813</v>
      </c>
      <c r="R494" s="40">
        <f t="shared" si="88"/>
        <v>0.9765625</v>
      </c>
      <c r="S494">
        <v>2782.0595703125</v>
      </c>
      <c r="T494" s="40">
        <f t="shared" si="89"/>
        <v>115.72265625</v>
      </c>
      <c r="U494">
        <v>35.018211364746101</v>
      </c>
      <c r="V494" s="33">
        <f t="shared" si="97"/>
        <v>3.3798217773011174</v>
      </c>
      <c r="W494">
        <v>232.91101074218801</v>
      </c>
      <c r="X494" s="90">
        <f t="shared" si="98"/>
        <v>19.805908202982891</v>
      </c>
    </row>
    <row r="495" spans="1:24" x14ac:dyDescent="0.25">
      <c r="A495" s="8">
        <v>42450.5</v>
      </c>
      <c r="B495" s="40">
        <f t="shared" si="90"/>
        <v>12</v>
      </c>
      <c r="C495" s="87">
        <v>55.499050140380902</v>
      </c>
      <c r="D495" s="85">
        <f t="shared" si="91"/>
        <v>0</v>
      </c>
      <c r="E495">
        <v>82.681900024414105</v>
      </c>
      <c r="F495" s="85">
        <f t="shared" si="92"/>
        <v>5.5541992186931566</v>
      </c>
      <c r="G495">
        <v>170.60658264160199</v>
      </c>
      <c r="H495" s="86">
        <f t="shared" si="93"/>
        <v>8.6212158199998612</v>
      </c>
      <c r="I495">
        <v>130.28161621093801</v>
      </c>
      <c r="J495" s="86">
        <f t="shared" si="94"/>
        <v>7.5836181639772349</v>
      </c>
      <c r="K495">
        <v>196.60119628906301</v>
      </c>
      <c r="L495" s="86">
        <f t="shared" si="95"/>
        <v>15.243530272982753</v>
      </c>
      <c r="M495">
        <v>223.23815917968801</v>
      </c>
      <c r="N495" s="86">
        <f t="shared" si="96"/>
        <v>15.274047850994066</v>
      </c>
      <c r="O495">
        <v>1526.11315917969</v>
      </c>
      <c r="P495" s="40">
        <f t="shared" si="87"/>
        <v>112.3046875</v>
      </c>
      <c r="Q495">
        <v>1127.63305664063</v>
      </c>
      <c r="R495" s="40">
        <f t="shared" si="88"/>
        <v>0.85449217999666871</v>
      </c>
      <c r="S495">
        <v>2782.17529296875</v>
      </c>
      <c r="T495" s="40">
        <f t="shared" si="89"/>
        <v>116.45507813000222</v>
      </c>
      <c r="U495">
        <v>35.021591186523402</v>
      </c>
      <c r="V495" s="33">
        <f t="shared" si="97"/>
        <v>3.5591125488991793</v>
      </c>
      <c r="W495">
        <v>232.93081665039099</v>
      </c>
      <c r="X495" s="90">
        <f t="shared" si="98"/>
        <v>19.744873047017109</v>
      </c>
    </row>
    <row r="496" spans="1:24" x14ac:dyDescent="0.25">
      <c r="A496" s="8">
        <v>42450.541666666664</v>
      </c>
      <c r="B496" s="40">
        <f t="shared" si="90"/>
        <v>13</v>
      </c>
      <c r="C496" s="87">
        <v>55.499050140380902</v>
      </c>
      <c r="D496" s="85">
        <f t="shared" si="91"/>
        <v>7.6293944957228632E-3</v>
      </c>
      <c r="E496">
        <v>82.687454223632798</v>
      </c>
      <c r="F496" s="85">
        <f t="shared" si="92"/>
        <v>5.5465698242045391</v>
      </c>
      <c r="G496">
        <v>170.61520385742199</v>
      </c>
      <c r="H496" s="86">
        <f t="shared" si="93"/>
        <v>8.7127685550001388</v>
      </c>
      <c r="I496">
        <v>130.28919982910199</v>
      </c>
      <c r="J496" s="86">
        <f t="shared" si="94"/>
        <v>7.4768066399997224</v>
      </c>
      <c r="K496">
        <v>196.61643981933599</v>
      </c>
      <c r="L496" s="86">
        <f t="shared" si="95"/>
        <v>15.518188477017247</v>
      </c>
      <c r="M496">
        <v>223.25343322753901</v>
      </c>
      <c r="N496" s="86">
        <f t="shared" si="96"/>
        <v>15.365600585994343</v>
      </c>
      <c r="O496">
        <v>1526.22546386719</v>
      </c>
      <c r="P496" s="40">
        <f t="shared" si="87"/>
        <v>111.328125</v>
      </c>
      <c r="Q496">
        <v>1127.63391113281</v>
      </c>
      <c r="R496" s="40">
        <f t="shared" si="88"/>
        <v>0.85449219000111043</v>
      </c>
      <c r="S496">
        <v>2782.29174804688</v>
      </c>
      <c r="T496" s="40">
        <f t="shared" si="89"/>
        <v>116.94335936999778</v>
      </c>
      <c r="U496">
        <v>35.025150299072301</v>
      </c>
      <c r="V496" s="33">
        <f t="shared" si="97"/>
        <v>3.4065246581960196</v>
      </c>
      <c r="W496">
        <v>232.95056152343801</v>
      </c>
      <c r="X496" s="90">
        <f t="shared" si="98"/>
        <v>19.302368163977235</v>
      </c>
    </row>
    <row r="497" spans="1:24" x14ac:dyDescent="0.25">
      <c r="A497" s="8">
        <v>42450.583333333336</v>
      </c>
      <c r="B497" s="40">
        <f t="shared" si="90"/>
        <v>14</v>
      </c>
      <c r="C497" s="87">
        <v>55.499057769775398</v>
      </c>
      <c r="D497" s="85">
        <f t="shared" si="91"/>
        <v>1.1444091803980427E-2</v>
      </c>
      <c r="E497">
        <v>82.693000793457003</v>
      </c>
      <c r="F497" s="85">
        <f t="shared" si="92"/>
        <v>5.5618286132954609</v>
      </c>
      <c r="G497">
        <v>170.62391662597699</v>
      </c>
      <c r="H497" s="86">
        <f t="shared" si="93"/>
        <v>8.7280273430110356</v>
      </c>
      <c r="I497">
        <v>130.29667663574199</v>
      </c>
      <c r="J497" s="86">
        <f t="shared" si="94"/>
        <v>7.6141357420169697</v>
      </c>
      <c r="K497">
        <v>196.63195800781301</v>
      </c>
      <c r="L497" s="86">
        <f t="shared" si="95"/>
        <v>15.487670897982753</v>
      </c>
      <c r="M497">
        <v>223.268798828125</v>
      </c>
      <c r="N497" s="86">
        <f t="shared" si="96"/>
        <v>15.243530273011174</v>
      </c>
      <c r="O497">
        <v>1526.33679199219</v>
      </c>
      <c r="P497" s="40">
        <f t="shared" si="87"/>
        <v>110.22949219000111</v>
      </c>
      <c r="Q497">
        <v>1127.634765625</v>
      </c>
      <c r="R497" s="40">
        <f t="shared" si="88"/>
        <v>0.85449219000111043</v>
      </c>
      <c r="S497">
        <v>2782.40869140625</v>
      </c>
      <c r="T497" s="40">
        <f t="shared" si="89"/>
        <v>115.96679688000222</v>
      </c>
      <c r="U497">
        <v>35.028556823730497</v>
      </c>
      <c r="V497" s="33">
        <f t="shared" si="97"/>
        <v>3.3645629883025663</v>
      </c>
      <c r="W497">
        <v>232.96986389160199</v>
      </c>
      <c r="X497" s="90">
        <f t="shared" si="98"/>
        <v>19.622802734005518</v>
      </c>
    </row>
    <row r="498" spans="1:24" x14ac:dyDescent="0.25">
      <c r="A498" s="8">
        <v>42450.625</v>
      </c>
      <c r="B498" s="40">
        <f t="shared" si="90"/>
        <v>15</v>
      </c>
      <c r="C498" s="87">
        <v>55.499069213867202</v>
      </c>
      <c r="D498" s="85">
        <f t="shared" si="91"/>
        <v>0</v>
      </c>
      <c r="E498">
        <v>82.698562622070298</v>
      </c>
      <c r="F498" s="85">
        <f t="shared" si="92"/>
        <v>5.4779052735085543</v>
      </c>
      <c r="G498">
        <v>170.63264465332</v>
      </c>
      <c r="H498" s="86">
        <f t="shared" si="93"/>
        <v>8.7127685550001388</v>
      </c>
      <c r="I498">
        <v>130.30429077148401</v>
      </c>
      <c r="J498" s="86">
        <f t="shared" si="94"/>
        <v>7.5531005859943434</v>
      </c>
      <c r="K498">
        <v>196.64744567871099</v>
      </c>
      <c r="L498" s="86">
        <f t="shared" si="95"/>
        <v>15.502929687016831</v>
      </c>
      <c r="M498">
        <v>223.28404235839801</v>
      </c>
      <c r="N498" s="86">
        <f t="shared" si="96"/>
        <v>15.274047851988826</v>
      </c>
      <c r="O498">
        <v>1526.44702148438</v>
      </c>
      <c r="P498" s="40">
        <f t="shared" si="87"/>
        <v>110.10742186999778</v>
      </c>
      <c r="Q498">
        <v>1127.63562011719</v>
      </c>
      <c r="R498" s="40">
        <f t="shared" si="88"/>
        <v>0.73242186999777914</v>
      </c>
      <c r="S498">
        <v>2782.52465820313</v>
      </c>
      <c r="T498" s="40">
        <f t="shared" si="89"/>
        <v>114.99023436999778</v>
      </c>
      <c r="U498">
        <v>35.0319213867188</v>
      </c>
      <c r="V498" s="33">
        <f t="shared" si="97"/>
        <v>3.3416748046022349</v>
      </c>
      <c r="W498">
        <v>232.98948669433599</v>
      </c>
      <c r="X498" s="90">
        <f t="shared" si="98"/>
        <v>19.653320312016831</v>
      </c>
    </row>
    <row r="499" spans="1:24" x14ac:dyDescent="0.25">
      <c r="A499" s="8">
        <v>42450.666666666664</v>
      </c>
      <c r="B499" s="40">
        <f t="shared" si="90"/>
        <v>16</v>
      </c>
      <c r="C499" s="87">
        <v>55.499069213867202</v>
      </c>
      <c r="D499" s="85">
        <f t="shared" si="91"/>
        <v>7.6293944957228632E-3</v>
      </c>
      <c r="E499">
        <v>82.704040527343807</v>
      </c>
      <c r="F499" s="85">
        <f t="shared" si="92"/>
        <v>5.5770874022869066</v>
      </c>
      <c r="G499">
        <v>170.641357421875</v>
      </c>
      <c r="H499" s="86">
        <f t="shared" si="93"/>
        <v>8.6822509769888256</v>
      </c>
      <c r="I499">
        <v>130.31184387207</v>
      </c>
      <c r="J499" s="86">
        <f t="shared" si="94"/>
        <v>7.5531005859943434</v>
      </c>
      <c r="K499">
        <v>196.66294860839801</v>
      </c>
      <c r="L499" s="86">
        <f t="shared" si="95"/>
        <v>15.563964843977374</v>
      </c>
      <c r="M499">
        <v>223.29931640625</v>
      </c>
      <c r="N499" s="86">
        <f t="shared" si="96"/>
        <v>14.984130859005518</v>
      </c>
      <c r="O499">
        <v>1526.55712890625</v>
      </c>
      <c r="P499" s="40">
        <f t="shared" si="87"/>
        <v>109.25292969000111</v>
      </c>
      <c r="Q499">
        <v>1127.63635253906</v>
      </c>
      <c r="R499" s="40">
        <f t="shared" si="88"/>
        <v>0.85449219000111043</v>
      </c>
      <c r="S499">
        <v>2782.6396484375</v>
      </c>
      <c r="T499" s="40">
        <f t="shared" si="89"/>
        <v>114.74609375</v>
      </c>
      <c r="U499">
        <v>35.035263061523402</v>
      </c>
      <c r="V499" s="33">
        <f t="shared" si="97"/>
        <v>3.4370422363991793</v>
      </c>
      <c r="W499">
        <v>233.00914001464801</v>
      </c>
      <c r="X499" s="90">
        <f t="shared" si="98"/>
        <v>19.638061523977512</v>
      </c>
    </row>
    <row r="500" spans="1:24" x14ac:dyDescent="0.25">
      <c r="A500" s="8">
        <v>42450.708333333336</v>
      </c>
      <c r="B500" s="40">
        <f t="shared" si="90"/>
        <v>17</v>
      </c>
      <c r="C500" s="87">
        <v>55.499076843261697</v>
      </c>
      <c r="D500" s="85">
        <f t="shared" si="91"/>
        <v>1.1444091803980427E-2</v>
      </c>
      <c r="E500">
        <v>82.709617614746094</v>
      </c>
      <c r="F500" s="85">
        <f t="shared" si="92"/>
        <v>5.5541992187073674</v>
      </c>
      <c r="G500">
        <v>170.65003967285199</v>
      </c>
      <c r="H500" s="86">
        <f t="shared" si="93"/>
        <v>8.7432861320166921</v>
      </c>
      <c r="I500">
        <v>130.31939697265599</v>
      </c>
      <c r="J500" s="86">
        <f t="shared" si="94"/>
        <v>7.4920654300001388</v>
      </c>
      <c r="K500">
        <v>196.67851257324199</v>
      </c>
      <c r="L500" s="86">
        <f t="shared" si="95"/>
        <v>15.258789063011591</v>
      </c>
      <c r="M500">
        <v>223.31430053710901</v>
      </c>
      <c r="N500" s="86">
        <f t="shared" si="96"/>
        <v>15.33508300798303</v>
      </c>
      <c r="O500">
        <v>1526.66638183594</v>
      </c>
      <c r="P500" s="40">
        <f t="shared" ref="P500:P506" si="99">+(O501-O500)*1000</f>
        <v>110.71777344000111</v>
      </c>
      <c r="Q500">
        <v>1127.63720703125</v>
      </c>
      <c r="R500" s="40">
        <f t="shared" ref="R500:R506" si="100">+(Q501-Q500)*1000</f>
        <v>0.9765625</v>
      </c>
      <c r="S500">
        <v>2782.75439453125</v>
      </c>
      <c r="T500" s="40">
        <f t="shared" ref="T500:T506" si="101">+(S501-S500)*1000</f>
        <v>114.2578125</v>
      </c>
      <c r="U500">
        <v>35.038700103759801</v>
      </c>
      <c r="V500" s="33">
        <f t="shared" si="97"/>
        <v>3.429412841796875</v>
      </c>
      <c r="W500">
        <v>233.02877807617199</v>
      </c>
      <c r="X500" s="90">
        <f t="shared" si="98"/>
        <v>19.424438476022488</v>
      </c>
    </row>
    <row r="501" spans="1:24" x14ac:dyDescent="0.25">
      <c r="A501" s="8">
        <v>42450.75</v>
      </c>
      <c r="B501" s="40">
        <f t="shared" si="90"/>
        <v>18</v>
      </c>
      <c r="C501" s="87">
        <v>55.499088287353501</v>
      </c>
      <c r="D501" s="85">
        <f t="shared" si="91"/>
        <v>1.1444091796875E-2</v>
      </c>
      <c r="E501">
        <v>82.715171813964801</v>
      </c>
      <c r="F501" s="85">
        <f t="shared" si="92"/>
        <v>5.5465698243040151</v>
      </c>
      <c r="G501">
        <v>170.65878295898401</v>
      </c>
      <c r="H501" s="86">
        <f t="shared" si="93"/>
        <v>8.7738037109943434</v>
      </c>
      <c r="I501">
        <v>130.32688903808599</v>
      </c>
      <c r="J501" s="86">
        <f t="shared" si="94"/>
        <v>7.6141357420169697</v>
      </c>
      <c r="K501">
        <v>196.693771362305</v>
      </c>
      <c r="L501" s="86">
        <f t="shared" si="95"/>
        <v>15.548706054005379</v>
      </c>
      <c r="M501">
        <v>223.32963562011699</v>
      </c>
      <c r="N501" s="86">
        <f t="shared" si="96"/>
        <v>15.13671875</v>
      </c>
      <c r="O501">
        <v>1526.77709960938</v>
      </c>
      <c r="P501" s="40">
        <f t="shared" si="99"/>
        <v>109.86328125</v>
      </c>
      <c r="Q501">
        <v>1127.63818359375</v>
      </c>
      <c r="R501" s="40">
        <f t="shared" si="100"/>
        <v>0.85449219000111043</v>
      </c>
      <c r="S501">
        <v>2782.86865234375</v>
      </c>
      <c r="T501" s="40">
        <f t="shared" si="101"/>
        <v>183.59375</v>
      </c>
      <c r="U501">
        <v>35.042129516601598</v>
      </c>
      <c r="V501" s="33">
        <f t="shared" si="97"/>
        <v>3.1890869139985512</v>
      </c>
      <c r="W501">
        <v>233.04820251464801</v>
      </c>
      <c r="X501" s="90">
        <f t="shared" si="98"/>
        <v>19.638061523977512</v>
      </c>
    </row>
    <row r="502" spans="1:24" x14ac:dyDescent="0.25">
      <c r="A502" s="8">
        <v>42450.791666666664</v>
      </c>
      <c r="B502" s="40">
        <f t="shared" si="90"/>
        <v>19</v>
      </c>
      <c r="C502" s="87">
        <v>55.499099731445298</v>
      </c>
      <c r="D502" s="85">
        <f t="shared" si="91"/>
        <v>2.2888183600855427E-2</v>
      </c>
      <c r="E502">
        <v>82.720718383789105</v>
      </c>
      <c r="F502" s="85">
        <f t="shared" si="92"/>
        <v>5.5770874023011174</v>
      </c>
      <c r="G502">
        <v>170.667556762695</v>
      </c>
      <c r="H502" s="86">
        <f t="shared" si="93"/>
        <v>8.7890625</v>
      </c>
      <c r="I502">
        <v>130.33450317382801</v>
      </c>
      <c r="J502" s="86">
        <f t="shared" si="94"/>
        <v>7.614135741988548</v>
      </c>
      <c r="K502">
        <v>196.70932006835901</v>
      </c>
      <c r="L502" s="86">
        <f t="shared" si="95"/>
        <v>15.548706055000139</v>
      </c>
      <c r="M502">
        <v>223.34477233886699</v>
      </c>
      <c r="N502" s="86">
        <f t="shared" si="96"/>
        <v>15.289306641022904</v>
      </c>
      <c r="O502">
        <v>1526.88696289063</v>
      </c>
      <c r="P502" s="40">
        <f t="shared" si="99"/>
        <v>109.98535155999889</v>
      </c>
      <c r="Q502">
        <v>1127.63903808594</v>
      </c>
      <c r="R502" s="40">
        <f t="shared" si="100"/>
        <v>0.85449219000111043</v>
      </c>
      <c r="S502">
        <v>2783.05224609375</v>
      </c>
      <c r="T502" s="40">
        <f t="shared" si="101"/>
        <v>240.234375</v>
      </c>
      <c r="U502">
        <v>35.045318603515597</v>
      </c>
      <c r="V502" s="33">
        <f t="shared" si="97"/>
        <v>3.1700134278054293</v>
      </c>
      <c r="W502">
        <v>233.06784057617199</v>
      </c>
      <c r="X502" s="90">
        <f t="shared" si="98"/>
        <v>19.592285156022626</v>
      </c>
    </row>
    <row r="503" spans="1:24" x14ac:dyDescent="0.25">
      <c r="A503" s="8">
        <v>42450.833333333336</v>
      </c>
      <c r="B503" s="40">
        <f t="shared" si="90"/>
        <v>20</v>
      </c>
      <c r="C503" s="87">
        <v>55.499122619628899</v>
      </c>
      <c r="D503" s="85">
        <f t="shared" si="91"/>
        <v>7.6293945028282906E-3</v>
      </c>
      <c r="E503">
        <v>82.726295471191406</v>
      </c>
      <c r="F503" s="85">
        <f t="shared" si="92"/>
        <v>5.5618286132954609</v>
      </c>
      <c r="G503">
        <v>170.676345825195</v>
      </c>
      <c r="H503" s="86">
        <f t="shared" si="93"/>
        <v>8.6059570319889644</v>
      </c>
      <c r="I503">
        <v>130.34211730957</v>
      </c>
      <c r="J503" s="86">
        <f t="shared" si="94"/>
        <v>7.5988769530113132</v>
      </c>
      <c r="K503">
        <v>196.72486877441401</v>
      </c>
      <c r="L503" s="86">
        <f t="shared" si="95"/>
        <v>15.57922363298303</v>
      </c>
      <c r="M503">
        <v>223.36006164550801</v>
      </c>
      <c r="N503" s="86">
        <f t="shared" si="96"/>
        <v>15.350341796988687</v>
      </c>
      <c r="O503">
        <v>1526.99694824219</v>
      </c>
      <c r="P503" s="40">
        <f t="shared" si="99"/>
        <v>110.59570311999778</v>
      </c>
      <c r="Q503">
        <v>1127.63989257813</v>
      </c>
      <c r="R503" s="40">
        <f t="shared" si="100"/>
        <v>0.73242186999777914</v>
      </c>
      <c r="S503">
        <v>2783.29248046875</v>
      </c>
      <c r="T503" s="40">
        <f t="shared" si="101"/>
        <v>236.328125</v>
      </c>
      <c r="U503">
        <v>35.048488616943402</v>
      </c>
      <c r="V503" s="33">
        <f t="shared" si="97"/>
        <v>3.2501220702982891</v>
      </c>
      <c r="W503">
        <v>233.08743286132801</v>
      </c>
      <c r="X503" s="90">
        <f t="shared" si="98"/>
        <v>19.72961425798303</v>
      </c>
    </row>
    <row r="504" spans="1:24" x14ac:dyDescent="0.25">
      <c r="A504" s="8">
        <v>42450.875</v>
      </c>
      <c r="B504" s="40">
        <f t="shared" si="90"/>
        <v>21</v>
      </c>
      <c r="C504" s="87">
        <v>55.499130249023402</v>
      </c>
      <c r="D504" s="85">
        <f t="shared" si="91"/>
        <v>1.9073486399179274E-2</v>
      </c>
      <c r="E504">
        <v>82.731857299804702</v>
      </c>
      <c r="F504" s="85">
        <f t="shared" si="92"/>
        <v>5.5389404297017109</v>
      </c>
      <c r="G504">
        <v>170.68495178222699</v>
      </c>
      <c r="H504" s="86">
        <f t="shared" si="93"/>
        <v>8.7738037110227651</v>
      </c>
      <c r="I504">
        <v>130.34971618652301</v>
      </c>
      <c r="J504" s="86">
        <f t="shared" si="94"/>
        <v>7.5988769539776513</v>
      </c>
      <c r="K504">
        <v>196.74044799804699</v>
      </c>
      <c r="L504" s="86">
        <f t="shared" si="95"/>
        <v>15.548706055000139</v>
      </c>
      <c r="M504">
        <v>223.375411987305</v>
      </c>
      <c r="N504" s="86">
        <f t="shared" si="96"/>
        <v>15.289306639999722</v>
      </c>
      <c r="O504">
        <v>1527.10754394531</v>
      </c>
      <c r="P504" s="40">
        <f t="shared" si="99"/>
        <v>110.96191407000333</v>
      </c>
      <c r="Q504">
        <v>1127.640625</v>
      </c>
      <c r="R504" s="40">
        <f t="shared" si="100"/>
        <v>0.85449219000111043</v>
      </c>
      <c r="S504">
        <v>2783.52880859375</v>
      </c>
      <c r="T504" s="40">
        <f t="shared" si="101"/>
        <v>230.46875</v>
      </c>
      <c r="U504">
        <v>35.0517387390137</v>
      </c>
      <c r="V504" s="33">
        <f t="shared" si="97"/>
        <v>3.2119750975994066</v>
      </c>
      <c r="W504">
        <v>233.10716247558599</v>
      </c>
      <c r="X504" s="90">
        <f t="shared" si="98"/>
        <v>19.317626953011313</v>
      </c>
    </row>
    <row r="505" spans="1:24" x14ac:dyDescent="0.25">
      <c r="A505" s="8">
        <v>42450.916666666664</v>
      </c>
      <c r="B505" s="40">
        <f t="shared" si="90"/>
        <v>22</v>
      </c>
      <c r="C505" s="87">
        <v>55.499149322509801</v>
      </c>
      <c r="D505" s="85">
        <f t="shared" si="91"/>
        <v>1.1444091796875E-2</v>
      </c>
      <c r="E505">
        <v>82.737396240234403</v>
      </c>
      <c r="F505" s="85">
        <f t="shared" si="92"/>
        <v>5.4931640625</v>
      </c>
      <c r="G505">
        <v>170.69372558593801</v>
      </c>
      <c r="H505" s="86">
        <f t="shared" si="93"/>
        <v>8.7127685539769573</v>
      </c>
      <c r="I505">
        <v>130.35731506347699</v>
      </c>
      <c r="J505" s="86">
        <f t="shared" si="94"/>
        <v>7.5836181640056566</v>
      </c>
      <c r="K505">
        <v>196.75599670410199</v>
      </c>
      <c r="L505" s="86">
        <f t="shared" si="95"/>
        <v>15.487670898011174</v>
      </c>
      <c r="M505">
        <v>223.390701293945</v>
      </c>
      <c r="N505" s="86">
        <f t="shared" si="96"/>
        <v>15.243530274005934</v>
      </c>
      <c r="O505">
        <v>1527.21850585938</v>
      </c>
      <c r="P505" s="40">
        <f t="shared" si="99"/>
        <v>111.69433592999667</v>
      </c>
      <c r="Q505">
        <v>1127.64147949219</v>
      </c>
      <c r="R505" s="40">
        <f t="shared" si="100"/>
        <v>0.85449219000111043</v>
      </c>
      <c r="S505">
        <v>2783.75927734375</v>
      </c>
      <c r="T505" s="40">
        <f t="shared" si="101"/>
        <v>213.62304688000222</v>
      </c>
      <c r="U505">
        <v>35.0549507141113</v>
      </c>
      <c r="V505" s="33">
        <f t="shared" si="97"/>
        <v>3.2997131348011521</v>
      </c>
      <c r="W505">
        <v>233.12648010253901</v>
      </c>
      <c r="X505" s="90">
        <f t="shared" si="98"/>
        <v>19.592285155994205</v>
      </c>
    </row>
    <row r="506" spans="1:24" x14ac:dyDescent="0.25">
      <c r="A506" s="8">
        <v>42450.958333333336</v>
      </c>
      <c r="B506" s="40">
        <f t="shared" si="90"/>
        <v>23</v>
      </c>
      <c r="C506" s="87">
        <v>55.499160766601598</v>
      </c>
      <c r="D506" s="85">
        <f t="shared" si="91"/>
        <v>0</v>
      </c>
      <c r="E506">
        <v>82.742889404296903</v>
      </c>
      <c r="F506" s="85">
        <f t="shared" si="92"/>
        <v>5.5618286132954609</v>
      </c>
      <c r="G506">
        <v>170.70243835449199</v>
      </c>
      <c r="H506" s="86">
        <f t="shared" si="93"/>
        <v>8.743286133011452</v>
      </c>
      <c r="I506">
        <v>130.36489868164099</v>
      </c>
      <c r="J506" s="86">
        <f t="shared" si="94"/>
        <v>7.4768066399997224</v>
      </c>
      <c r="K506">
        <v>196.771484375</v>
      </c>
      <c r="L506" s="86">
        <f t="shared" si="95"/>
        <v>15.426635741988548</v>
      </c>
      <c r="M506">
        <v>223.40594482421901</v>
      </c>
      <c r="N506" s="86">
        <f t="shared" si="96"/>
        <v>15.014648436988409</v>
      </c>
      <c r="O506">
        <v>1527.33020019531</v>
      </c>
      <c r="P506" s="40">
        <f t="shared" si="99"/>
        <v>109.74121094000111</v>
      </c>
      <c r="Q506">
        <v>1127.64233398438</v>
      </c>
      <c r="R506" s="40">
        <f t="shared" si="100"/>
        <v>0.9765625</v>
      </c>
      <c r="S506">
        <v>2783.97290039063</v>
      </c>
      <c r="T506" s="40">
        <f t="shared" si="101"/>
        <v>106.4453125</v>
      </c>
      <c r="U506">
        <v>35.058250427246101</v>
      </c>
      <c r="V506" s="33">
        <f t="shared" si="97"/>
        <v>3.307342529296875</v>
      </c>
      <c r="W506">
        <v>233.146072387695</v>
      </c>
      <c r="X506" s="90">
        <f t="shared" si="98"/>
        <v>19.638061524005934</v>
      </c>
    </row>
    <row r="507" spans="1:24" x14ac:dyDescent="0.25">
      <c r="A507" s="8">
        <v>42451</v>
      </c>
      <c r="B507" s="40">
        <f t="shared" si="90"/>
        <v>0</v>
      </c>
      <c r="C507" s="87">
        <v>55.499160766601598</v>
      </c>
      <c r="D507" s="85"/>
      <c r="E507">
        <v>82.748451232910199</v>
      </c>
      <c r="F507" s="85"/>
      <c r="G507">
        <v>170.711181640625</v>
      </c>
      <c r="H507" s="86"/>
      <c r="I507">
        <v>130.37237548828099</v>
      </c>
      <c r="J507" s="86"/>
      <c r="K507">
        <v>196.78691101074199</v>
      </c>
      <c r="L507" s="86"/>
      <c r="M507">
        <v>223.42095947265599</v>
      </c>
      <c r="N507" s="86"/>
      <c r="O507">
        <v>1527.43994140625</v>
      </c>
      <c r="Q507">
        <v>1127.64331054688</v>
      </c>
      <c r="S507">
        <v>2784.07934570313</v>
      </c>
      <c r="U507">
        <v>35.061557769775398</v>
      </c>
      <c r="V507" s="33"/>
      <c r="W507">
        <v>233.16571044921901</v>
      </c>
      <c r="X507" s="90"/>
    </row>
    <row r="508" spans="1:24" x14ac:dyDescent="0.25">
      <c r="C508" s="40"/>
      <c r="D508" s="88"/>
    </row>
    <row r="509" spans="1:24" x14ac:dyDescent="0.25">
      <c r="C509" s="40"/>
      <c r="D509" s="88"/>
    </row>
    <row r="510" spans="1:24" x14ac:dyDescent="0.25">
      <c r="C510" s="40"/>
      <c r="D510" s="88"/>
    </row>
    <row r="511" spans="1:24" x14ac:dyDescent="0.25">
      <c r="C511" s="40"/>
      <c r="D511" s="88"/>
    </row>
    <row r="512" spans="1:24" x14ac:dyDescent="0.25">
      <c r="C512" s="40"/>
      <c r="D512" s="88"/>
    </row>
    <row r="513" spans="3:4" x14ac:dyDescent="0.25">
      <c r="C513" s="40"/>
      <c r="D513" s="88"/>
    </row>
    <row r="514" spans="3:4" x14ac:dyDescent="0.25">
      <c r="C514" s="40"/>
      <c r="D514" s="88"/>
    </row>
    <row r="515" spans="3:4" x14ac:dyDescent="0.25">
      <c r="C515" s="40"/>
      <c r="D515" s="88"/>
    </row>
    <row r="516" spans="3:4" x14ac:dyDescent="0.25">
      <c r="C516" s="40"/>
      <c r="D516" s="88"/>
    </row>
    <row r="517" spans="3:4" x14ac:dyDescent="0.25">
      <c r="C517" s="40"/>
      <c r="D517" s="88"/>
    </row>
    <row r="518" spans="3:4" x14ac:dyDescent="0.25">
      <c r="C518" s="40"/>
      <c r="D518" s="88"/>
    </row>
    <row r="519" spans="3:4" x14ac:dyDescent="0.25">
      <c r="C519" s="40"/>
      <c r="D519" s="88"/>
    </row>
    <row r="520" spans="3:4" x14ac:dyDescent="0.25">
      <c r="C520" s="40"/>
      <c r="D520" s="88"/>
    </row>
    <row r="521" spans="3:4" x14ac:dyDescent="0.25">
      <c r="C521" s="40"/>
      <c r="D521" s="88"/>
    </row>
    <row r="522" spans="3:4" x14ac:dyDescent="0.25">
      <c r="C522" s="40"/>
      <c r="D522" s="88"/>
    </row>
    <row r="523" spans="3:4" x14ac:dyDescent="0.25">
      <c r="C523" s="40"/>
      <c r="D523" s="88"/>
    </row>
    <row r="524" spans="3:4" x14ac:dyDescent="0.25">
      <c r="C524" s="40"/>
      <c r="D524" s="88"/>
    </row>
    <row r="525" spans="3:4" x14ac:dyDescent="0.25">
      <c r="C525" s="40"/>
      <c r="D525" s="88"/>
    </row>
    <row r="526" spans="3:4" x14ac:dyDescent="0.25">
      <c r="C526" s="40"/>
      <c r="D526" s="88"/>
    </row>
    <row r="527" spans="3:4" x14ac:dyDescent="0.25">
      <c r="C527" s="40"/>
      <c r="D527" s="88"/>
    </row>
    <row r="528" spans="3:4" x14ac:dyDescent="0.25">
      <c r="C528" s="40"/>
      <c r="D528" s="88"/>
    </row>
    <row r="529" spans="3:4" x14ac:dyDescent="0.25">
      <c r="C529" s="40"/>
      <c r="D529" s="88"/>
    </row>
    <row r="530" spans="3:4" x14ac:dyDescent="0.25">
      <c r="C530" s="40"/>
      <c r="D530" s="88"/>
    </row>
    <row r="531" spans="3:4" x14ac:dyDescent="0.25">
      <c r="C531" s="40"/>
      <c r="D531" s="88"/>
    </row>
    <row r="532" spans="3:4" x14ac:dyDescent="0.25">
      <c r="C532" s="40"/>
      <c r="D532" s="88"/>
    </row>
    <row r="533" spans="3:4" x14ac:dyDescent="0.25">
      <c r="C533" s="40"/>
      <c r="D533" s="88"/>
    </row>
    <row r="534" spans="3:4" x14ac:dyDescent="0.25">
      <c r="C534" s="40"/>
      <c r="D534" s="88"/>
    </row>
    <row r="535" spans="3:4" x14ac:dyDescent="0.25">
      <c r="C535" s="40"/>
      <c r="D535" s="88"/>
    </row>
    <row r="536" spans="3:4" x14ac:dyDescent="0.25">
      <c r="C536" s="40"/>
      <c r="D536" s="88"/>
    </row>
    <row r="537" spans="3:4" x14ac:dyDescent="0.25">
      <c r="C537" s="40"/>
      <c r="D537" s="88"/>
    </row>
    <row r="538" spans="3:4" x14ac:dyDescent="0.25">
      <c r="C538" s="40"/>
      <c r="D538" s="88"/>
    </row>
    <row r="539" spans="3:4" x14ac:dyDescent="0.25">
      <c r="C539" s="40"/>
      <c r="D539" s="88"/>
    </row>
    <row r="540" spans="3:4" x14ac:dyDescent="0.25">
      <c r="C540" s="40"/>
      <c r="D540" s="88"/>
    </row>
    <row r="541" spans="3:4" x14ac:dyDescent="0.25">
      <c r="C541" s="40"/>
      <c r="D541" s="88"/>
    </row>
    <row r="542" spans="3:4" x14ac:dyDescent="0.25">
      <c r="C542" s="40"/>
      <c r="D542" s="88"/>
    </row>
    <row r="543" spans="3:4" x14ac:dyDescent="0.25">
      <c r="C543" s="40"/>
      <c r="D543" s="88"/>
    </row>
    <row r="544" spans="3:4" x14ac:dyDescent="0.25">
      <c r="C544" s="40"/>
      <c r="D544" s="88"/>
    </row>
    <row r="545" spans="3:4" x14ac:dyDescent="0.25">
      <c r="C545" s="40"/>
      <c r="D545" s="88"/>
    </row>
    <row r="546" spans="3:4" x14ac:dyDescent="0.25">
      <c r="C546" s="40"/>
      <c r="D546" s="88"/>
    </row>
    <row r="547" spans="3:4" x14ac:dyDescent="0.25">
      <c r="C547" s="40"/>
      <c r="D547" s="88"/>
    </row>
    <row r="548" spans="3:4" x14ac:dyDescent="0.25">
      <c r="C548" s="40"/>
      <c r="D548" s="88"/>
    </row>
    <row r="549" spans="3:4" x14ac:dyDescent="0.25">
      <c r="C549" s="40"/>
      <c r="D549" s="88"/>
    </row>
    <row r="550" spans="3:4" x14ac:dyDescent="0.25">
      <c r="C550" s="40"/>
      <c r="D550" s="88"/>
    </row>
    <row r="551" spans="3:4" x14ac:dyDescent="0.25">
      <c r="C551" s="40"/>
      <c r="D551" s="88"/>
    </row>
    <row r="552" spans="3:4" x14ac:dyDescent="0.25">
      <c r="C552" s="40"/>
      <c r="D552" s="88"/>
    </row>
    <row r="553" spans="3:4" x14ac:dyDescent="0.25">
      <c r="C553" s="40"/>
      <c r="D553" s="88"/>
    </row>
    <row r="554" spans="3:4" x14ac:dyDescent="0.25">
      <c r="C554" s="40"/>
      <c r="D554" s="88"/>
    </row>
    <row r="555" spans="3:4" x14ac:dyDescent="0.25">
      <c r="C555" s="40"/>
      <c r="D555" s="88"/>
    </row>
    <row r="556" spans="3:4" x14ac:dyDescent="0.25">
      <c r="C556" s="40"/>
      <c r="D556" s="88"/>
    </row>
    <row r="557" spans="3:4" x14ac:dyDescent="0.25">
      <c r="C557" s="40"/>
      <c r="D557" s="88"/>
    </row>
    <row r="558" spans="3:4" x14ac:dyDescent="0.25">
      <c r="C558" s="40"/>
      <c r="D558" s="88"/>
    </row>
    <row r="559" spans="3:4" x14ac:dyDescent="0.25">
      <c r="C559" s="40"/>
      <c r="D559" s="88"/>
    </row>
    <row r="560" spans="3:4" x14ac:dyDescent="0.25">
      <c r="C560" s="40"/>
      <c r="D560" s="88"/>
    </row>
    <row r="561" spans="3:4" x14ac:dyDescent="0.25">
      <c r="C561" s="40"/>
      <c r="D561" s="88"/>
    </row>
    <row r="562" spans="3:4" x14ac:dyDescent="0.25">
      <c r="C562" s="40"/>
      <c r="D562" s="88"/>
    </row>
    <row r="563" spans="3:4" x14ac:dyDescent="0.25">
      <c r="C563" s="40"/>
      <c r="D563" s="88"/>
    </row>
    <row r="564" spans="3:4" x14ac:dyDescent="0.25">
      <c r="C564" s="40"/>
      <c r="D564" s="88"/>
    </row>
    <row r="565" spans="3:4" x14ac:dyDescent="0.25">
      <c r="C565" s="40"/>
      <c r="D565" s="88"/>
    </row>
    <row r="566" spans="3:4" x14ac:dyDescent="0.25">
      <c r="C566" s="40"/>
      <c r="D566" s="88"/>
    </row>
    <row r="567" spans="3:4" x14ac:dyDescent="0.25">
      <c r="C567" s="40"/>
      <c r="D567" s="88"/>
    </row>
    <row r="568" spans="3:4" x14ac:dyDescent="0.25">
      <c r="C568" s="40"/>
      <c r="D568" s="88"/>
    </row>
    <row r="569" spans="3:4" x14ac:dyDescent="0.25">
      <c r="C569" s="40"/>
      <c r="D569" s="88"/>
    </row>
    <row r="570" spans="3:4" x14ac:dyDescent="0.25">
      <c r="C570" s="40"/>
      <c r="D570" s="88"/>
    </row>
    <row r="571" spans="3:4" x14ac:dyDescent="0.25">
      <c r="C571" s="40"/>
      <c r="D571" s="88"/>
    </row>
    <row r="572" spans="3:4" x14ac:dyDescent="0.25">
      <c r="C572" s="40"/>
      <c r="D572" s="88"/>
    </row>
    <row r="573" spans="3:4" x14ac:dyDescent="0.25">
      <c r="C573" s="40"/>
      <c r="D573" s="88"/>
    </row>
    <row r="574" spans="3:4" x14ac:dyDescent="0.25">
      <c r="C574" s="40"/>
      <c r="D574" s="88"/>
    </row>
    <row r="575" spans="3:4" x14ac:dyDescent="0.25">
      <c r="C575" s="40"/>
      <c r="D575" s="88"/>
    </row>
    <row r="576" spans="3:4" x14ac:dyDescent="0.25">
      <c r="C576" s="40"/>
      <c r="D576" s="88"/>
    </row>
    <row r="577" spans="3:4" x14ac:dyDescent="0.25">
      <c r="C577" s="40"/>
      <c r="D577" s="88"/>
    </row>
    <row r="578" spans="3:4" x14ac:dyDescent="0.25">
      <c r="C578" s="40"/>
      <c r="D578" s="88"/>
    </row>
    <row r="579" spans="3:4" x14ac:dyDescent="0.25">
      <c r="C579" s="40"/>
      <c r="D579" s="88"/>
    </row>
    <row r="580" spans="3:4" x14ac:dyDescent="0.25">
      <c r="C580" s="40"/>
      <c r="D580" s="88"/>
    </row>
    <row r="581" spans="3:4" x14ac:dyDescent="0.25">
      <c r="C581" s="40"/>
      <c r="D581" s="88"/>
    </row>
    <row r="582" spans="3:4" x14ac:dyDescent="0.25">
      <c r="C582" s="40"/>
      <c r="D582" s="88"/>
    </row>
    <row r="583" spans="3:4" x14ac:dyDescent="0.25">
      <c r="C583" s="40"/>
      <c r="D583" s="88"/>
    </row>
    <row r="584" spans="3:4" x14ac:dyDescent="0.25">
      <c r="C584" s="40"/>
      <c r="D584" s="88"/>
    </row>
    <row r="585" spans="3:4" x14ac:dyDescent="0.25">
      <c r="C585" s="40"/>
      <c r="D585" s="88"/>
    </row>
    <row r="586" spans="3:4" x14ac:dyDescent="0.25">
      <c r="C586" s="40"/>
      <c r="D586" s="88"/>
    </row>
    <row r="587" spans="3:4" x14ac:dyDescent="0.25">
      <c r="C587" s="40"/>
      <c r="D587" s="88"/>
    </row>
    <row r="588" spans="3:4" x14ac:dyDescent="0.25">
      <c r="C588" s="40"/>
      <c r="D588" s="88"/>
    </row>
    <row r="589" spans="3:4" x14ac:dyDescent="0.25">
      <c r="C589" s="40"/>
      <c r="D589" s="88"/>
    </row>
    <row r="590" spans="3:4" x14ac:dyDescent="0.25">
      <c r="C590" s="40"/>
      <c r="D590" s="88"/>
    </row>
    <row r="591" spans="3:4" x14ac:dyDescent="0.25">
      <c r="C591" s="40"/>
      <c r="D591" s="88"/>
    </row>
    <row r="592" spans="3:4" x14ac:dyDescent="0.25">
      <c r="C592" s="40"/>
      <c r="D592" s="88"/>
    </row>
    <row r="593" spans="3:4" x14ac:dyDescent="0.25">
      <c r="C593" s="40"/>
      <c r="D593" s="88"/>
    </row>
    <row r="594" spans="3:4" x14ac:dyDescent="0.25">
      <c r="C594" s="40"/>
      <c r="D594" s="88"/>
    </row>
    <row r="595" spans="3:4" x14ac:dyDescent="0.25">
      <c r="C595" s="40"/>
      <c r="D595" s="88"/>
    </row>
    <row r="596" spans="3:4" x14ac:dyDescent="0.25">
      <c r="C596" s="40"/>
      <c r="D596" s="88"/>
    </row>
    <row r="597" spans="3:4" x14ac:dyDescent="0.25">
      <c r="C597" s="40"/>
      <c r="D597" s="88"/>
    </row>
    <row r="598" spans="3:4" x14ac:dyDescent="0.25">
      <c r="C598" s="40"/>
      <c r="D598" s="88"/>
    </row>
    <row r="599" spans="3:4" x14ac:dyDescent="0.25">
      <c r="C599" s="40"/>
      <c r="D599" s="88"/>
    </row>
    <row r="600" spans="3:4" x14ac:dyDescent="0.25">
      <c r="C600" s="40"/>
      <c r="D600" s="88"/>
    </row>
    <row r="601" spans="3:4" x14ac:dyDescent="0.25">
      <c r="C601" s="40"/>
      <c r="D601" s="88"/>
    </row>
    <row r="602" spans="3:4" x14ac:dyDescent="0.25">
      <c r="C602" s="40"/>
      <c r="D602" s="88"/>
    </row>
    <row r="603" spans="3:4" x14ac:dyDescent="0.25">
      <c r="C603" s="40"/>
      <c r="D603" s="88"/>
    </row>
    <row r="604" spans="3:4" x14ac:dyDescent="0.25">
      <c r="C604" s="40"/>
      <c r="D604" s="88"/>
    </row>
    <row r="605" spans="3:4" x14ac:dyDescent="0.25">
      <c r="C605" s="40"/>
      <c r="D605" s="88"/>
    </row>
    <row r="606" spans="3:4" x14ac:dyDescent="0.25">
      <c r="C606" s="40"/>
      <c r="D606" s="88"/>
    </row>
    <row r="607" spans="3:4" x14ac:dyDescent="0.25">
      <c r="C607" s="40"/>
      <c r="D607" s="88"/>
    </row>
    <row r="608" spans="3:4" x14ac:dyDescent="0.25">
      <c r="C608" s="40"/>
      <c r="D608" s="88"/>
    </row>
    <row r="609" spans="3:4" x14ac:dyDescent="0.25">
      <c r="C609" s="40"/>
      <c r="D609" s="88"/>
    </row>
    <row r="610" spans="3:4" x14ac:dyDescent="0.25">
      <c r="C610" s="40"/>
      <c r="D610" s="88"/>
    </row>
    <row r="611" spans="3:4" x14ac:dyDescent="0.25">
      <c r="C611" s="40"/>
      <c r="D611" s="88"/>
    </row>
    <row r="612" spans="3:4" x14ac:dyDescent="0.25">
      <c r="C612" s="40"/>
      <c r="D612" s="88"/>
    </row>
    <row r="613" spans="3:4" x14ac:dyDescent="0.25">
      <c r="C613" s="40"/>
      <c r="D613" s="88"/>
    </row>
    <row r="614" spans="3:4" x14ac:dyDescent="0.25">
      <c r="C614" s="40"/>
      <c r="D614" s="88"/>
    </row>
    <row r="615" spans="3:4" x14ac:dyDescent="0.25">
      <c r="C615" s="40"/>
      <c r="D615" s="88"/>
    </row>
    <row r="616" spans="3:4" x14ac:dyDescent="0.25">
      <c r="C616" s="40"/>
      <c r="D616" s="88"/>
    </row>
    <row r="617" spans="3:4" x14ac:dyDescent="0.25">
      <c r="C617" s="40"/>
      <c r="D617" s="88"/>
    </row>
    <row r="618" spans="3:4" x14ac:dyDescent="0.25">
      <c r="C618" s="40"/>
      <c r="D618" s="88"/>
    </row>
    <row r="619" spans="3:4" x14ac:dyDescent="0.25">
      <c r="C619" s="40"/>
      <c r="D619" s="88"/>
    </row>
    <row r="620" spans="3:4" x14ac:dyDescent="0.25">
      <c r="C620" s="40"/>
      <c r="D620" s="88"/>
    </row>
    <row r="621" spans="3:4" x14ac:dyDescent="0.25">
      <c r="C621" s="40"/>
      <c r="D621" s="88"/>
    </row>
    <row r="622" spans="3:4" x14ac:dyDescent="0.25">
      <c r="C622" s="40"/>
      <c r="D622" s="88"/>
    </row>
    <row r="623" spans="3:4" x14ac:dyDescent="0.25">
      <c r="C623" s="40"/>
      <c r="D623" s="88"/>
    </row>
    <row r="624" spans="3:4" x14ac:dyDescent="0.25">
      <c r="C624" s="40"/>
      <c r="D624" s="88"/>
    </row>
    <row r="625" spans="3:4" x14ac:dyDescent="0.25">
      <c r="C625" s="40"/>
      <c r="D625" s="88"/>
    </row>
    <row r="626" spans="3:4" x14ac:dyDescent="0.25">
      <c r="C626" s="40"/>
      <c r="D626" s="88"/>
    </row>
    <row r="627" spans="3:4" x14ac:dyDescent="0.25">
      <c r="C627" s="40"/>
      <c r="D627" s="88"/>
    </row>
    <row r="628" spans="3:4" x14ac:dyDescent="0.25">
      <c r="C628" s="40"/>
      <c r="D628" s="88"/>
    </row>
    <row r="629" spans="3:4" x14ac:dyDescent="0.25">
      <c r="C629" s="40"/>
      <c r="D629" s="88"/>
    </row>
    <row r="630" spans="3:4" x14ac:dyDescent="0.25">
      <c r="C630" s="40"/>
      <c r="D630" s="88"/>
    </row>
    <row r="631" spans="3:4" x14ac:dyDescent="0.25">
      <c r="C631" s="40"/>
      <c r="D631" s="88"/>
    </row>
    <row r="632" spans="3:4" x14ac:dyDescent="0.25">
      <c r="C632" s="40"/>
      <c r="D632" s="88"/>
    </row>
    <row r="633" spans="3:4" x14ac:dyDescent="0.25">
      <c r="C633" s="40"/>
      <c r="D633" s="88"/>
    </row>
    <row r="634" spans="3:4" x14ac:dyDescent="0.25">
      <c r="C634" s="40"/>
      <c r="D634" s="88"/>
    </row>
    <row r="635" spans="3:4" x14ac:dyDescent="0.25">
      <c r="C635" s="40"/>
      <c r="D635" s="88"/>
    </row>
    <row r="636" spans="3:4" x14ac:dyDescent="0.25">
      <c r="C636" s="40"/>
      <c r="D636" s="88"/>
    </row>
    <row r="637" spans="3:4" x14ac:dyDescent="0.25">
      <c r="C637" s="40"/>
      <c r="D637" s="88"/>
    </row>
    <row r="638" spans="3:4" x14ac:dyDescent="0.25">
      <c r="C638" s="40"/>
      <c r="D638" s="88"/>
    </row>
    <row r="639" spans="3:4" x14ac:dyDescent="0.25">
      <c r="C639" s="40"/>
      <c r="D639" s="88"/>
    </row>
    <row r="640" spans="3:4" x14ac:dyDescent="0.25">
      <c r="C640" s="40"/>
      <c r="D640" s="88"/>
    </row>
    <row r="641" spans="3:4" x14ac:dyDescent="0.25">
      <c r="C641" s="40"/>
      <c r="D641" s="88"/>
    </row>
    <row r="642" spans="3:4" x14ac:dyDescent="0.25">
      <c r="C642" s="40"/>
      <c r="D642" s="88"/>
    </row>
    <row r="643" spans="3:4" x14ac:dyDescent="0.25">
      <c r="C643" s="40"/>
      <c r="D643" s="88"/>
    </row>
    <row r="644" spans="3:4" x14ac:dyDescent="0.25">
      <c r="C644" s="40"/>
      <c r="D644" s="88"/>
    </row>
    <row r="645" spans="3:4" x14ac:dyDescent="0.25">
      <c r="C645" s="40"/>
      <c r="D645" s="88"/>
    </row>
    <row r="646" spans="3:4" x14ac:dyDescent="0.25">
      <c r="C646" s="40"/>
      <c r="D646" s="88"/>
    </row>
    <row r="647" spans="3:4" x14ac:dyDescent="0.25">
      <c r="C647" s="40"/>
      <c r="D647" s="88"/>
    </row>
    <row r="648" spans="3:4" x14ac:dyDescent="0.25">
      <c r="C648" s="40"/>
      <c r="D648" s="88"/>
    </row>
    <row r="649" spans="3:4" x14ac:dyDescent="0.25">
      <c r="C649" s="40"/>
      <c r="D649" s="88"/>
    </row>
    <row r="650" spans="3:4" x14ac:dyDescent="0.25">
      <c r="C650" s="40"/>
      <c r="D650" s="88"/>
    </row>
    <row r="651" spans="3:4" x14ac:dyDescent="0.25">
      <c r="C651" s="40"/>
      <c r="D651" s="88"/>
    </row>
    <row r="652" spans="3:4" x14ac:dyDescent="0.25">
      <c r="C652" s="40"/>
      <c r="D652" s="88"/>
    </row>
    <row r="653" spans="3:4" x14ac:dyDescent="0.25">
      <c r="C653" s="40"/>
      <c r="D653" s="88"/>
    </row>
    <row r="654" spans="3:4" x14ac:dyDescent="0.25">
      <c r="C654" s="40"/>
      <c r="D654" s="88"/>
    </row>
    <row r="655" spans="3:4" x14ac:dyDescent="0.25">
      <c r="C655" s="40"/>
      <c r="D655" s="88"/>
    </row>
    <row r="656" spans="3:4" x14ac:dyDescent="0.25">
      <c r="C656" s="40"/>
      <c r="D656" s="88"/>
    </row>
    <row r="657" spans="3:4" x14ac:dyDescent="0.25">
      <c r="C657" s="40"/>
      <c r="D657" s="88"/>
    </row>
    <row r="658" spans="3:4" x14ac:dyDescent="0.25">
      <c r="C658" s="40"/>
      <c r="D658" s="88"/>
    </row>
    <row r="659" spans="3:4" x14ac:dyDescent="0.25">
      <c r="C659" s="40"/>
      <c r="D659" s="88"/>
    </row>
    <row r="660" spans="3:4" x14ac:dyDescent="0.25">
      <c r="C660" s="40"/>
      <c r="D660" s="88"/>
    </row>
    <row r="661" spans="3:4" x14ac:dyDescent="0.25">
      <c r="C661" s="40"/>
      <c r="D661" s="88"/>
    </row>
    <row r="662" spans="3:4" x14ac:dyDescent="0.25">
      <c r="C662" s="40"/>
      <c r="D662" s="88"/>
    </row>
    <row r="663" spans="3:4" x14ac:dyDescent="0.25">
      <c r="C663" s="40"/>
      <c r="D663" s="88"/>
    </row>
    <row r="664" spans="3:4" x14ac:dyDescent="0.25">
      <c r="C664" s="40"/>
      <c r="D664" s="88"/>
    </row>
    <row r="665" spans="3:4" x14ac:dyDescent="0.25">
      <c r="C665" s="40"/>
      <c r="D665" s="88"/>
    </row>
    <row r="666" spans="3:4" x14ac:dyDescent="0.25">
      <c r="C666" s="40"/>
      <c r="D666" s="88"/>
    </row>
    <row r="667" spans="3:4" x14ac:dyDescent="0.25">
      <c r="C667" s="40"/>
      <c r="D667" s="88"/>
    </row>
    <row r="668" spans="3:4" x14ac:dyDescent="0.25">
      <c r="C668" s="40"/>
      <c r="D668" s="88"/>
    </row>
    <row r="669" spans="3:4" x14ac:dyDescent="0.25">
      <c r="C669" s="40"/>
      <c r="D669" s="88"/>
    </row>
    <row r="670" spans="3:4" x14ac:dyDescent="0.25">
      <c r="C670" s="40"/>
      <c r="D670" s="88"/>
    </row>
    <row r="671" spans="3:4" x14ac:dyDescent="0.25">
      <c r="C671" s="40"/>
      <c r="D671" s="88"/>
    </row>
    <row r="672" spans="3:4" x14ac:dyDescent="0.25">
      <c r="C672" s="40"/>
      <c r="D672" s="88"/>
    </row>
    <row r="673" spans="3:4" x14ac:dyDescent="0.25">
      <c r="C673" s="40"/>
      <c r="D673" s="88"/>
    </row>
    <row r="674" spans="3:4" x14ac:dyDescent="0.25">
      <c r="C674" s="40"/>
      <c r="D674" s="88"/>
    </row>
    <row r="675" spans="3:4" x14ac:dyDescent="0.25">
      <c r="C675" s="40"/>
      <c r="D675" s="88"/>
    </row>
    <row r="676" spans="3:4" x14ac:dyDescent="0.25">
      <c r="C676" s="40"/>
      <c r="D676" s="88"/>
    </row>
    <row r="677" spans="3:4" x14ac:dyDescent="0.25">
      <c r="C677" s="40"/>
      <c r="D677" s="88"/>
    </row>
    <row r="678" spans="3:4" x14ac:dyDescent="0.25">
      <c r="C678" s="40"/>
      <c r="D678" s="88"/>
    </row>
    <row r="679" spans="3:4" x14ac:dyDescent="0.25">
      <c r="C679" s="40"/>
      <c r="D679" s="88"/>
    </row>
    <row r="680" spans="3:4" x14ac:dyDescent="0.25">
      <c r="C680" s="40"/>
      <c r="D680" s="88"/>
    </row>
    <row r="681" spans="3:4" x14ac:dyDescent="0.25">
      <c r="C681" s="40"/>
      <c r="D681" s="88"/>
    </row>
    <row r="682" spans="3:4" x14ac:dyDescent="0.25">
      <c r="C682" s="40"/>
      <c r="D682" s="88"/>
    </row>
    <row r="683" spans="3:4" x14ac:dyDescent="0.25">
      <c r="C683" s="40"/>
      <c r="D683" s="88"/>
    </row>
    <row r="684" spans="3:4" x14ac:dyDescent="0.25">
      <c r="C684" s="40"/>
      <c r="D684" s="88"/>
    </row>
    <row r="685" spans="3:4" x14ac:dyDescent="0.25">
      <c r="C685" s="40"/>
      <c r="D685" s="88"/>
    </row>
    <row r="686" spans="3:4" x14ac:dyDescent="0.25">
      <c r="C686" s="40"/>
      <c r="D686" s="88"/>
    </row>
    <row r="687" spans="3:4" x14ac:dyDescent="0.25">
      <c r="C687" s="40"/>
      <c r="D687" s="88"/>
    </row>
    <row r="688" spans="3:4" x14ac:dyDescent="0.25">
      <c r="C688" s="40"/>
      <c r="D688" s="88"/>
    </row>
    <row r="689" spans="3:4" x14ac:dyDescent="0.25">
      <c r="C689" s="40"/>
      <c r="D689" s="88"/>
    </row>
    <row r="690" spans="3:4" x14ac:dyDescent="0.25">
      <c r="C690" s="40"/>
      <c r="D690" s="88"/>
    </row>
    <row r="691" spans="3:4" x14ac:dyDescent="0.25">
      <c r="C691" s="40"/>
      <c r="D691" s="88"/>
    </row>
    <row r="692" spans="3:4" x14ac:dyDescent="0.25">
      <c r="C692" s="40"/>
      <c r="D692" s="88"/>
    </row>
    <row r="693" spans="3:4" x14ac:dyDescent="0.25">
      <c r="C693" s="40"/>
      <c r="D693" s="88"/>
    </row>
    <row r="694" spans="3:4" x14ac:dyDescent="0.25">
      <c r="C694" s="40"/>
      <c r="D694" s="88"/>
    </row>
    <row r="695" spans="3:4" x14ac:dyDescent="0.25">
      <c r="C695" s="40"/>
      <c r="D695" s="88"/>
    </row>
    <row r="696" spans="3:4" x14ac:dyDescent="0.25">
      <c r="C696" s="40"/>
      <c r="D696" s="88"/>
    </row>
    <row r="697" spans="3:4" x14ac:dyDescent="0.25">
      <c r="C697" s="40"/>
      <c r="D697" s="88"/>
    </row>
    <row r="698" spans="3:4" x14ac:dyDescent="0.25">
      <c r="C698" s="40"/>
      <c r="D698" s="88"/>
    </row>
    <row r="699" spans="3:4" x14ac:dyDescent="0.25">
      <c r="C699" s="40"/>
      <c r="D699" s="88"/>
    </row>
    <row r="700" spans="3:4" x14ac:dyDescent="0.25">
      <c r="C700" s="40"/>
      <c r="D700" s="88"/>
    </row>
    <row r="701" spans="3:4" x14ac:dyDescent="0.25">
      <c r="C701" s="40"/>
      <c r="D701" s="88"/>
    </row>
    <row r="702" spans="3:4" x14ac:dyDescent="0.25">
      <c r="C702" s="40"/>
      <c r="D702" s="88"/>
    </row>
    <row r="703" spans="3:4" x14ac:dyDescent="0.25">
      <c r="C703" s="40"/>
      <c r="D703" s="88"/>
    </row>
    <row r="704" spans="3:4" x14ac:dyDescent="0.25">
      <c r="C704" s="40"/>
      <c r="D704" s="88"/>
    </row>
    <row r="705" spans="3:4" x14ac:dyDescent="0.25">
      <c r="C705" s="40"/>
      <c r="D705" s="88"/>
    </row>
    <row r="706" spans="3:4" x14ac:dyDescent="0.25">
      <c r="C706" s="40"/>
      <c r="D706" s="88"/>
    </row>
    <row r="707" spans="3:4" x14ac:dyDescent="0.25">
      <c r="C707" s="40"/>
      <c r="D707" s="88"/>
    </row>
    <row r="708" spans="3:4" x14ac:dyDescent="0.25">
      <c r="C708" s="40"/>
      <c r="D708" s="88"/>
    </row>
    <row r="709" spans="3:4" x14ac:dyDescent="0.25">
      <c r="C709" s="40"/>
      <c r="D709" s="88"/>
    </row>
    <row r="710" spans="3:4" x14ac:dyDescent="0.25">
      <c r="C710" s="40"/>
      <c r="D710" s="88"/>
    </row>
    <row r="711" spans="3:4" x14ac:dyDescent="0.25">
      <c r="C711" s="40"/>
      <c r="D711" s="88"/>
    </row>
    <row r="712" spans="3:4" x14ac:dyDescent="0.25">
      <c r="C712" s="40"/>
      <c r="D712" s="88"/>
    </row>
    <row r="713" spans="3:4" x14ac:dyDescent="0.25">
      <c r="C713" s="40"/>
      <c r="D713" s="88"/>
    </row>
    <row r="714" spans="3:4" x14ac:dyDescent="0.25">
      <c r="C714" s="40"/>
      <c r="D714" s="88"/>
    </row>
    <row r="715" spans="3:4" x14ac:dyDescent="0.25">
      <c r="C715" s="40"/>
      <c r="D715" s="88"/>
    </row>
    <row r="716" spans="3:4" x14ac:dyDescent="0.25">
      <c r="C716" s="40"/>
      <c r="D716" s="88"/>
    </row>
    <row r="717" spans="3:4" x14ac:dyDescent="0.25">
      <c r="C717" s="40"/>
      <c r="D717" s="88"/>
    </row>
    <row r="718" spans="3:4" x14ac:dyDescent="0.25">
      <c r="C718" s="40"/>
      <c r="D718" s="88"/>
    </row>
    <row r="719" spans="3:4" x14ac:dyDescent="0.25">
      <c r="C719" s="40"/>
      <c r="D719" s="88"/>
    </row>
    <row r="720" spans="3:4" x14ac:dyDescent="0.25">
      <c r="C720" s="40"/>
      <c r="D720" s="88"/>
    </row>
    <row r="721" spans="3:4" x14ac:dyDescent="0.25">
      <c r="C721" s="40"/>
      <c r="D721" s="88"/>
    </row>
    <row r="722" spans="3:4" x14ac:dyDescent="0.25">
      <c r="C722" s="40"/>
      <c r="D722" s="88"/>
    </row>
    <row r="723" spans="3:4" x14ac:dyDescent="0.25">
      <c r="C723" s="40"/>
      <c r="D723" s="88"/>
    </row>
    <row r="724" spans="3:4" x14ac:dyDescent="0.25">
      <c r="C724" s="40"/>
      <c r="D724" s="88"/>
    </row>
    <row r="725" spans="3:4" x14ac:dyDescent="0.25">
      <c r="C725" s="40"/>
      <c r="D725" s="88"/>
    </row>
    <row r="726" spans="3:4" x14ac:dyDescent="0.25">
      <c r="C726" s="40"/>
      <c r="D726" s="88"/>
    </row>
    <row r="727" spans="3:4" x14ac:dyDescent="0.25">
      <c r="C727" s="40"/>
      <c r="D727" s="88"/>
    </row>
    <row r="728" spans="3:4" x14ac:dyDescent="0.25">
      <c r="C728" s="40"/>
      <c r="D728" s="88"/>
    </row>
    <row r="729" spans="3:4" x14ac:dyDescent="0.25">
      <c r="C729" s="40"/>
      <c r="D729" s="88"/>
    </row>
    <row r="730" spans="3:4" x14ac:dyDescent="0.25">
      <c r="C730" s="40"/>
      <c r="D730" s="88"/>
    </row>
    <row r="731" spans="3:4" x14ac:dyDescent="0.25">
      <c r="C731" s="40"/>
      <c r="D731" s="88"/>
    </row>
    <row r="732" spans="3:4" x14ac:dyDescent="0.25">
      <c r="C732" s="40"/>
      <c r="D732" s="88"/>
    </row>
    <row r="733" spans="3:4" x14ac:dyDescent="0.25">
      <c r="C733" s="40"/>
      <c r="D733" s="88"/>
    </row>
    <row r="734" spans="3:4" x14ac:dyDescent="0.25">
      <c r="C734" s="40"/>
      <c r="D734" s="88"/>
    </row>
    <row r="735" spans="3:4" x14ac:dyDescent="0.25">
      <c r="C735" s="40"/>
      <c r="D735" s="88"/>
    </row>
    <row r="736" spans="3:4" x14ac:dyDescent="0.25">
      <c r="C736" s="40"/>
      <c r="D736" s="88"/>
    </row>
    <row r="737" spans="3:4" x14ac:dyDescent="0.25">
      <c r="C737" s="40"/>
      <c r="D737" s="88"/>
    </row>
    <row r="738" spans="3:4" x14ac:dyDescent="0.25">
      <c r="C738" s="40"/>
      <c r="D738" s="88"/>
    </row>
    <row r="739" spans="3:4" x14ac:dyDescent="0.25">
      <c r="C739" s="40"/>
      <c r="D739" s="88"/>
    </row>
    <row r="740" spans="3:4" x14ac:dyDescent="0.25">
      <c r="C740" s="40"/>
      <c r="D740" s="88"/>
    </row>
    <row r="741" spans="3:4" x14ac:dyDescent="0.25">
      <c r="C741" s="40"/>
      <c r="D741" s="88"/>
    </row>
    <row r="742" spans="3:4" x14ac:dyDescent="0.25">
      <c r="C742" s="40"/>
      <c r="D742" s="88"/>
    </row>
    <row r="743" spans="3:4" x14ac:dyDescent="0.25">
      <c r="C743" s="40"/>
      <c r="D743" s="88"/>
    </row>
    <row r="744" spans="3:4" x14ac:dyDescent="0.25">
      <c r="C744" s="40"/>
      <c r="D744" s="88"/>
    </row>
    <row r="745" spans="3:4" x14ac:dyDescent="0.25">
      <c r="C745" s="40"/>
      <c r="D745" s="88"/>
    </row>
    <row r="746" spans="3:4" x14ac:dyDescent="0.25">
      <c r="C746" s="40"/>
      <c r="D746" s="88"/>
    </row>
    <row r="747" spans="3:4" x14ac:dyDescent="0.25">
      <c r="C747" s="40"/>
      <c r="D747" s="88"/>
    </row>
    <row r="748" spans="3:4" x14ac:dyDescent="0.25">
      <c r="C748" s="40"/>
      <c r="D748" s="88"/>
    </row>
    <row r="749" spans="3:4" x14ac:dyDescent="0.25">
      <c r="C749" s="40"/>
      <c r="D749" s="88"/>
    </row>
    <row r="750" spans="3:4" x14ac:dyDescent="0.25">
      <c r="C750" s="40"/>
      <c r="D750" s="88"/>
    </row>
    <row r="751" spans="3:4" x14ac:dyDescent="0.25">
      <c r="C751" s="40"/>
      <c r="D751" s="88"/>
    </row>
    <row r="752" spans="3:4" x14ac:dyDescent="0.25">
      <c r="C752" s="40"/>
      <c r="D752" s="88"/>
    </row>
    <row r="753" spans="3:4" x14ac:dyDescent="0.25">
      <c r="C753" s="40"/>
      <c r="D753" s="88"/>
    </row>
    <row r="754" spans="3:4" x14ac:dyDescent="0.25">
      <c r="C754" s="40"/>
      <c r="D754" s="88"/>
    </row>
    <row r="755" spans="3:4" x14ac:dyDescent="0.25">
      <c r="C755" s="40"/>
      <c r="D755" s="88"/>
    </row>
    <row r="756" spans="3:4" x14ac:dyDescent="0.25">
      <c r="C756" s="40"/>
      <c r="D756" s="88"/>
    </row>
    <row r="757" spans="3:4" x14ac:dyDescent="0.25">
      <c r="C757" s="40"/>
      <c r="D757" s="88"/>
    </row>
    <row r="758" spans="3:4" x14ac:dyDescent="0.25">
      <c r="C758" s="40"/>
      <c r="D758" s="88"/>
    </row>
    <row r="759" spans="3:4" x14ac:dyDescent="0.25">
      <c r="C759" s="40"/>
      <c r="D759" s="88"/>
    </row>
    <row r="760" spans="3:4" x14ac:dyDescent="0.25">
      <c r="C760" s="40"/>
      <c r="D760" s="88"/>
    </row>
    <row r="761" spans="3:4" x14ac:dyDescent="0.25">
      <c r="C761" s="40"/>
      <c r="D761" s="88"/>
    </row>
    <row r="762" spans="3:4" x14ac:dyDescent="0.25">
      <c r="C762" s="40"/>
      <c r="D762" s="88"/>
    </row>
    <row r="763" spans="3:4" x14ac:dyDescent="0.25">
      <c r="C763" s="40"/>
      <c r="D763" s="88"/>
    </row>
    <row r="764" spans="3:4" x14ac:dyDescent="0.25">
      <c r="C764" s="40"/>
      <c r="D764" s="88"/>
    </row>
    <row r="765" spans="3:4" x14ac:dyDescent="0.25">
      <c r="C765" s="40"/>
      <c r="D765" s="88"/>
    </row>
    <row r="766" spans="3:4" x14ac:dyDescent="0.25">
      <c r="C766" s="40"/>
      <c r="D766" s="88"/>
    </row>
    <row r="767" spans="3:4" x14ac:dyDescent="0.25">
      <c r="C767" s="40"/>
      <c r="D767" s="88"/>
    </row>
    <row r="768" spans="3:4" x14ac:dyDescent="0.25">
      <c r="C768" s="40"/>
      <c r="D768" s="88"/>
    </row>
    <row r="769" spans="3:4" x14ac:dyDescent="0.25">
      <c r="C769" s="40"/>
      <c r="D769" s="88"/>
    </row>
    <row r="770" spans="3:4" x14ac:dyDescent="0.25">
      <c r="C770" s="40"/>
      <c r="D770" s="88"/>
    </row>
    <row r="771" spans="3:4" x14ac:dyDescent="0.25">
      <c r="C771" s="40"/>
      <c r="D771" s="88"/>
    </row>
    <row r="772" spans="3:4" x14ac:dyDescent="0.25">
      <c r="C772" s="40"/>
      <c r="D772" s="88"/>
    </row>
    <row r="773" spans="3:4" x14ac:dyDescent="0.25">
      <c r="C773" s="40"/>
      <c r="D773" s="88"/>
    </row>
    <row r="774" spans="3:4" x14ac:dyDescent="0.25">
      <c r="C774" s="40"/>
      <c r="D774" s="88"/>
    </row>
    <row r="775" spans="3:4" x14ac:dyDescent="0.25">
      <c r="C775" s="40"/>
      <c r="D775" s="88"/>
    </row>
    <row r="776" spans="3:4" x14ac:dyDescent="0.25">
      <c r="C776" s="40"/>
      <c r="D776" s="88"/>
    </row>
    <row r="777" spans="3:4" x14ac:dyDescent="0.25">
      <c r="C777" s="40"/>
      <c r="D777" s="88"/>
    </row>
    <row r="778" spans="3:4" x14ac:dyDescent="0.25">
      <c r="C778" s="40"/>
      <c r="D778" s="88"/>
    </row>
    <row r="779" spans="3:4" x14ac:dyDescent="0.25">
      <c r="C779" s="40"/>
      <c r="D779" s="88"/>
    </row>
    <row r="780" spans="3:4" x14ac:dyDescent="0.25">
      <c r="C780" s="40"/>
      <c r="D780" s="88"/>
    </row>
    <row r="781" spans="3:4" x14ac:dyDescent="0.25">
      <c r="C781" s="40"/>
      <c r="D781" s="88"/>
    </row>
    <row r="782" spans="3:4" x14ac:dyDescent="0.25">
      <c r="C782" s="40"/>
      <c r="D782" s="88"/>
    </row>
    <row r="783" spans="3:4" x14ac:dyDescent="0.25">
      <c r="C783" s="40"/>
      <c r="D783" s="88"/>
    </row>
    <row r="784" spans="3:4" x14ac:dyDescent="0.25">
      <c r="C784" s="40"/>
      <c r="D784" s="88"/>
    </row>
    <row r="785" spans="3:4" x14ac:dyDescent="0.25">
      <c r="C785" s="40"/>
      <c r="D785" s="88"/>
    </row>
    <row r="786" spans="3:4" x14ac:dyDescent="0.25">
      <c r="C786" s="40"/>
      <c r="D786" s="88"/>
    </row>
    <row r="787" spans="3:4" x14ac:dyDescent="0.25">
      <c r="C787" s="40"/>
      <c r="D787" s="88"/>
    </row>
    <row r="788" spans="3:4" x14ac:dyDescent="0.25">
      <c r="C788" s="40"/>
      <c r="D788" s="88"/>
    </row>
    <row r="789" spans="3:4" x14ac:dyDescent="0.25">
      <c r="C789" s="40"/>
      <c r="D789" s="88"/>
    </row>
    <row r="790" spans="3:4" x14ac:dyDescent="0.25">
      <c r="C790" s="40"/>
      <c r="D790" s="88"/>
    </row>
    <row r="791" spans="3:4" x14ac:dyDescent="0.25">
      <c r="C791" s="40"/>
      <c r="D791" s="88"/>
    </row>
    <row r="792" spans="3:4" x14ac:dyDescent="0.25">
      <c r="C792" s="40"/>
      <c r="D792" s="88"/>
    </row>
    <row r="793" spans="3:4" x14ac:dyDescent="0.25">
      <c r="C793" s="40"/>
      <c r="D793" s="88"/>
    </row>
    <row r="794" spans="3:4" x14ac:dyDescent="0.25">
      <c r="C794" s="40"/>
      <c r="D794" s="88"/>
    </row>
    <row r="795" spans="3:4" x14ac:dyDescent="0.25">
      <c r="C795" s="40"/>
      <c r="D795" s="88"/>
    </row>
    <row r="796" spans="3:4" x14ac:dyDescent="0.25">
      <c r="C796" s="40"/>
      <c r="D796" s="88"/>
    </row>
    <row r="797" spans="3:4" x14ac:dyDescent="0.25">
      <c r="C797" s="40"/>
      <c r="D797" s="88"/>
    </row>
    <row r="798" spans="3:4" x14ac:dyDescent="0.25">
      <c r="C798" s="40"/>
      <c r="D798" s="88"/>
    </row>
    <row r="799" spans="3:4" x14ac:dyDescent="0.25">
      <c r="C799" s="40"/>
      <c r="D799" s="88"/>
    </row>
    <row r="800" spans="3:4" x14ac:dyDescent="0.25">
      <c r="C800" s="40"/>
      <c r="D800" s="88"/>
    </row>
    <row r="801" spans="3:4" x14ac:dyDescent="0.25">
      <c r="C801" s="40"/>
      <c r="D801" s="88"/>
    </row>
    <row r="802" spans="3:4" x14ac:dyDescent="0.25">
      <c r="C802" s="40"/>
      <c r="D802" s="88"/>
    </row>
    <row r="803" spans="3:4" x14ac:dyDescent="0.25">
      <c r="C803" s="40"/>
      <c r="D803" s="88"/>
    </row>
    <row r="804" spans="3:4" x14ac:dyDescent="0.25">
      <c r="C804" s="40"/>
      <c r="D804" s="88"/>
    </row>
    <row r="805" spans="3:4" x14ac:dyDescent="0.25">
      <c r="C805" s="40"/>
      <c r="D805" s="88"/>
    </row>
    <row r="806" spans="3:4" x14ac:dyDescent="0.25">
      <c r="C806" s="40"/>
      <c r="D806" s="88"/>
    </row>
    <row r="807" spans="3:4" x14ac:dyDescent="0.25">
      <c r="C807" s="40"/>
      <c r="D807" s="88"/>
    </row>
    <row r="808" spans="3:4" x14ac:dyDescent="0.25">
      <c r="C808" s="40"/>
      <c r="D808" s="88"/>
    </row>
    <row r="809" spans="3:4" x14ac:dyDescent="0.25">
      <c r="C809" s="40"/>
      <c r="D809" s="88"/>
    </row>
    <row r="810" spans="3:4" x14ac:dyDescent="0.25">
      <c r="C810" s="40"/>
      <c r="D810" s="88"/>
    </row>
    <row r="811" spans="3:4" x14ac:dyDescent="0.25">
      <c r="C811" s="40"/>
      <c r="D811" s="88"/>
    </row>
    <row r="812" spans="3:4" x14ac:dyDescent="0.25">
      <c r="C812" s="40"/>
      <c r="D812" s="88"/>
    </row>
    <row r="813" spans="3:4" x14ac:dyDescent="0.25">
      <c r="C813" s="40"/>
      <c r="D813" s="88"/>
    </row>
    <row r="814" spans="3:4" x14ac:dyDescent="0.25">
      <c r="C814" s="40"/>
      <c r="D814" s="88"/>
    </row>
    <row r="815" spans="3:4" x14ac:dyDescent="0.25">
      <c r="C815" s="40"/>
      <c r="D815" s="88"/>
    </row>
    <row r="816" spans="3:4" x14ac:dyDescent="0.25">
      <c r="C816" s="40"/>
      <c r="D816" s="88"/>
    </row>
    <row r="817" spans="3:4" x14ac:dyDescent="0.25">
      <c r="C817" s="40"/>
      <c r="D817" s="88"/>
    </row>
    <row r="818" spans="3:4" x14ac:dyDescent="0.25">
      <c r="C818" s="40"/>
      <c r="D818" s="88"/>
    </row>
    <row r="819" spans="3:4" x14ac:dyDescent="0.25">
      <c r="C819" s="40"/>
      <c r="D819" s="88"/>
    </row>
    <row r="820" spans="3:4" x14ac:dyDescent="0.25">
      <c r="C820" s="40"/>
      <c r="D820" s="88"/>
    </row>
    <row r="821" spans="3:4" x14ac:dyDescent="0.25">
      <c r="C821" s="40"/>
      <c r="D821" s="88"/>
    </row>
    <row r="822" spans="3:4" x14ac:dyDescent="0.25">
      <c r="C822" s="40"/>
      <c r="D822" s="88"/>
    </row>
    <row r="823" spans="3:4" x14ac:dyDescent="0.25">
      <c r="C823" s="40"/>
      <c r="D823" s="88"/>
    </row>
    <row r="824" spans="3:4" x14ac:dyDescent="0.25">
      <c r="C824" s="40"/>
      <c r="D824" s="88"/>
    </row>
    <row r="825" spans="3:4" x14ac:dyDescent="0.25">
      <c r="C825" s="40"/>
      <c r="D825" s="88"/>
    </row>
    <row r="826" spans="3:4" x14ac:dyDescent="0.25">
      <c r="C826" s="40"/>
      <c r="D826" s="88"/>
    </row>
    <row r="827" spans="3:4" x14ac:dyDescent="0.25">
      <c r="C827" s="40"/>
      <c r="D827" s="88"/>
    </row>
    <row r="828" spans="3:4" x14ac:dyDescent="0.25">
      <c r="C828" s="40"/>
      <c r="D828" s="88"/>
    </row>
    <row r="829" spans="3:4" x14ac:dyDescent="0.25">
      <c r="C829" s="40"/>
      <c r="D829" s="88"/>
    </row>
    <row r="830" spans="3:4" x14ac:dyDescent="0.25">
      <c r="C830" s="40"/>
      <c r="D830" s="88"/>
    </row>
    <row r="831" spans="3:4" x14ac:dyDescent="0.25">
      <c r="C831" s="40"/>
      <c r="D831" s="88"/>
    </row>
    <row r="832" spans="3:4" x14ac:dyDescent="0.25">
      <c r="C832" s="40"/>
      <c r="D832" s="88"/>
    </row>
    <row r="833" spans="3:4" x14ac:dyDescent="0.25">
      <c r="C833" s="40"/>
      <c r="D833" s="88"/>
    </row>
    <row r="834" spans="3:4" x14ac:dyDescent="0.25">
      <c r="C834" s="40"/>
      <c r="D834" s="88"/>
    </row>
    <row r="835" spans="3:4" x14ac:dyDescent="0.25">
      <c r="C835" s="40"/>
      <c r="D835" s="88"/>
    </row>
    <row r="836" spans="3:4" x14ac:dyDescent="0.25">
      <c r="C836" s="40"/>
      <c r="D836" s="88"/>
    </row>
    <row r="837" spans="3:4" x14ac:dyDescent="0.25">
      <c r="C837" s="40"/>
      <c r="D837" s="88"/>
    </row>
    <row r="838" spans="3:4" x14ac:dyDescent="0.25">
      <c r="C838" s="40"/>
      <c r="D838" s="88"/>
    </row>
    <row r="839" spans="3:4" x14ac:dyDescent="0.25">
      <c r="C839" s="40"/>
      <c r="D839" s="88"/>
    </row>
    <row r="840" spans="3:4" x14ac:dyDescent="0.25">
      <c r="C840" s="40"/>
      <c r="D840" s="88"/>
    </row>
    <row r="841" spans="3:4" x14ac:dyDescent="0.25">
      <c r="C841" s="40"/>
      <c r="D841" s="88"/>
    </row>
    <row r="842" spans="3:4" x14ac:dyDescent="0.25">
      <c r="C842" s="40"/>
      <c r="D842" s="88"/>
    </row>
    <row r="843" spans="3:4" x14ac:dyDescent="0.25">
      <c r="C843" s="40"/>
      <c r="D843" s="88"/>
    </row>
    <row r="844" spans="3:4" x14ac:dyDescent="0.25">
      <c r="C844" s="40"/>
      <c r="D844" s="88"/>
    </row>
    <row r="845" spans="3:4" x14ac:dyDescent="0.25">
      <c r="C845" s="40"/>
      <c r="D845" s="88"/>
    </row>
    <row r="846" spans="3:4" x14ac:dyDescent="0.25">
      <c r="C846" s="40"/>
      <c r="D846" s="88"/>
    </row>
    <row r="847" spans="3:4" x14ac:dyDescent="0.25">
      <c r="C847" s="40"/>
      <c r="D847" s="88"/>
    </row>
    <row r="848" spans="3:4" x14ac:dyDescent="0.25">
      <c r="C848" s="40"/>
      <c r="D848" s="88"/>
    </row>
    <row r="849" spans="3:4" x14ac:dyDescent="0.25">
      <c r="C849" s="40"/>
      <c r="D849" s="88"/>
    </row>
    <row r="850" spans="3:4" x14ac:dyDescent="0.25">
      <c r="C850" s="40"/>
      <c r="D850" s="88"/>
    </row>
    <row r="851" spans="3:4" x14ac:dyDescent="0.25">
      <c r="C851" s="40"/>
      <c r="D851" s="88"/>
    </row>
    <row r="852" spans="3:4" x14ac:dyDescent="0.25">
      <c r="C852" s="40"/>
      <c r="D852" s="88"/>
    </row>
    <row r="853" spans="3:4" x14ac:dyDescent="0.25">
      <c r="C853" s="40"/>
      <c r="D853" s="88"/>
    </row>
    <row r="854" spans="3:4" x14ac:dyDescent="0.25">
      <c r="C854" s="40"/>
      <c r="D854" s="88"/>
    </row>
    <row r="855" spans="3:4" x14ac:dyDescent="0.25">
      <c r="C855" s="40"/>
      <c r="D855" s="88"/>
    </row>
    <row r="856" spans="3:4" x14ac:dyDescent="0.25">
      <c r="C856" s="40"/>
      <c r="D856" s="88"/>
    </row>
    <row r="857" spans="3:4" x14ac:dyDescent="0.25">
      <c r="C857" s="40"/>
      <c r="D857" s="88"/>
    </row>
    <row r="858" spans="3:4" x14ac:dyDescent="0.25">
      <c r="C858" s="40"/>
      <c r="D858" s="88"/>
    </row>
    <row r="859" spans="3:4" x14ac:dyDescent="0.25">
      <c r="C859" s="40"/>
      <c r="D859" s="88"/>
    </row>
    <row r="860" spans="3:4" x14ac:dyDescent="0.25">
      <c r="C860" s="40"/>
      <c r="D860" s="88"/>
    </row>
    <row r="861" spans="3:4" x14ac:dyDescent="0.25">
      <c r="C861" s="40"/>
      <c r="D861" s="88"/>
    </row>
    <row r="862" spans="3:4" x14ac:dyDescent="0.25">
      <c r="C862" s="40"/>
      <c r="D862" s="88"/>
    </row>
    <row r="863" spans="3:4" x14ac:dyDescent="0.25">
      <c r="C863" s="40"/>
      <c r="D863" s="88"/>
    </row>
    <row r="864" spans="3:4" x14ac:dyDescent="0.25">
      <c r="C864" s="40"/>
      <c r="D864" s="88"/>
    </row>
    <row r="865" spans="3:4" x14ac:dyDescent="0.25">
      <c r="C865" s="40"/>
      <c r="D865" s="88"/>
    </row>
    <row r="866" spans="3:4" x14ac:dyDescent="0.25">
      <c r="C866" s="40"/>
      <c r="D866" s="88"/>
    </row>
    <row r="867" spans="3:4" x14ac:dyDescent="0.25">
      <c r="C867" s="40"/>
      <c r="D867" s="88"/>
    </row>
    <row r="868" spans="3:4" x14ac:dyDescent="0.25">
      <c r="C868" s="40"/>
      <c r="D868" s="88"/>
    </row>
    <row r="869" spans="3:4" x14ac:dyDescent="0.25">
      <c r="C869" s="40"/>
      <c r="D869" s="88"/>
    </row>
    <row r="870" spans="3:4" x14ac:dyDescent="0.25">
      <c r="C870" s="40"/>
      <c r="D870" s="88"/>
    </row>
    <row r="871" spans="3:4" x14ac:dyDescent="0.25">
      <c r="C871" s="40"/>
      <c r="D871" s="88"/>
    </row>
    <row r="872" spans="3:4" x14ac:dyDescent="0.25">
      <c r="C872" s="40"/>
      <c r="D872" s="88"/>
    </row>
    <row r="873" spans="3:4" x14ac:dyDescent="0.25">
      <c r="C873" s="40"/>
      <c r="D873" s="88"/>
    </row>
    <row r="874" spans="3:4" x14ac:dyDescent="0.25">
      <c r="C874" s="40"/>
      <c r="D874" s="88"/>
    </row>
    <row r="875" spans="3:4" x14ac:dyDescent="0.25">
      <c r="C875" s="40"/>
      <c r="D875" s="88"/>
    </row>
    <row r="876" spans="3:4" x14ac:dyDescent="0.25">
      <c r="C876" s="40"/>
      <c r="D876" s="88"/>
    </row>
    <row r="877" spans="3:4" x14ac:dyDescent="0.25">
      <c r="C877" s="40"/>
      <c r="D877" s="88"/>
    </row>
    <row r="878" spans="3:4" x14ac:dyDescent="0.25">
      <c r="C878" s="40"/>
      <c r="D878" s="88"/>
    </row>
    <row r="879" spans="3:4" x14ac:dyDescent="0.25">
      <c r="C879" s="40"/>
      <c r="D879" s="88"/>
    </row>
    <row r="880" spans="3:4" x14ac:dyDescent="0.25">
      <c r="C880" s="40"/>
      <c r="D880" s="88"/>
    </row>
    <row r="881" spans="3:4" x14ac:dyDescent="0.25">
      <c r="C881" s="40"/>
      <c r="D881" s="88"/>
    </row>
    <row r="882" spans="3:4" x14ac:dyDescent="0.25">
      <c r="C882" s="40"/>
      <c r="D882" s="88"/>
    </row>
    <row r="883" spans="3:4" x14ac:dyDescent="0.25">
      <c r="C883" s="40"/>
      <c r="D883" s="88"/>
    </row>
    <row r="884" spans="3:4" x14ac:dyDescent="0.25">
      <c r="C884" s="40"/>
      <c r="D884" s="88"/>
    </row>
    <row r="885" spans="3:4" x14ac:dyDescent="0.25">
      <c r="C885" s="40"/>
      <c r="D885" s="88"/>
    </row>
    <row r="886" spans="3:4" x14ac:dyDescent="0.25">
      <c r="C886" s="40"/>
      <c r="D886" s="88"/>
    </row>
    <row r="887" spans="3:4" x14ac:dyDescent="0.25">
      <c r="C887" s="40"/>
      <c r="D887" s="88"/>
    </row>
    <row r="888" spans="3:4" x14ac:dyDescent="0.25">
      <c r="C888" s="40"/>
      <c r="D888" s="88"/>
    </row>
    <row r="889" spans="3:4" x14ac:dyDescent="0.25">
      <c r="C889" s="40"/>
      <c r="D889" s="88"/>
    </row>
    <row r="890" spans="3:4" x14ac:dyDescent="0.25">
      <c r="C890" s="40"/>
      <c r="D890" s="88"/>
    </row>
    <row r="891" spans="3:4" x14ac:dyDescent="0.25">
      <c r="C891" s="40"/>
      <c r="D891" s="88"/>
    </row>
    <row r="892" spans="3:4" x14ac:dyDescent="0.25">
      <c r="C892" s="40"/>
      <c r="D892" s="88"/>
    </row>
    <row r="893" spans="3:4" x14ac:dyDescent="0.25">
      <c r="C893" s="40"/>
      <c r="D893" s="88"/>
    </row>
    <row r="894" spans="3:4" x14ac:dyDescent="0.25">
      <c r="C894" s="40"/>
      <c r="D894" s="88"/>
    </row>
    <row r="895" spans="3:4" x14ac:dyDescent="0.25">
      <c r="C895" s="40"/>
      <c r="D895" s="88"/>
    </row>
    <row r="896" spans="3:4" x14ac:dyDescent="0.25">
      <c r="C896" s="40"/>
      <c r="D896" s="88"/>
    </row>
    <row r="897" spans="3:4" x14ac:dyDescent="0.25">
      <c r="C897" s="40"/>
      <c r="D897" s="88"/>
    </row>
    <row r="898" spans="3:4" x14ac:dyDescent="0.25">
      <c r="C898" s="40"/>
      <c r="D898" s="88"/>
    </row>
    <row r="899" spans="3:4" x14ac:dyDescent="0.25">
      <c r="C899" s="40"/>
      <c r="D899" s="88"/>
    </row>
    <row r="900" spans="3:4" x14ac:dyDescent="0.25">
      <c r="C900" s="40"/>
      <c r="D900" s="88"/>
    </row>
    <row r="901" spans="3:4" x14ac:dyDescent="0.25">
      <c r="C901" s="40"/>
      <c r="D901" s="88"/>
    </row>
    <row r="902" spans="3:4" x14ac:dyDescent="0.25">
      <c r="C902" s="40"/>
      <c r="D902" s="88"/>
    </row>
    <row r="903" spans="3:4" x14ac:dyDescent="0.25">
      <c r="C903" s="40"/>
      <c r="D903" s="88"/>
    </row>
    <row r="904" spans="3:4" x14ac:dyDescent="0.25">
      <c r="C904" s="40"/>
      <c r="D904" s="88"/>
    </row>
    <row r="905" spans="3:4" x14ac:dyDescent="0.25">
      <c r="C905" s="40"/>
      <c r="D905" s="88"/>
    </row>
    <row r="906" spans="3:4" x14ac:dyDescent="0.25">
      <c r="C906" s="40"/>
      <c r="D906" s="88"/>
    </row>
    <row r="907" spans="3:4" x14ac:dyDescent="0.25">
      <c r="C907" s="40"/>
      <c r="D907" s="88"/>
    </row>
    <row r="908" spans="3:4" x14ac:dyDescent="0.25">
      <c r="C908" s="40"/>
      <c r="D908" s="88"/>
    </row>
    <row r="909" spans="3:4" x14ac:dyDescent="0.25">
      <c r="C909" s="40"/>
      <c r="D909" s="88"/>
    </row>
    <row r="910" spans="3:4" x14ac:dyDescent="0.25">
      <c r="C910" s="40"/>
      <c r="D910" s="88"/>
    </row>
    <row r="911" spans="3:4" x14ac:dyDescent="0.25">
      <c r="C911" s="40"/>
      <c r="D911" s="88"/>
    </row>
    <row r="912" spans="3:4" x14ac:dyDescent="0.25">
      <c r="C912" s="40"/>
      <c r="D912" s="88"/>
    </row>
    <row r="913" spans="3:4" x14ac:dyDescent="0.25">
      <c r="C913" s="40"/>
      <c r="D913" s="88"/>
    </row>
    <row r="914" spans="3:4" x14ac:dyDescent="0.25">
      <c r="C914" s="40"/>
      <c r="D914" s="88"/>
    </row>
    <row r="915" spans="3:4" x14ac:dyDescent="0.25">
      <c r="C915" s="40"/>
      <c r="D915" s="88"/>
    </row>
  </sheetData>
  <conditionalFormatting sqref="AB14:AB3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4:AF3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4:AD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X52"/>
  <sheetViews>
    <sheetView showGridLines="0" topLeftCell="A10" zoomScale="85" zoomScaleNormal="85" workbookViewId="0">
      <selection activeCell="F52" sqref="F52"/>
    </sheetView>
  </sheetViews>
  <sheetFormatPr baseColWidth="10" defaultRowHeight="15" x14ac:dyDescent="0.25"/>
  <cols>
    <col min="5" max="5" width="11.42578125" customWidth="1"/>
    <col min="6" max="6" width="9.28515625" customWidth="1"/>
    <col min="7" max="7" width="8.85546875" customWidth="1"/>
    <col min="8" max="8" width="7.7109375" customWidth="1"/>
    <col min="9" max="9" width="9.7109375" customWidth="1"/>
    <col min="10" max="10" width="7.5703125" customWidth="1"/>
    <col min="12" max="12" width="2.140625" customWidth="1"/>
    <col min="20" max="20" width="10.42578125" customWidth="1"/>
    <col min="21" max="21" width="13.5703125" customWidth="1"/>
    <col min="22" max="22" width="8.140625" customWidth="1"/>
    <col min="23" max="23" width="7.140625" customWidth="1"/>
  </cols>
  <sheetData>
    <row r="2" spans="2:23" ht="15.75" thickBot="1" x14ac:dyDescent="0.3"/>
    <row r="3" spans="2:23" ht="21" thickBot="1" x14ac:dyDescent="0.3">
      <c r="B3" s="676" t="s">
        <v>526</v>
      </c>
      <c r="C3" s="677"/>
      <c r="D3" s="677"/>
      <c r="E3" s="677"/>
      <c r="F3" s="677"/>
      <c r="G3" s="677"/>
      <c r="H3" s="677"/>
      <c r="I3" s="677"/>
      <c r="J3" s="677"/>
      <c r="K3" s="678"/>
      <c r="L3" s="626"/>
      <c r="M3" s="679" t="s">
        <v>145</v>
      </c>
      <c r="N3" s="680"/>
      <c r="O3" s="680"/>
      <c r="P3" s="680"/>
      <c r="Q3" s="680"/>
      <c r="R3" s="680"/>
      <c r="S3" s="680"/>
      <c r="T3" s="680"/>
      <c r="U3" s="680"/>
      <c r="V3" s="680"/>
      <c r="W3" s="681"/>
    </row>
    <row r="4" spans="2:23" x14ac:dyDescent="0.25">
      <c r="B4" s="455"/>
      <c r="C4" s="170"/>
      <c r="D4" s="170"/>
      <c r="E4" s="170"/>
      <c r="F4" s="170"/>
      <c r="G4" s="170"/>
      <c r="H4" s="170"/>
      <c r="I4" s="170"/>
      <c r="J4" s="170"/>
      <c r="K4" s="627"/>
      <c r="L4" s="301"/>
      <c r="M4" s="455"/>
      <c r="N4" s="170"/>
      <c r="O4" s="170"/>
      <c r="P4" s="170"/>
      <c r="Q4" s="170"/>
      <c r="R4" s="170"/>
      <c r="S4" s="170"/>
      <c r="T4" s="170"/>
      <c r="U4" s="170"/>
      <c r="V4" s="170"/>
      <c r="W4" s="627"/>
    </row>
    <row r="5" spans="2:23" x14ac:dyDescent="0.25">
      <c r="B5" s="171"/>
      <c r="C5" s="301"/>
      <c r="D5" s="301"/>
      <c r="E5" s="301"/>
      <c r="F5" s="301"/>
      <c r="G5" s="301"/>
      <c r="H5" s="301"/>
      <c r="I5" s="301"/>
      <c r="J5" s="301"/>
      <c r="K5" s="124"/>
      <c r="L5" s="301"/>
      <c r="M5" s="171"/>
      <c r="N5" s="301"/>
      <c r="O5" s="301"/>
      <c r="P5" s="301"/>
      <c r="Q5" s="301"/>
      <c r="R5" s="301"/>
      <c r="S5" s="301"/>
      <c r="T5" s="301"/>
      <c r="U5" s="301"/>
      <c r="V5" s="301"/>
      <c r="W5" s="124"/>
    </row>
    <row r="6" spans="2:23" x14ac:dyDescent="0.25">
      <c r="B6" s="171"/>
      <c r="C6" s="301"/>
      <c r="D6" s="301"/>
      <c r="E6" s="301"/>
      <c r="F6" s="301"/>
      <c r="G6" s="301"/>
      <c r="H6" s="301"/>
      <c r="I6" s="301"/>
      <c r="J6" s="301"/>
      <c r="K6" s="124"/>
      <c r="L6" s="301"/>
      <c r="M6" s="171"/>
      <c r="N6" s="301"/>
      <c r="O6" s="301"/>
      <c r="P6" s="301"/>
      <c r="Q6" s="301"/>
      <c r="R6" s="301"/>
      <c r="S6" s="301"/>
      <c r="T6" s="301"/>
      <c r="U6" s="301"/>
      <c r="V6" s="301"/>
      <c r="W6" s="124"/>
    </row>
    <row r="7" spans="2:23" x14ac:dyDescent="0.25">
      <c r="B7" s="171"/>
      <c r="C7" s="64"/>
      <c r="D7" s="301"/>
      <c r="E7" s="301"/>
      <c r="F7" s="301"/>
      <c r="I7" s="301"/>
      <c r="J7" s="301"/>
      <c r="K7" s="124"/>
      <c r="L7" s="301"/>
      <c r="M7" s="171"/>
      <c r="N7" s="301"/>
      <c r="O7" s="301"/>
      <c r="P7" s="301"/>
      <c r="Q7" s="301"/>
      <c r="R7" s="301"/>
      <c r="S7" s="301"/>
      <c r="T7" s="301"/>
      <c r="U7" s="301"/>
      <c r="V7" s="301"/>
      <c r="W7" s="124"/>
    </row>
    <row r="8" spans="2:23" x14ac:dyDescent="0.25">
      <c r="B8" s="171"/>
      <c r="C8" s="301"/>
      <c r="D8" s="301"/>
      <c r="E8" s="301"/>
      <c r="F8" s="301"/>
      <c r="G8" s="301"/>
      <c r="H8" s="301"/>
      <c r="I8" s="301"/>
      <c r="J8" s="301"/>
      <c r="K8" s="124"/>
      <c r="L8" s="301"/>
      <c r="M8" s="171"/>
      <c r="N8" s="301"/>
      <c r="O8" s="301"/>
      <c r="P8" s="301"/>
      <c r="Q8" s="301"/>
      <c r="R8" s="301"/>
      <c r="S8" s="301"/>
      <c r="T8" s="301"/>
      <c r="U8" s="301"/>
      <c r="V8" s="301"/>
      <c r="W8" s="124"/>
    </row>
    <row r="9" spans="2:23" x14ac:dyDescent="0.25">
      <c r="B9" s="171"/>
      <c r="C9" s="301"/>
      <c r="D9" s="301"/>
      <c r="E9" s="301"/>
      <c r="F9" s="301"/>
      <c r="G9" s="301"/>
      <c r="H9" s="301"/>
      <c r="I9" s="301"/>
      <c r="J9" s="301"/>
      <c r="K9" s="124"/>
      <c r="L9" s="301"/>
      <c r="M9" s="171"/>
      <c r="N9" s="301"/>
      <c r="O9" s="301"/>
      <c r="P9" s="301"/>
      <c r="Q9" s="301"/>
      <c r="R9" s="301"/>
      <c r="S9" s="301"/>
      <c r="T9" s="301"/>
      <c r="U9" s="301"/>
      <c r="V9" s="301"/>
      <c r="W9" s="124"/>
    </row>
    <row r="10" spans="2:23" x14ac:dyDescent="0.25">
      <c r="B10" s="171"/>
      <c r="C10" s="301"/>
      <c r="D10" s="301"/>
      <c r="E10" s="301"/>
      <c r="F10" s="301"/>
      <c r="G10" s="301"/>
      <c r="H10" s="301"/>
      <c r="I10" s="64"/>
      <c r="J10" s="301"/>
      <c r="K10" s="124"/>
      <c r="L10" s="301"/>
      <c r="M10" s="171"/>
      <c r="N10" s="301"/>
      <c r="O10" s="301"/>
      <c r="P10" s="301"/>
      <c r="Q10" s="301"/>
      <c r="R10" s="301"/>
      <c r="S10" s="301"/>
      <c r="T10" s="301"/>
      <c r="U10" s="301"/>
      <c r="V10" s="301"/>
      <c r="W10" s="124"/>
    </row>
    <row r="11" spans="2:23" x14ac:dyDescent="0.25">
      <c r="B11" s="171"/>
      <c r="C11" s="301"/>
      <c r="D11" s="301"/>
      <c r="G11" s="301"/>
      <c r="H11" s="301"/>
      <c r="I11" s="301"/>
      <c r="J11" s="301"/>
      <c r="K11" s="124"/>
      <c r="L11" s="301"/>
      <c r="M11" s="171"/>
      <c r="N11" s="301"/>
      <c r="O11" s="301"/>
      <c r="P11" s="301"/>
      <c r="Q11" s="301"/>
      <c r="R11" s="301"/>
      <c r="S11" s="301"/>
      <c r="T11" s="301"/>
      <c r="W11" s="124"/>
    </row>
    <row r="12" spans="2:23" x14ac:dyDescent="0.25">
      <c r="B12" s="171"/>
      <c r="C12" s="301"/>
      <c r="D12" s="301"/>
      <c r="E12" s="301"/>
      <c r="F12" s="301"/>
      <c r="G12" s="301"/>
      <c r="H12" s="301"/>
      <c r="I12" s="301"/>
      <c r="J12" s="301"/>
      <c r="K12" s="124"/>
      <c r="L12" s="301"/>
      <c r="M12" s="171"/>
      <c r="N12" s="301"/>
      <c r="O12" s="301"/>
      <c r="P12" s="301"/>
      <c r="Q12" s="301"/>
      <c r="R12" s="301"/>
      <c r="S12" s="301"/>
      <c r="T12" s="301"/>
      <c r="U12" s="301"/>
      <c r="V12" s="301"/>
      <c r="W12" s="124"/>
    </row>
    <row r="13" spans="2:23" x14ac:dyDescent="0.25">
      <c r="B13" s="171"/>
      <c r="C13" s="301"/>
      <c r="D13" s="301"/>
      <c r="E13" s="64"/>
      <c r="F13" s="301"/>
      <c r="G13" s="301"/>
      <c r="H13" s="301"/>
      <c r="I13" s="301"/>
      <c r="J13" s="301"/>
      <c r="K13" s="124"/>
      <c r="L13" s="301"/>
      <c r="M13" s="171"/>
      <c r="N13" s="301"/>
      <c r="O13" s="301"/>
      <c r="P13" s="301"/>
      <c r="Q13" s="301"/>
      <c r="R13" s="301"/>
      <c r="S13" s="301"/>
      <c r="T13" s="301"/>
      <c r="W13" s="124"/>
    </row>
    <row r="14" spans="2:23" x14ac:dyDescent="0.25">
      <c r="B14" s="171"/>
      <c r="C14" s="301"/>
      <c r="D14" s="301"/>
      <c r="E14" s="301"/>
      <c r="F14" s="301"/>
      <c r="G14" s="301"/>
      <c r="H14" s="301"/>
      <c r="I14" s="301"/>
      <c r="J14" s="301"/>
      <c r="K14" s="124"/>
      <c r="L14" s="301"/>
      <c r="M14" s="171"/>
      <c r="N14" s="301"/>
      <c r="O14" s="301"/>
      <c r="P14" s="301"/>
      <c r="Q14" s="301"/>
      <c r="R14" s="301"/>
      <c r="S14" s="301"/>
      <c r="T14" s="301"/>
      <c r="U14" s="301"/>
      <c r="V14" s="301"/>
      <c r="W14" s="124"/>
    </row>
    <row r="15" spans="2:23" x14ac:dyDescent="0.25">
      <c r="B15" s="171"/>
      <c r="C15" s="301"/>
      <c r="D15" s="301"/>
      <c r="E15" s="301"/>
      <c r="F15" s="301"/>
      <c r="G15" s="301"/>
      <c r="H15" s="301"/>
      <c r="I15" s="301"/>
      <c r="J15" s="301"/>
      <c r="K15" s="124"/>
      <c r="L15" s="301"/>
      <c r="M15" s="171"/>
      <c r="N15" s="301"/>
      <c r="O15" s="301"/>
      <c r="P15" s="301"/>
      <c r="Q15" s="301"/>
      <c r="R15" s="301"/>
      <c r="S15" s="301"/>
      <c r="T15" s="301"/>
      <c r="U15" s="301"/>
      <c r="V15" s="301"/>
      <c r="W15" s="124"/>
    </row>
    <row r="16" spans="2:23" x14ac:dyDescent="0.25">
      <c r="B16" s="171"/>
      <c r="C16" s="301"/>
      <c r="D16" s="301"/>
      <c r="E16" s="301"/>
      <c r="F16" s="301"/>
      <c r="G16" s="301"/>
      <c r="H16" s="301"/>
      <c r="I16" s="301"/>
      <c r="J16" s="301"/>
      <c r="K16" s="124"/>
      <c r="L16" s="301"/>
      <c r="M16" s="171"/>
      <c r="N16" s="301"/>
      <c r="O16" s="301"/>
      <c r="P16" s="301"/>
      <c r="Q16" s="301"/>
      <c r="R16" s="301"/>
      <c r="S16" s="301"/>
      <c r="T16" s="301"/>
      <c r="U16" s="301"/>
      <c r="V16" s="301"/>
      <c r="W16" s="124"/>
    </row>
    <row r="17" spans="2:23" x14ac:dyDescent="0.25">
      <c r="B17" s="171"/>
      <c r="C17" s="301"/>
      <c r="D17" s="301"/>
      <c r="E17" s="301"/>
      <c r="F17" s="301"/>
      <c r="G17" s="301"/>
      <c r="H17" s="301"/>
      <c r="I17" s="301"/>
      <c r="J17" s="301"/>
      <c r="K17" s="124"/>
      <c r="L17" s="301"/>
      <c r="M17" s="171"/>
      <c r="N17" s="301"/>
      <c r="O17" s="301"/>
      <c r="P17" s="301"/>
      <c r="Q17" s="301"/>
      <c r="R17" s="301"/>
      <c r="S17" s="301"/>
      <c r="T17" s="301"/>
      <c r="U17" s="301"/>
      <c r="V17" s="301"/>
      <c r="W17" s="124"/>
    </row>
    <row r="18" spans="2:23" x14ac:dyDescent="0.25">
      <c r="B18" s="171"/>
      <c r="C18" s="301"/>
      <c r="D18" s="301"/>
      <c r="E18" s="301"/>
      <c r="F18" s="301"/>
      <c r="G18" s="301"/>
      <c r="H18" s="301"/>
      <c r="I18" s="301"/>
      <c r="J18" s="301"/>
      <c r="K18" s="124"/>
      <c r="L18" s="301"/>
      <c r="M18" s="171"/>
      <c r="N18" s="301"/>
      <c r="O18" s="301"/>
      <c r="P18" s="301"/>
      <c r="Q18" s="301"/>
      <c r="R18" s="301"/>
      <c r="S18" s="301"/>
      <c r="T18" s="301"/>
      <c r="U18" s="301"/>
      <c r="V18" s="301"/>
      <c r="W18" s="124"/>
    </row>
    <row r="19" spans="2:23" x14ac:dyDescent="0.25">
      <c r="B19" s="171"/>
      <c r="C19" s="301"/>
      <c r="D19" s="301"/>
      <c r="E19" s="301"/>
      <c r="F19" s="301"/>
      <c r="G19" s="301"/>
      <c r="H19" s="301"/>
      <c r="I19" s="301"/>
      <c r="J19" s="301"/>
      <c r="K19" s="124"/>
      <c r="L19" s="301"/>
      <c r="M19" s="171"/>
      <c r="N19" s="301"/>
      <c r="O19" s="301"/>
      <c r="P19" s="301"/>
      <c r="Q19" s="301"/>
      <c r="R19" s="301"/>
      <c r="S19" s="301"/>
      <c r="T19" s="301"/>
      <c r="U19" s="301"/>
      <c r="V19" s="301"/>
      <c r="W19" s="124"/>
    </row>
    <row r="20" spans="2:23" x14ac:dyDescent="0.25">
      <c r="B20" s="171"/>
      <c r="C20" s="301"/>
      <c r="D20" s="301"/>
      <c r="E20" s="301"/>
      <c r="F20" s="301"/>
      <c r="G20" s="301"/>
      <c r="H20" s="301"/>
      <c r="I20" s="301"/>
      <c r="J20" s="301"/>
      <c r="K20" s="124"/>
      <c r="L20" s="301"/>
      <c r="M20" s="171"/>
      <c r="N20" s="301"/>
      <c r="O20" s="301"/>
      <c r="P20" s="301"/>
      <c r="Q20" s="301"/>
      <c r="R20" s="301"/>
      <c r="S20" s="301"/>
      <c r="T20" s="301"/>
      <c r="U20" s="301"/>
      <c r="V20" s="301"/>
      <c r="W20" s="124"/>
    </row>
    <row r="21" spans="2:23" x14ac:dyDescent="0.25">
      <c r="B21" s="171"/>
      <c r="C21" s="301"/>
      <c r="D21" s="301"/>
      <c r="E21" s="301"/>
      <c r="F21" s="301"/>
      <c r="G21" s="301"/>
      <c r="H21" s="301"/>
      <c r="I21" s="301"/>
      <c r="J21" s="301"/>
      <c r="K21" s="124"/>
      <c r="L21" s="301"/>
      <c r="M21" s="171"/>
      <c r="N21" s="301"/>
      <c r="O21" s="301"/>
      <c r="P21" s="301"/>
      <c r="Q21" s="301"/>
      <c r="R21" s="301"/>
      <c r="S21" s="301"/>
      <c r="T21" s="301"/>
      <c r="U21" s="301"/>
      <c r="V21" s="301"/>
      <c r="W21" s="124"/>
    </row>
    <row r="22" spans="2:23" x14ac:dyDescent="0.25">
      <c r="B22" s="171"/>
      <c r="C22" s="301"/>
      <c r="D22" s="301"/>
      <c r="E22" s="301"/>
      <c r="F22" s="301"/>
      <c r="G22" s="301"/>
      <c r="H22" s="301"/>
      <c r="I22" s="301"/>
      <c r="J22" s="301"/>
      <c r="K22" s="124"/>
      <c r="L22" s="301"/>
      <c r="M22" s="171"/>
      <c r="N22" s="301"/>
      <c r="O22" s="301"/>
      <c r="P22" s="301"/>
      <c r="Q22" s="301"/>
      <c r="R22" s="301"/>
      <c r="S22" s="301"/>
      <c r="T22" s="301"/>
      <c r="U22" s="301"/>
      <c r="V22" s="301"/>
      <c r="W22" s="124"/>
    </row>
    <row r="23" spans="2:23" x14ac:dyDescent="0.25">
      <c r="B23" s="171"/>
      <c r="C23" s="301"/>
      <c r="D23" s="301"/>
      <c r="E23" s="301"/>
      <c r="F23" s="301"/>
      <c r="G23" s="301"/>
      <c r="H23" s="301"/>
      <c r="I23" s="301"/>
      <c r="J23" s="301"/>
      <c r="K23" s="124"/>
      <c r="L23" s="301"/>
      <c r="M23" s="171"/>
      <c r="N23" s="301"/>
      <c r="O23" s="301"/>
      <c r="P23" s="301"/>
      <c r="Q23" s="301"/>
      <c r="R23" s="301"/>
      <c r="S23" s="301"/>
      <c r="T23" s="301"/>
      <c r="U23" s="301"/>
      <c r="V23" s="301"/>
      <c r="W23" s="124"/>
    </row>
    <row r="24" spans="2:23" x14ac:dyDescent="0.25">
      <c r="B24" s="171"/>
      <c r="C24" s="301"/>
      <c r="D24" s="301"/>
      <c r="E24" s="301"/>
      <c r="F24" s="301"/>
      <c r="G24" s="301"/>
      <c r="H24" s="301"/>
      <c r="I24" s="301"/>
      <c r="J24" s="301"/>
      <c r="K24" s="124"/>
      <c r="L24" s="301"/>
      <c r="M24" s="171"/>
      <c r="N24" s="301"/>
      <c r="O24" s="301"/>
      <c r="P24" s="301"/>
      <c r="Q24" s="301"/>
      <c r="R24" s="301"/>
      <c r="S24" s="301"/>
      <c r="T24" s="301"/>
      <c r="U24" s="301"/>
      <c r="V24" s="301"/>
      <c r="W24" s="124"/>
    </row>
    <row r="25" spans="2:23" x14ac:dyDescent="0.25">
      <c r="B25" s="171"/>
      <c r="C25" s="301"/>
      <c r="D25" s="301"/>
      <c r="E25" s="301"/>
      <c r="F25" s="301"/>
      <c r="G25" s="301"/>
      <c r="H25" s="301"/>
      <c r="I25" s="301"/>
      <c r="J25" s="301"/>
      <c r="K25" s="124"/>
      <c r="L25" s="301"/>
      <c r="M25" s="171"/>
      <c r="P25" s="301"/>
      <c r="Q25" s="301"/>
      <c r="R25" s="301"/>
      <c r="S25" s="301"/>
      <c r="T25" s="301"/>
      <c r="U25" s="301"/>
      <c r="V25" s="301"/>
      <c r="W25" s="124"/>
    </row>
    <row r="26" spans="2:23" x14ac:dyDescent="0.25">
      <c r="B26" s="171"/>
      <c r="C26" s="301"/>
      <c r="D26" s="301"/>
      <c r="E26" s="301"/>
      <c r="F26" s="301"/>
      <c r="G26" s="301"/>
      <c r="H26" s="301"/>
      <c r="I26" s="301"/>
      <c r="J26" s="301"/>
      <c r="K26" s="124"/>
      <c r="L26" s="301"/>
      <c r="M26" s="171"/>
      <c r="N26" s="301"/>
      <c r="O26" s="301"/>
      <c r="P26" s="301"/>
      <c r="Q26" s="301"/>
      <c r="R26" s="301"/>
      <c r="S26" s="301"/>
      <c r="T26" s="301"/>
      <c r="U26" s="301"/>
      <c r="V26" s="301"/>
      <c r="W26" s="124"/>
    </row>
    <row r="27" spans="2:23" x14ac:dyDescent="0.25">
      <c r="B27" s="171"/>
      <c r="C27" s="301"/>
      <c r="D27" s="301"/>
      <c r="E27" s="301"/>
      <c r="F27" s="301"/>
      <c r="G27" s="301"/>
      <c r="H27" s="301"/>
      <c r="I27" s="301"/>
      <c r="J27" s="301"/>
      <c r="K27" s="124"/>
      <c r="L27" s="301"/>
      <c r="M27" s="638"/>
      <c r="N27" s="301"/>
      <c r="P27" s="301"/>
      <c r="Q27" s="301"/>
      <c r="R27" s="301"/>
      <c r="S27" s="301"/>
      <c r="T27" s="301"/>
      <c r="U27" s="301"/>
      <c r="V27" s="301"/>
      <c r="W27" s="124"/>
    </row>
    <row r="28" spans="2:23" x14ac:dyDescent="0.25">
      <c r="B28" s="171"/>
      <c r="C28" s="301"/>
      <c r="D28" s="301"/>
      <c r="E28" s="301"/>
      <c r="F28" s="301"/>
      <c r="G28" s="301"/>
      <c r="H28" s="301"/>
      <c r="I28" s="301"/>
      <c r="J28" s="301"/>
      <c r="K28" s="124"/>
      <c r="L28" s="301"/>
      <c r="M28" s="171"/>
      <c r="N28" s="301"/>
      <c r="O28" s="301"/>
      <c r="P28" s="301"/>
      <c r="Q28" s="301"/>
      <c r="R28" s="301"/>
      <c r="S28" s="301"/>
      <c r="T28" s="301"/>
      <c r="U28" s="301"/>
      <c r="V28" s="301"/>
      <c r="W28" s="124"/>
    </row>
    <row r="29" spans="2:23" x14ac:dyDescent="0.25">
      <c r="B29" s="171"/>
      <c r="C29" s="301"/>
      <c r="D29" s="301"/>
      <c r="E29" s="301"/>
      <c r="F29" s="301"/>
      <c r="G29" s="301"/>
      <c r="H29" s="301"/>
      <c r="I29" s="301"/>
      <c r="J29" s="301"/>
      <c r="K29" s="124"/>
      <c r="L29" s="301"/>
      <c r="M29" s="171"/>
      <c r="N29" s="301"/>
      <c r="O29" s="301"/>
      <c r="P29" s="301"/>
      <c r="Q29" s="301"/>
      <c r="R29" s="301" t="s">
        <v>528</v>
      </c>
      <c r="S29" s="301"/>
      <c r="T29" s="301"/>
      <c r="U29" s="629" t="s">
        <v>527</v>
      </c>
      <c r="V29" s="301"/>
      <c r="W29" s="124"/>
    </row>
    <row r="30" spans="2:23" x14ac:dyDescent="0.25">
      <c r="B30" s="171"/>
      <c r="C30" s="301"/>
      <c r="E30" s="301"/>
      <c r="F30" s="301"/>
      <c r="G30" s="301"/>
      <c r="H30" s="301"/>
      <c r="I30" s="301"/>
      <c r="J30" s="301"/>
      <c r="K30" s="124"/>
      <c r="L30" s="301"/>
      <c r="M30" s="171"/>
      <c r="N30" s="301"/>
      <c r="P30" s="301"/>
      <c r="Q30" s="301"/>
      <c r="R30" s="301"/>
      <c r="S30" s="301"/>
      <c r="T30" s="301"/>
      <c r="U30" s="301"/>
      <c r="V30" s="301"/>
      <c r="W30" s="124"/>
    </row>
    <row r="31" spans="2:23" ht="15.75" thickBot="1" x14ac:dyDescent="0.3">
      <c r="B31" s="157"/>
      <c r="C31" s="314"/>
      <c r="D31" s="314"/>
      <c r="E31" s="314"/>
      <c r="F31" s="314"/>
      <c r="G31" s="314"/>
      <c r="H31" s="314"/>
      <c r="I31" s="314"/>
      <c r="J31" s="314"/>
      <c r="K31" s="158"/>
      <c r="L31" s="314"/>
      <c r="M31" s="157"/>
      <c r="N31" s="314"/>
      <c r="O31" s="314"/>
      <c r="P31" s="314"/>
      <c r="Q31" s="314"/>
      <c r="R31" s="314"/>
      <c r="S31" s="314"/>
      <c r="T31" s="314"/>
      <c r="U31" s="314"/>
      <c r="V31" s="314"/>
      <c r="W31" s="158"/>
    </row>
    <row r="38" spans="11:24" x14ac:dyDescent="0.25">
      <c r="S38" s="5"/>
    </row>
    <row r="39" spans="11:24" x14ac:dyDescent="0.25">
      <c r="S39" s="7"/>
      <c r="X39" s="7"/>
    </row>
    <row r="42" spans="11:24" x14ac:dyDescent="0.25">
      <c r="S42" s="7"/>
    </row>
    <row r="44" spans="11:24" x14ac:dyDescent="0.25">
      <c r="S44" s="7"/>
    </row>
    <row r="45" spans="11:24" x14ac:dyDescent="0.25">
      <c r="X45" s="7"/>
    </row>
    <row r="46" spans="11:24" x14ac:dyDescent="0.25">
      <c r="S46" s="7"/>
    </row>
    <row r="47" spans="11:24" x14ac:dyDescent="0.25">
      <c r="K47" s="628"/>
    </row>
    <row r="51" spans="2:23" x14ac:dyDescent="0.25">
      <c r="B51" s="454">
        <f ca="1">+#REF!</f>
        <v>11679.898126164499</v>
      </c>
      <c r="C51" s="301" t="s">
        <v>78</v>
      </c>
      <c r="D51" s="7" t="e">
        <f ca="1">+#REF!</f>
        <v>#REF!</v>
      </c>
      <c r="E51" s="301" t="s">
        <v>410</v>
      </c>
      <c r="F51" s="630">
        <f ca="1">+#REF!</f>
        <v>16667.062887579286</v>
      </c>
      <c r="G51" s="301" t="s">
        <v>513</v>
      </c>
      <c r="H51" s="630">
        <f ca="1">+#REF!</f>
        <v>4500.0000000000027</v>
      </c>
      <c r="I51" s="301" t="s">
        <v>79</v>
      </c>
      <c r="K51" s="124"/>
      <c r="L51" s="301"/>
      <c r="M51" s="454"/>
      <c r="N51" s="301" t="s">
        <v>78</v>
      </c>
      <c r="O51" s="7" t="e">
        <f ca="1">+#REF!</f>
        <v>#REF!</v>
      </c>
      <c r="P51" s="301"/>
      <c r="Q51" s="631"/>
      <c r="R51" s="301" t="s">
        <v>80</v>
      </c>
      <c r="S51" s="301"/>
      <c r="T51" s="631"/>
      <c r="U51" s="301" t="s">
        <v>79</v>
      </c>
      <c r="V51" s="301"/>
      <c r="W51" s="124"/>
    </row>
    <row r="52" spans="2:23" ht="15.75" thickBot="1" x14ac:dyDescent="0.3">
      <c r="B52" s="635">
        <f ca="1">+B51*#REF!*1000</f>
        <v>2646394.0902871662</v>
      </c>
      <c r="C52" s="314" t="s">
        <v>416</v>
      </c>
      <c r="D52" s="636" t="e">
        <f ca="1">+#REF!</f>
        <v>#REF!</v>
      </c>
      <c r="E52" s="637" t="s">
        <v>416</v>
      </c>
      <c r="F52" s="633">
        <f ca="1">+F51*1000*#REF!</f>
        <v>0</v>
      </c>
      <c r="G52" s="314" t="s">
        <v>416</v>
      </c>
      <c r="H52" s="633">
        <f ca="1">+#REF!*1000*#REF!</f>
        <v>317520.36259062053</v>
      </c>
      <c r="I52" s="314" t="s">
        <v>416</v>
      </c>
      <c r="J52" s="633">
        <f ca="1">+#REF!</f>
        <v>400000</v>
      </c>
      <c r="K52" s="158" t="s">
        <v>416</v>
      </c>
      <c r="L52" s="301"/>
      <c r="M52" s="635">
        <f ca="1">+#REF!</f>
        <v>1587836.4541722997</v>
      </c>
      <c r="N52" s="314" t="s">
        <v>416</v>
      </c>
      <c r="O52" s="633" t="e">
        <f ca="1">+#REF!</f>
        <v>#REF!</v>
      </c>
      <c r="P52" s="314" t="s">
        <v>416</v>
      </c>
      <c r="Q52" s="633">
        <f ca="1">+#REF!</f>
        <v>671354.6642531075</v>
      </c>
      <c r="R52" s="314" t="s">
        <v>416</v>
      </c>
      <c r="S52" s="314"/>
      <c r="T52" s="633">
        <f ca="1">+#REF!</f>
        <v>204800.63387095023</v>
      </c>
      <c r="U52" s="314" t="s">
        <v>416</v>
      </c>
      <c r="V52" s="634">
        <f ca="1">+#REF!</f>
        <v>1104897.9371228749</v>
      </c>
      <c r="W52" s="632" t="s">
        <v>416</v>
      </c>
    </row>
  </sheetData>
  <mergeCells count="2">
    <mergeCell ref="B3:K3"/>
    <mergeCell ref="M3:W3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X76"/>
  <sheetViews>
    <sheetView zoomScaleNormal="100" workbookViewId="0">
      <selection activeCell="AN8" sqref="AN8:AN10"/>
    </sheetView>
  </sheetViews>
  <sheetFormatPr baseColWidth="10" defaultRowHeight="12.75" x14ac:dyDescent="0.25"/>
  <cols>
    <col min="1" max="1" width="4.85546875" style="9" customWidth="1"/>
    <col min="2" max="2" width="13.28515625" style="9" bestFit="1" customWidth="1"/>
    <col min="3" max="3" width="8.85546875" style="9" customWidth="1"/>
    <col min="4" max="4" width="9.85546875" style="9" customWidth="1"/>
    <col min="5" max="5" width="10.28515625" style="9" customWidth="1"/>
    <col min="6" max="6" width="8.85546875" style="9" customWidth="1"/>
    <col min="7" max="7" width="7.28515625" style="9" customWidth="1"/>
    <col min="8" max="8" width="4.7109375" style="9" customWidth="1"/>
    <col min="9" max="9" width="13.85546875" style="9" customWidth="1"/>
    <col min="10" max="10" width="9.140625" style="9" customWidth="1"/>
    <col min="11" max="11" width="7.28515625" style="9" customWidth="1"/>
    <col min="12" max="12" width="9.85546875" style="9" customWidth="1"/>
    <col min="13" max="13" width="7.28515625" style="9" customWidth="1"/>
    <col min="14" max="14" width="11.42578125" style="9" customWidth="1"/>
    <col min="15" max="15" width="8.42578125" style="9" customWidth="1"/>
    <col min="16" max="16" width="12" style="9" customWidth="1"/>
    <col min="17" max="20" width="7.28515625" style="9" customWidth="1"/>
    <col min="21" max="21" width="11.42578125" style="9" customWidth="1"/>
    <col min="22" max="22" width="7.28515625" style="9" customWidth="1"/>
    <col min="23" max="23" width="9.5703125" style="9" customWidth="1"/>
    <col min="24" max="24" width="11.5703125" style="9" customWidth="1"/>
    <col min="25" max="25" width="8.140625" style="9" customWidth="1"/>
    <col min="26" max="26" width="10.85546875" style="9" customWidth="1"/>
    <col min="27" max="27" width="13" style="9" customWidth="1"/>
    <col min="28" max="28" width="10.85546875" style="9" customWidth="1"/>
    <col min="29" max="29" width="11.42578125" style="9" customWidth="1"/>
    <col min="30" max="30" width="12.85546875" style="9" customWidth="1"/>
    <col min="31" max="31" width="8.5703125" style="9" customWidth="1"/>
    <col min="32" max="32" width="9.7109375" style="9" customWidth="1"/>
    <col min="33" max="40" width="11.42578125" style="9"/>
    <col min="41" max="41" width="7.7109375" style="9" bestFit="1" customWidth="1"/>
    <col min="42" max="42" width="12.140625" style="9" bestFit="1" customWidth="1"/>
    <col min="43" max="47" width="11.42578125" style="9"/>
    <col min="48" max="48" width="29.140625" style="9" bestFit="1" customWidth="1"/>
    <col min="49" max="256" width="11.42578125" style="9"/>
    <col min="257" max="257" width="4.42578125" style="9" customWidth="1"/>
    <col min="258" max="258" width="10" style="9" bestFit="1" customWidth="1"/>
    <col min="259" max="259" width="8.7109375" style="9" bestFit="1" customWidth="1"/>
    <col min="260" max="260" width="10" style="9" bestFit="1" customWidth="1"/>
    <col min="261" max="261" width="8.140625" style="9" bestFit="1" customWidth="1"/>
    <col min="262" max="262" width="6.5703125" style="9" bestFit="1" customWidth="1"/>
    <col min="263" max="263" width="3.28515625" style="9" customWidth="1"/>
    <col min="264" max="264" width="5.85546875" style="9" bestFit="1" customWidth="1"/>
    <col min="265" max="265" width="10" style="9" bestFit="1" customWidth="1"/>
    <col min="266" max="266" width="11.42578125" style="9" customWidth="1"/>
    <col min="267" max="267" width="8.5703125" style="9" customWidth="1"/>
    <col min="268" max="268" width="8.85546875" style="9" customWidth="1"/>
    <col min="269" max="269" width="8.7109375" style="9" customWidth="1"/>
    <col min="270" max="271" width="11.42578125" style="9"/>
    <col min="272" max="272" width="4.5703125" style="9" customWidth="1"/>
    <col min="273" max="512" width="11.42578125" style="9"/>
    <col min="513" max="513" width="4.42578125" style="9" customWidth="1"/>
    <col min="514" max="514" width="10" style="9" bestFit="1" customWidth="1"/>
    <col min="515" max="515" width="8.7109375" style="9" bestFit="1" customWidth="1"/>
    <col min="516" max="516" width="10" style="9" bestFit="1" customWidth="1"/>
    <col min="517" max="517" width="8.140625" style="9" bestFit="1" customWidth="1"/>
    <col min="518" max="518" width="6.5703125" style="9" bestFit="1" customWidth="1"/>
    <col min="519" max="519" width="3.28515625" style="9" customWidth="1"/>
    <col min="520" max="520" width="5.85546875" style="9" bestFit="1" customWidth="1"/>
    <col min="521" max="521" width="10" style="9" bestFit="1" customWidth="1"/>
    <col min="522" max="522" width="11.42578125" style="9" customWidth="1"/>
    <col min="523" max="523" width="8.5703125" style="9" customWidth="1"/>
    <col min="524" max="524" width="8.85546875" style="9" customWidth="1"/>
    <col min="525" max="525" width="8.7109375" style="9" customWidth="1"/>
    <col min="526" max="527" width="11.42578125" style="9"/>
    <col min="528" max="528" width="4.5703125" style="9" customWidth="1"/>
    <col min="529" max="768" width="11.42578125" style="9"/>
    <col min="769" max="769" width="4.42578125" style="9" customWidth="1"/>
    <col min="770" max="770" width="10" style="9" bestFit="1" customWidth="1"/>
    <col min="771" max="771" width="8.7109375" style="9" bestFit="1" customWidth="1"/>
    <col min="772" max="772" width="10" style="9" bestFit="1" customWidth="1"/>
    <col min="773" max="773" width="8.140625" style="9" bestFit="1" customWidth="1"/>
    <col min="774" max="774" width="6.5703125" style="9" bestFit="1" customWidth="1"/>
    <col min="775" max="775" width="3.28515625" style="9" customWidth="1"/>
    <col min="776" max="776" width="5.85546875" style="9" bestFit="1" customWidth="1"/>
    <col min="777" max="777" width="10" style="9" bestFit="1" customWidth="1"/>
    <col min="778" max="778" width="11.42578125" style="9" customWidth="1"/>
    <col min="779" max="779" width="8.5703125" style="9" customWidth="1"/>
    <col min="780" max="780" width="8.85546875" style="9" customWidth="1"/>
    <col min="781" max="781" width="8.7109375" style="9" customWidth="1"/>
    <col min="782" max="783" width="11.42578125" style="9"/>
    <col min="784" max="784" width="4.5703125" style="9" customWidth="1"/>
    <col min="785" max="1024" width="11.42578125" style="9"/>
    <col min="1025" max="1025" width="4.42578125" style="9" customWidth="1"/>
    <col min="1026" max="1026" width="10" style="9" bestFit="1" customWidth="1"/>
    <col min="1027" max="1027" width="8.7109375" style="9" bestFit="1" customWidth="1"/>
    <col min="1028" max="1028" width="10" style="9" bestFit="1" customWidth="1"/>
    <col min="1029" max="1029" width="8.140625" style="9" bestFit="1" customWidth="1"/>
    <col min="1030" max="1030" width="6.5703125" style="9" bestFit="1" customWidth="1"/>
    <col min="1031" max="1031" width="3.28515625" style="9" customWidth="1"/>
    <col min="1032" max="1032" width="5.85546875" style="9" bestFit="1" customWidth="1"/>
    <col min="1033" max="1033" width="10" style="9" bestFit="1" customWidth="1"/>
    <col min="1034" max="1034" width="11.42578125" style="9" customWidth="1"/>
    <col min="1035" max="1035" width="8.5703125" style="9" customWidth="1"/>
    <col min="1036" max="1036" width="8.85546875" style="9" customWidth="1"/>
    <col min="1037" max="1037" width="8.7109375" style="9" customWidth="1"/>
    <col min="1038" max="1039" width="11.42578125" style="9"/>
    <col min="1040" max="1040" width="4.5703125" style="9" customWidth="1"/>
    <col min="1041" max="1280" width="11.42578125" style="9"/>
    <col min="1281" max="1281" width="4.42578125" style="9" customWidth="1"/>
    <col min="1282" max="1282" width="10" style="9" bestFit="1" customWidth="1"/>
    <col min="1283" max="1283" width="8.7109375" style="9" bestFit="1" customWidth="1"/>
    <col min="1284" max="1284" width="10" style="9" bestFit="1" customWidth="1"/>
    <col min="1285" max="1285" width="8.140625" style="9" bestFit="1" customWidth="1"/>
    <col min="1286" max="1286" width="6.5703125" style="9" bestFit="1" customWidth="1"/>
    <col min="1287" max="1287" width="3.28515625" style="9" customWidth="1"/>
    <col min="1288" max="1288" width="5.85546875" style="9" bestFit="1" customWidth="1"/>
    <col min="1289" max="1289" width="10" style="9" bestFit="1" customWidth="1"/>
    <col min="1290" max="1290" width="11.42578125" style="9" customWidth="1"/>
    <col min="1291" max="1291" width="8.5703125" style="9" customWidth="1"/>
    <col min="1292" max="1292" width="8.85546875" style="9" customWidth="1"/>
    <col min="1293" max="1293" width="8.7109375" style="9" customWidth="1"/>
    <col min="1294" max="1295" width="11.42578125" style="9"/>
    <col min="1296" max="1296" width="4.5703125" style="9" customWidth="1"/>
    <col min="1297" max="1536" width="11.42578125" style="9"/>
    <col min="1537" max="1537" width="4.42578125" style="9" customWidth="1"/>
    <col min="1538" max="1538" width="10" style="9" bestFit="1" customWidth="1"/>
    <col min="1539" max="1539" width="8.7109375" style="9" bestFit="1" customWidth="1"/>
    <col min="1540" max="1540" width="10" style="9" bestFit="1" customWidth="1"/>
    <col min="1541" max="1541" width="8.140625" style="9" bestFit="1" customWidth="1"/>
    <col min="1542" max="1542" width="6.5703125" style="9" bestFit="1" customWidth="1"/>
    <col min="1543" max="1543" width="3.28515625" style="9" customWidth="1"/>
    <col min="1544" max="1544" width="5.85546875" style="9" bestFit="1" customWidth="1"/>
    <col min="1545" max="1545" width="10" style="9" bestFit="1" customWidth="1"/>
    <col min="1546" max="1546" width="11.42578125" style="9" customWidth="1"/>
    <col min="1547" max="1547" width="8.5703125" style="9" customWidth="1"/>
    <col min="1548" max="1548" width="8.85546875" style="9" customWidth="1"/>
    <col min="1549" max="1549" width="8.7109375" style="9" customWidth="1"/>
    <col min="1550" max="1551" width="11.42578125" style="9"/>
    <col min="1552" max="1552" width="4.5703125" style="9" customWidth="1"/>
    <col min="1553" max="1792" width="11.42578125" style="9"/>
    <col min="1793" max="1793" width="4.42578125" style="9" customWidth="1"/>
    <col min="1794" max="1794" width="10" style="9" bestFit="1" customWidth="1"/>
    <col min="1795" max="1795" width="8.7109375" style="9" bestFit="1" customWidth="1"/>
    <col min="1796" max="1796" width="10" style="9" bestFit="1" customWidth="1"/>
    <col min="1797" max="1797" width="8.140625" style="9" bestFit="1" customWidth="1"/>
    <col min="1798" max="1798" width="6.5703125" style="9" bestFit="1" customWidth="1"/>
    <col min="1799" max="1799" width="3.28515625" style="9" customWidth="1"/>
    <col min="1800" max="1800" width="5.85546875" style="9" bestFit="1" customWidth="1"/>
    <col min="1801" max="1801" width="10" style="9" bestFit="1" customWidth="1"/>
    <col min="1802" max="1802" width="11.42578125" style="9" customWidth="1"/>
    <col min="1803" max="1803" width="8.5703125" style="9" customWidth="1"/>
    <col min="1804" max="1804" width="8.85546875" style="9" customWidth="1"/>
    <col min="1805" max="1805" width="8.7109375" style="9" customWidth="1"/>
    <col min="1806" max="1807" width="11.42578125" style="9"/>
    <col min="1808" max="1808" width="4.5703125" style="9" customWidth="1"/>
    <col min="1809" max="2048" width="11.42578125" style="9"/>
    <col min="2049" max="2049" width="4.42578125" style="9" customWidth="1"/>
    <col min="2050" max="2050" width="10" style="9" bestFit="1" customWidth="1"/>
    <col min="2051" max="2051" width="8.7109375" style="9" bestFit="1" customWidth="1"/>
    <col min="2052" max="2052" width="10" style="9" bestFit="1" customWidth="1"/>
    <col min="2053" max="2053" width="8.140625" style="9" bestFit="1" customWidth="1"/>
    <col min="2054" max="2054" width="6.5703125" style="9" bestFit="1" customWidth="1"/>
    <col min="2055" max="2055" width="3.28515625" style="9" customWidth="1"/>
    <col min="2056" max="2056" width="5.85546875" style="9" bestFit="1" customWidth="1"/>
    <col min="2057" max="2057" width="10" style="9" bestFit="1" customWidth="1"/>
    <col min="2058" max="2058" width="11.42578125" style="9" customWidth="1"/>
    <col min="2059" max="2059" width="8.5703125" style="9" customWidth="1"/>
    <col min="2060" max="2060" width="8.85546875" style="9" customWidth="1"/>
    <col min="2061" max="2061" width="8.7109375" style="9" customWidth="1"/>
    <col min="2062" max="2063" width="11.42578125" style="9"/>
    <col min="2064" max="2064" width="4.5703125" style="9" customWidth="1"/>
    <col min="2065" max="2304" width="11.42578125" style="9"/>
    <col min="2305" max="2305" width="4.42578125" style="9" customWidth="1"/>
    <col min="2306" max="2306" width="10" style="9" bestFit="1" customWidth="1"/>
    <col min="2307" max="2307" width="8.7109375" style="9" bestFit="1" customWidth="1"/>
    <col min="2308" max="2308" width="10" style="9" bestFit="1" customWidth="1"/>
    <col min="2309" max="2309" width="8.140625" style="9" bestFit="1" customWidth="1"/>
    <col min="2310" max="2310" width="6.5703125" style="9" bestFit="1" customWidth="1"/>
    <col min="2311" max="2311" width="3.28515625" style="9" customWidth="1"/>
    <col min="2312" max="2312" width="5.85546875" style="9" bestFit="1" customWidth="1"/>
    <col min="2313" max="2313" width="10" style="9" bestFit="1" customWidth="1"/>
    <col min="2314" max="2314" width="11.42578125" style="9" customWidth="1"/>
    <col min="2315" max="2315" width="8.5703125" style="9" customWidth="1"/>
    <col min="2316" max="2316" width="8.85546875" style="9" customWidth="1"/>
    <col min="2317" max="2317" width="8.7109375" style="9" customWidth="1"/>
    <col min="2318" max="2319" width="11.42578125" style="9"/>
    <col min="2320" max="2320" width="4.5703125" style="9" customWidth="1"/>
    <col min="2321" max="2560" width="11.42578125" style="9"/>
    <col min="2561" max="2561" width="4.42578125" style="9" customWidth="1"/>
    <col min="2562" max="2562" width="10" style="9" bestFit="1" customWidth="1"/>
    <col min="2563" max="2563" width="8.7109375" style="9" bestFit="1" customWidth="1"/>
    <col min="2564" max="2564" width="10" style="9" bestFit="1" customWidth="1"/>
    <col min="2565" max="2565" width="8.140625" style="9" bestFit="1" customWidth="1"/>
    <col min="2566" max="2566" width="6.5703125" style="9" bestFit="1" customWidth="1"/>
    <col min="2567" max="2567" width="3.28515625" style="9" customWidth="1"/>
    <col min="2568" max="2568" width="5.85546875" style="9" bestFit="1" customWidth="1"/>
    <col min="2569" max="2569" width="10" style="9" bestFit="1" customWidth="1"/>
    <col min="2570" max="2570" width="11.42578125" style="9" customWidth="1"/>
    <col min="2571" max="2571" width="8.5703125" style="9" customWidth="1"/>
    <col min="2572" max="2572" width="8.85546875" style="9" customWidth="1"/>
    <col min="2573" max="2573" width="8.7109375" style="9" customWidth="1"/>
    <col min="2574" max="2575" width="11.42578125" style="9"/>
    <col min="2576" max="2576" width="4.5703125" style="9" customWidth="1"/>
    <col min="2577" max="2816" width="11.42578125" style="9"/>
    <col min="2817" max="2817" width="4.42578125" style="9" customWidth="1"/>
    <col min="2818" max="2818" width="10" style="9" bestFit="1" customWidth="1"/>
    <col min="2819" max="2819" width="8.7109375" style="9" bestFit="1" customWidth="1"/>
    <col min="2820" max="2820" width="10" style="9" bestFit="1" customWidth="1"/>
    <col min="2821" max="2821" width="8.140625" style="9" bestFit="1" customWidth="1"/>
    <col min="2822" max="2822" width="6.5703125" style="9" bestFit="1" customWidth="1"/>
    <col min="2823" max="2823" width="3.28515625" style="9" customWidth="1"/>
    <col min="2824" max="2824" width="5.85546875" style="9" bestFit="1" customWidth="1"/>
    <col min="2825" max="2825" width="10" style="9" bestFit="1" customWidth="1"/>
    <col min="2826" max="2826" width="11.42578125" style="9" customWidth="1"/>
    <col min="2827" max="2827" width="8.5703125" style="9" customWidth="1"/>
    <col min="2828" max="2828" width="8.85546875" style="9" customWidth="1"/>
    <col min="2829" max="2829" width="8.7109375" style="9" customWidth="1"/>
    <col min="2830" max="2831" width="11.42578125" style="9"/>
    <col min="2832" max="2832" width="4.5703125" style="9" customWidth="1"/>
    <col min="2833" max="3072" width="11.42578125" style="9"/>
    <col min="3073" max="3073" width="4.42578125" style="9" customWidth="1"/>
    <col min="3074" max="3074" width="10" style="9" bestFit="1" customWidth="1"/>
    <col min="3075" max="3075" width="8.7109375" style="9" bestFit="1" customWidth="1"/>
    <col min="3076" max="3076" width="10" style="9" bestFit="1" customWidth="1"/>
    <col min="3077" max="3077" width="8.140625" style="9" bestFit="1" customWidth="1"/>
    <col min="3078" max="3078" width="6.5703125" style="9" bestFit="1" customWidth="1"/>
    <col min="3079" max="3079" width="3.28515625" style="9" customWidth="1"/>
    <col min="3080" max="3080" width="5.85546875" style="9" bestFit="1" customWidth="1"/>
    <col min="3081" max="3081" width="10" style="9" bestFit="1" customWidth="1"/>
    <col min="3082" max="3082" width="11.42578125" style="9" customWidth="1"/>
    <col min="3083" max="3083" width="8.5703125" style="9" customWidth="1"/>
    <col min="3084" max="3084" width="8.85546875" style="9" customWidth="1"/>
    <col min="3085" max="3085" width="8.7109375" style="9" customWidth="1"/>
    <col min="3086" max="3087" width="11.42578125" style="9"/>
    <col min="3088" max="3088" width="4.5703125" style="9" customWidth="1"/>
    <col min="3089" max="3328" width="11.42578125" style="9"/>
    <col min="3329" max="3329" width="4.42578125" style="9" customWidth="1"/>
    <col min="3330" max="3330" width="10" style="9" bestFit="1" customWidth="1"/>
    <col min="3331" max="3331" width="8.7109375" style="9" bestFit="1" customWidth="1"/>
    <col min="3332" max="3332" width="10" style="9" bestFit="1" customWidth="1"/>
    <col min="3333" max="3333" width="8.140625" style="9" bestFit="1" customWidth="1"/>
    <col min="3334" max="3334" width="6.5703125" style="9" bestFit="1" customWidth="1"/>
    <col min="3335" max="3335" width="3.28515625" style="9" customWidth="1"/>
    <col min="3336" max="3336" width="5.85546875" style="9" bestFit="1" customWidth="1"/>
    <col min="3337" max="3337" width="10" style="9" bestFit="1" customWidth="1"/>
    <col min="3338" max="3338" width="11.42578125" style="9" customWidth="1"/>
    <col min="3339" max="3339" width="8.5703125" style="9" customWidth="1"/>
    <col min="3340" max="3340" width="8.85546875" style="9" customWidth="1"/>
    <col min="3341" max="3341" width="8.7109375" style="9" customWidth="1"/>
    <col min="3342" max="3343" width="11.42578125" style="9"/>
    <col min="3344" max="3344" width="4.5703125" style="9" customWidth="1"/>
    <col min="3345" max="3584" width="11.42578125" style="9"/>
    <col min="3585" max="3585" width="4.42578125" style="9" customWidth="1"/>
    <col min="3586" max="3586" width="10" style="9" bestFit="1" customWidth="1"/>
    <col min="3587" max="3587" width="8.7109375" style="9" bestFit="1" customWidth="1"/>
    <col min="3588" max="3588" width="10" style="9" bestFit="1" customWidth="1"/>
    <col min="3589" max="3589" width="8.140625" style="9" bestFit="1" customWidth="1"/>
    <col min="3590" max="3590" width="6.5703125" style="9" bestFit="1" customWidth="1"/>
    <col min="3591" max="3591" width="3.28515625" style="9" customWidth="1"/>
    <col min="3592" max="3592" width="5.85546875" style="9" bestFit="1" customWidth="1"/>
    <col min="3593" max="3593" width="10" style="9" bestFit="1" customWidth="1"/>
    <col min="3594" max="3594" width="11.42578125" style="9" customWidth="1"/>
    <col min="3595" max="3595" width="8.5703125" style="9" customWidth="1"/>
    <col min="3596" max="3596" width="8.85546875" style="9" customWidth="1"/>
    <col min="3597" max="3597" width="8.7109375" style="9" customWidth="1"/>
    <col min="3598" max="3599" width="11.42578125" style="9"/>
    <col min="3600" max="3600" width="4.5703125" style="9" customWidth="1"/>
    <col min="3601" max="3840" width="11.42578125" style="9"/>
    <col min="3841" max="3841" width="4.42578125" style="9" customWidth="1"/>
    <col min="3842" max="3842" width="10" style="9" bestFit="1" customWidth="1"/>
    <col min="3843" max="3843" width="8.7109375" style="9" bestFit="1" customWidth="1"/>
    <col min="3844" max="3844" width="10" style="9" bestFit="1" customWidth="1"/>
    <col min="3845" max="3845" width="8.140625" style="9" bestFit="1" customWidth="1"/>
    <col min="3846" max="3846" width="6.5703125" style="9" bestFit="1" customWidth="1"/>
    <col min="3847" max="3847" width="3.28515625" style="9" customWidth="1"/>
    <col min="3848" max="3848" width="5.85546875" style="9" bestFit="1" customWidth="1"/>
    <col min="3849" max="3849" width="10" style="9" bestFit="1" customWidth="1"/>
    <col min="3850" max="3850" width="11.42578125" style="9" customWidth="1"/>
    <col min="3851" max="3851" width="8.5703125" style="9" customWidth="1"/>
    <col min="3852" max="3852" width="8.85546875" style="9" customWidth="1"/>
    <col min="3853" max="3853" width="8.7109375" style="9" customWidth="1"/>
    <col min="3854" max="3855" width="11.42578125" style="9"/>
    <col min="3856" max="3856" width="4.5703125" style="9" customWidth="1"/>
    <col min="3857" max="4096" width="11.42578125" style="9"/>
    <col min="4097" max="4097" width="4.42578125" style="9" customWidth="1"/>
    <col min="4098" max="4098" width="10" style="9" bestFit="1" customWidth="1"/>
    <col min="4099" max="4099" width="8.7109375" style="9" bestFit="1" customWidth="1"/>
    <col min="4100" max="4100" width="10" style="9" bestFit="1" customWidth="1"/>
    <col min="4101" max="4101" width="8.140625" style="9" bestFit="1" customWidth="1"/>
    <col min="4102" max="4102" width="6.5703125" style="9" bestFit="1" customWidth="1"/>
    <col min="4103" max="4103" width="3.28515625" style="9" customWidth="1"/>
    <col min="4104" max="4104" width="5.85546875" style="9" bestFit="1" customWidth="1"/>
    <col min="4105" max="4105" width="10" style="9" bestFit="1" customWidth="1"/>
    <col min="4106" max="4106" width="11.42578125" style="9" customWidth="1"/>
    <col min="4107" max="4107" width="8.5703125" style="9" customWidth="1"/>
    <col min="4108" max="4108" width="8.85546875" style="9" customWidth="1"/>
    <col min="4109" max="4109" width="8.7109375" style="9" customWidth="1"/>
    <col min="4110" max="4111" width="11.42578125" style="9"/>
    <col min="4112" max="4112" width="4.5703125" style="9" customWidth="1"/>
    <col min="4113" max="4352" width="11.42578125" style="9"/>
    <col min="4353" max="4353" width="4.42578125" style="9" customWidth="1"/>
    <col min="4354" max="4354" width="10" style="9" bestFit="1" customWidth="1"/>
    <col min="4355" max="4355" width="8.7109375" style="9" bestFit="1" customWidth="1"/>
    <col min="4356" max="4356" width="10" style="9" bestFit="1" customWidth="1"/>
    <col min="4357" max="4357" width="8.140625" style="9" bestFit="1" customWidth="1"/>
    <col min="4358" max="4358" width="6.5703125" style="9" bestFit="1" customWidth="1"/>
    <col min="4359" max="4359" width="3.28515625" style="9" customWidth="1"/>
    <col min="4360" max="4360" width="5.85546875" style="9" bestFit="1" customWidth="1"/>
    <col min="4361" max="4361" width="10" style="9" bestFit="1" customWidth="1"/>
    <col min="4362" max="4362" width="11.42578125" style="9" customWidth="1"/>
    <col min="4363" max="4363" width="8.5703125" style="9" customWidth="1"/>
    <col min="4364" max="4364" width="8.85546875" style="9" customWidth="1"/>
    <col min="4365" max="4365" width="8.7109375" style="9" customWidth="1"/>
    <col min="4366" max="4367" width="11.42578125" style="9"/>
    <col min="4368" max="4368" width="4.5703125" style="9" customWidth="1"/>
    <col min="4369" max="4608" width="11.42578125" style="9"/>
    <col min="4609" max="4609" width="4.42578125" style="9" customWidth="1"/>
    <col min="4610" max="4610" width="10" style="9" bestFit="1" customWidth="1"/>
    <col min="4611" max="4611" width="8.7109375" style="9" bestFit="1" customWidth="1"/>
    <col min="4612" max="4612" width="10" style="9" bestFit="1" customWidth="1"/>
    <col min="4613" max="4613" width="8.140625" style="9" bestFit="1" customWidth="1"/>
    <col min="4614" max="4614" width="6.5703125" style="9" bestFit="1" customWidth="1"/>
    <col min="4615" max="4615" width="3.28515625" style="9" customWidth="1"/>
    <col min="4616" max="4616" width="5.85546875" style="9" bestFit="1" customWidth="1"/>
    <col min="4617" max="4617" width="10" style="9" bestFit="1" customWidth="1"/>
    <col min="4618" max="4618" width="11.42578125" style="9" customWidth="1"/>
    <col min="4619" max="4619" width="8.5703125" style="9" customWidth="1"/>
    <col min="4620" max="4620" width="8.85546875" style="9" customWidth="1"/>
    <col min="4621" max="4621" width="8.7109375" style="9" customWidth="1"/>
    <col min="4622" max="4623" width="11.42578125" style="9"/>
    <col min="4624" max="4624" width="4.5703125" style="9" customWidth="1"/>
    <col min="4625" max="4864" width="11.42578125" style="9"/>
    <col min="4865" max="4865" width="4.42578125" style="9" customWidth="1"/>
    <col min="4866" max="4866" width="10" style="9" bestFit="1" customWidth="1"/>
    <col min="4867" max="4867" width="8.7109375" style="9" bestFit="1" customWidth="1"/>
    <col min="4868" max="4868" width="10" style="9" bestFit="1" customWidth="1"/>
    <col min="4869" max="4869" width="8.140625" style="9" bestFit="1" customWidth="1"/>
    <col min="4870" max="4870" width="6.5703125" style="9" bestFit="1" customWidth="1"/>
    <col min="4871" max="4871" width="3.28515625" style="9" customWidth="1"/>
    <col min="4872" max="4872" width="5.85546875" style="9" bestFit="1" customWidth="1"/>
    <col min="4873" max="4873" width="10" style="9" bestFit="1" customWidth="1"/>
    <col min="4874" max="4874" width="11.42578125" style="9" customWidth="1"/>
    <col min="4875" max="4875" width="8.5703125" style="9" customWidth="1"/>
    <col min="4876" max="4876" width="8.85546875" style="9" customWidth="1"/>
    <col min="4877" max="4877" width="8.7109375" style="9" customWidth="1"/>
    <col min="4878" max="4879" width="11.42578125" style="9"/>
    <col min="4880" max="4880" width="4.5703125" style="9" customWidth="1"/>
    <col min="4881" max="5120" width="11.42578125" style="9"/>
    <col min="5121" max="5121" width="4.42578125" style="9" customWidth="1"/>
    <col min="5122" max="5122" width="10" style="9" bestFit="1" customWidth="1"/>
    <col min="5123" max="5123" width="8.7109375" style="9" bestFit="1" customWidth="1"/>
    <col min="5124" max="5124" width="10" style="9" bestFit="1" customWidth="1"/>
    <col min="5125" max="5125" width="8.140625" style="9" bestFit="1" customWidth="1"/>
    <col min="5126" max="5126" width="6.5703125" style="9" bestFit="1" customWidth="1"/>
    <col min="5127" max="5127" width="3.28515625" style="9" customWidth="1"/>
    <col min="5128" max="5128" width="5.85546875" style="9" bestFit="1" customWidth="1"/>
    <col min="5129" max="5129" width="10" style="9" bestFit="1" customWidth="1"/>
    <col min="5130" max="5130" width="11.42578125" style="9" customWidth="1"/>
    <col min="5131" max="5131" width="8.5703125" style="9" customWidth="1"/>
    <col min="5132" max="5132" width="8.85546875" style="9" customWidth="1"/>
    <col min="5133" max="5133" width="8.7109375" style="9" customWidth="1"/>
    <col min="5134" max="5135" width="11.42578125" style="9"/>
    <col min="5136" max="5136" width="4.5703125" style="9" customWidth="1"/>
    <col min="5137" max="5376" width="11.42578125" style="9"/>
    <col min="5377" max="5377" width="4.42578125" style="9" customWidth="1"/>
    <col min="5378" max="5378" width="10" style="9" bestFit="1" customWidth="1"/>
    <col min="5379" max="5379" width="8.7109375" style="9" bestFit="1" customWidth="1"/>
    <col min="5380" max="5380" width="10" style="9" bestFit="1" customWidth="1"/>
    <col min="5381" max="5381" width="8.140625" style="9" bestFit="1" customWidth="1"/>
    <col min="5382" max="5382" width="6.5703125" style="9" bestFit="1" customWidth="1"/>
    <col min="5383" max="5383" width="3.28515625" style="9" customWidth="1"/>
    <col min="5384" max="5384" width="5.85546875" style="9" bestFit="1" customWidth="1"/>
    <col min="5385" max="5385" width="10" style="9" bestFit="1" customWidth="1"/>
    <col min="5386" max="5386" width="11.42578125" style="9" customWidth="1"/>
    <col min="5387" max="5387" width="8.5703125" style="9" customWidth="1"/>
    <col min="5388" max="5388" width="8.85546875" style="9" customWidth="1"/>
    <col min="5389" max="5389" width="8.7109375" style="9" customWidth="1"/>
    <col min="5390" max="5391" width="11.42578125" style="9"/>
    <col min="5392" max="5392" width="4.5703125" style="9" customWidth="1"/>
    <col min="5393" max="5632" width="11.42578125" style="9"/>
    <col min="5633" max="5633" width="4.42578125" style="9" customWidth="1"/>
    <col min="5634" max="5634" width="10" style="9" bestFit="1" customWidth="1"/>
    <col min="5635" max="5635" width="8.7109375" style="9" bestFit="1" customWidth="1"/>
    <col min="5636" max="5636" width="10" style="9" bestFit="1" customWidth="1"/>
    <col min="5637" max="5637" width="8.140625" style="9" bestFit="1" customWidth="1"/>
    <col min="5638" max="5638" width="6.5703125" style="9" bestFit="1" customWidth="1"/>
    <col min="5639" max="5639" width="3.28515625" style="9" customWidth="1"/>
    <col min="5640" max="5640" width="5.85546875" style="9" bestFit="1" customWidth="1"/>
    <col min="5641" max="5641" width="10" style="9" bestFit="1" customWidth="1"/>
    <col min="5642" max="5642" width="11.42578125" style="9" customWidth="1"/>
    <col min="5643" max="5643" width="8.5703125" style="9" customWidth="1"/>
    <col min="5644" max="5644" width="8.85546875" style="9" customWidth="1"/>
    <col min="5645" max="5645" width="8.7109375" style="9" customWidth="1"/>
    <col min="5646" max="5647" width="11.42578125" style="9"/>
    <col min="5648" max="5648" width="4.5703125" style="9" customWidth="1"/>
    <col min="5649" max="5888" width="11.42578125" style="9"/>
    <col min="5889" max="5889" width="4.42578125" style="9" customWidth="1"/>
    <col min="5890" max="5890" width="10" style="9" bestFit="1" customWidth="1"/>
    <col min="5891" max="5891" width="8.7109375" style="9" bestFit="1" customWidth="1"/>
    <col min="5892" max="5892" width="10" style="9" bestFit="1" customWidth="1"/>
    <col min="5893" max="5893" width="8.140625" style="9" bestFit="1" customWidth="1"/>
    <col min="5894" max="5894" width="6.5703125" style="9" bestFit="1" customWidth="1"/>
    <col min="5895" max="5895" width="3.28515625" style="9" customWidth="1"/>
    <col min="5896" max="5896" width="5.85546875" style="9" bestFit="1" customWidth="1"/>
    <col min="5897" max="5897" width="10" style="9" bestFit="1" customWidth="1"/>
    <col min="5898" max="5898" width="11.42578125" style="9" customWidth="1"/>
    <col min="5899" max="5899" width="8.5703125" style="9" customWidth="1"/>
    <col min="5900" max="5900" width="8.85546875" style="9" customWidth="1"/>
    <col min="5901" max="5901" width="8.7109375" style="9" customWidth="1"/>
    <col min="5902" max="5903" width="11.42578125" style="9"/>
    <col min="5904" max="5904" width="4.5703125" style="9" customWidth="1"/>
    <col min="5905" max="6144" width="11.42578125" style="9"/>
    <col min="6145" max="6145" width="4.42578125" style="9" customWidth="1"/>
    <col min="6146" max="6146" width="10" style="9" bestFit="1" customWidth="1"/>
    <col min="6147" max="6147" width="8.7109375" style="9" bestFit="1" customWidth="1"/>
    <col min="6148" max="6148" width="10" style="9" bestFit="1" customWidth="1"/>
    <col min="6149" max="6149" width="8.140625" style="9" bestFit="1" customWidth="1"/>
    <col min="6150" max="6150" width="6.5703125" style="9" bestFit="1" customWidth="1"/>
    <col min="6151" max="6151" width="3.28515625" style="9" customWidth="1"/>
    <col min="6152" max="6152" width="5.85546875" style="9" bestFit="1" customWidth="1"/>
    <col min="6153" max="6153" width="10" style="9" bestFit="1" customWidth="1"/>
    <col min="6154" max="6154" width="11.42578125" style="9" customWidth="1"/>
    <col min="6155" max="6155" width="8.5703125" style="9" customWidth="1"/>
    <col min="6156" max="6156" width="8.85546875" style="9" customWidth="1"/>
    <col min="6157" max="6157" width="8.7109375" style="9" customWidth="1"/>
    <col min="6158" max="6159" width="11.42578125" style="9"/>
    <col min="6160" max="6160" width="4.5703125" style="9" customWidth="1"/>
    <col min="6161" max="6400" width="11.42578125" style="9"/>
    <col min="6401" max="6401" width="4.42578125" style="9" customWidth="1"/>
    <col min="6402" max="6402" width="10" style="9" bestFit="1" customWidth="1"/>
    <col min="6403" max="6403" width="8.7109375" style="9" bestFit="1" customWidth="1"/>
    <col min="6404" max="6404" width="10" style="9" bestFit="1" customWidth="1"/>
    <col min="6405" max="6405" width="8.140625" style="9" bestFit="1" customWidth="1"/>
    <col min="6406" max="6406" width="6.5703125" style="9" bestFit="1" customWidth="1"/>
    <col min="6407" max="6407" width="3.28515625" style="9" customWidth="1"/>
    <col min="6408" max="6408" width="5.85546875" style="9" bestFit="1" customWidth="1"/>
    <col min="6409" max="6409" width="10" style="9" bestFit="1" customWidth="1"/>
    <col min="6410" max="6410" width="11.42578125" style="9" customWidth="1"/>
    <col min="6411" max="6411" width="8.5703125" style="9" customWidth="1"/>
    <col min="6412" max="6412" width="8.85546875" style="9" customWidth="1"/>
    <col min="6413" max="6413" width="8.7109375" style="9" customWidth="1"/>
    <col min="6414" max="6415" width="11.42578125" style="9"/>
    <col min="6416" max="6416" width="4.5703125" style="9" customWidth="1"/>
    <col min="6417" max="6656" width="11.42578125" style="9"/>
    <col min="6657" max="6657" width="4.42578125" style="9" customWidth="1"/>
    <col min="6658" max="6658" width="10" style="9" bestFit="1" customWidth="1"/>
    <col min="6659" max="6659" width="8.7109375" style="9" bestFit="1" customWidth="1"/>
    <col min="6660" max="6660" width="10" style="9" bestFit="1" customWidth="1"/>
    <col min="6661" max="6661" width="8.140625" style="9" bestFit="1" customWidth="1"/>
    <col min="6662" max="6662" width="6.5703125" style="9" bestFit="1" customWidth="1"/>
    <col min="6663" max="6663" width="3.28515625" style="9" customWidth="1"/>
    <col min="6664" max="6664" width="5.85546875" style="9" bestFit="1" customWidth="1"/>
    <col min="6665" max="6665" width="10" style="9" bestFit="1" customWidth="1"/>
    <col min="6666" max="6666" width="11.42578125" style="9" customWidth="1"/>
    <col min="6667" max="6667" width="8.5703125" style="9" customWidth="1"/>
    <col min="6668" max="6668" width="8.85546875" style="9" customWidth="1"/>
    <col min="6669" max="6669" width="8.7109375" style="9" customWidth="1"/>
    <col min="6670" max="6671" width="11.42578125" style="9"/>
    <col min="6672" max="6672" width="4.5703125" style="9" customWidth="1"/>
    <col min="6673" max="6912" width="11.42578125" style="9"/>
    <col min="6913" max="6913" width="4.42578125" style="9" customWidth="1"/>
    <col min="6914" max="6914" width="10" style="9" bestFit="1" customWidth="1"/>
    <col min="6915" max="6915" width="8.7109375" style="9" bestFit="1" customWidth="1"/>
    <col min="6916" max="6916" width="10" style="9" bestFit="1" customWidth="1"/>
    <col min="6917" max="6917" width="8.140625" style="9" bestFit="1" customWidth="1"/>
    <col min="6918" max="6918" width="6.5703125" style="9" bestFit="1" customWidth="1"/>
    <col min="6919" max="6919" width="3.28515625" style="9" customWidth="1"/>
    <col min="6920" max="6920" width="5.85546875" style="9" bestFit="1" customWidth="1"/>
    <col min="6921" max="6921" width="10" style="9" bestFit="1" customWidth="1"/>
    <col min="6922" max="6922" width="11.42578125" style="9" customWidth="1"/>
    <col min="6923" max="6923" width="8.5703125" style="9" customWidth="1"/>
    <col min="6924" max="6924" width="8.85546875" style="9" customWidth="1"/>
    <col min="6925" max="6925" width="8.7109375" style="9" customWidth="1"/>
    <col min="6926" max="6927" width="11.42578125" style="9"/>
    <col min="6928" max="6928" width="4.5703125" style="9" customWidth="1"/>
    <col min="6929" max="7168" width="11.42578125" style="9"/>
    <col min="7169" max="7169" width="4.42578125" style="9" customWidth="1"/>
    <col min="7170" max="7170" width="10" style="9" bestFit="1" customWidth="1"/>
    <col min="7171" max="7171" width="8.7109375" style="9" bestFit="1" customWidth="1"/>
    <col min="7172" max="7172" width="10" style="9" bestFit="1" customWidth="1"/>
    <col min="7173" max="7173" width="8.140625" style="9" bestFit="1" customWidth="1"/>
    <col min="7174" max="7174" width="6.5703125" style="9" bestFit="1" customWidth="1"/>
    <col min="7175" max="7175" width="3.28515625" style="9" customWidth="1"/>
    <col min="7176" max="7176" width="5.85546875" style="9" bestFit="1" customWidth="1"/>
    <col min="7177" max="7177" width="10" style="9" bestFit="1" customWidth="1"/>
    <col min="7178" max="7178" width="11.42578125" style="9" customWidth="1"/>
    <col min="7179" max="7179" width="8.5703125" style="9" customWidth="1"/>
    <col min="7180" max="7180" width="8.85546875" style="9" customWidth="1"/>
    <col min="7181" max="7181" width="8.7109375" style="9" customWidth="1"/>
    <col min="7182" max="7183" width="11.42578125" style="9"/>
    <col min="7184" max="7184" width="4.5703125" style="9" customWidth="1"/>
    <col min="7185" max="7424" width="11.42578125" style="9"/>
    <col min="7425" max="7425" width="4.42578125" style="9" customWidth="1"/>
    <col min="7426" max="7426" width="10" style="9" bestFit="1" customWidth="1"/>
    <col min="7427" max="7427" width="8.7109375" style="9" bestFit="1" customWidth="1"/>
    <col min="7428" max="7428" width="10" style="9" bestFit="1" customWidth="1"/>
    <col min="7429" max="7429" width="8.140625" style="9" bestFit="1" customWidth="1"/>
    <col min="7430" max="7430" width="6.5703125" style="9" bestFit="1" customWidth="1"/>
    <col min="7431" max="7431" width="3.28515625" style="9" customWidth="1"/>
    <col min="7432" max="7432" width="5.85546875" style="9" bestFit="1" customWidth="1"/>
    <col min="7433" max="7433" width="10" style="9" bestFit="1" customWidth="1"/>
    <col min="7434" max="7434" width="11.42578125" style="9" customWidth="1"/>
    <col min="7435" max="7435" width="8.5703125" style="9" customWidth="1"/>
    <col min="7436" max="7436" width="8.85546875" style="9" customWidth="1"/>
    <col min="7437" max="7437" width="8.7109375" style="9" customWidth="1"/>
    <col min="7438" max="7439" width="11.42578125" style="9"/>
    <col min="7440" max="7440" width="4.5703125" style="9" customWidth="1"/>
    <col min="7441" max="7680" width="11.42578125" style="9"/>
    <col min="7681" max="7681" width="4.42578125" style="9" customWidth="1"/>
    <col min="7682" max="7682" width="10" style="9" bestFit="1" customWidth="1"/>
    <col min="7683" max="7683" width="8.7109375" style="9" bestFit="1" customWidth="1"/>
    <col min="7684" max="7684" width="10" style="9" bestFit="1" customWidth="1"/>
    <col min="7685" max="7685" width="8.140625" style="9" bestFit="1" customWidth="1"/>
    <col min="7686" max="7686" width="6.5703125" style="9" bestFit="1" customWidth="1"/>
    <col min="7687" max="7687" width="3.28515625" style="9" customWidth="1"/>
    <col min="7688" max="7688" width="5.85546875" style="9" bestFit="1" customWidth="1"/>
    <col min="7689" max="7689" width="10" style="9" bestFit="1" customWidth="1"/>
    <col min="7690" max="7690" width="11.42578125" style="9" customWidth="1"/>
    <col min="7691" max="7691" width="8.5703125" style="9" customWidth="1"/>
    <col min="7692" max="7692" width="8.85546875" style="9" customWidth="1"/>
    <col min="7693" max="7693" width="8.7109375" style="9" customWidth="1"/>
    <col min="7694" max="7695" width="11.42578125" style="9"/>
    <col min="7696" max="7696" width="4.5703125" style="9" customWidth="1"/>
    <col min="7697" max="7936" width="11.42578125" style="9"/>
    <col min="7937" max="7937" width="4.42578125" style="9" customWidth="1"/>
    <col min="7938" max="7938" width="10" style="9" bestFit="1" customWidth="1"/>
    <col min="7939" max="7939" width="8.7109375" style="9" bestFit="1" customWidth="1"/>
    <col min="7940" max="7940" width="10" style="9" bestFit="1" customWidth="1"/>
    <col min="7941" max="7941" width="8.140625" style="9" bestFit="1" customWidth="1"/>
    <col min="7942" max="7942" width="6.5703125" style="9" bestFit="1" customWidth="1"/>
    <col min="7943" max="7943" width="3.28515625" style="9" customWidth="1"/>
    <col min="7944" max="7944" width="5.85546875" style="9" bestFit="1" customWidth="1"/>
    <col min="7945" max="7945" width="10" style="9" bestFit="1" customWidth="1"/>
    <col min="7946" max="7946" width="11.42578125" style="9" customWidth="1"/>
    <col min="7947" max="7947" width="8.5703125" style="9" customWidth="1"/>
    <col min="7948" max="7948" width="8.85546875" style="9" customWidth="1"/>
    <col min="7949" max="7949" width="8.7109375" style="9" customWidth="1"/>
    <col min="7950" max="7951" width="11.42578125" style="9"/>
    <col min="7952" max="7952" width="4.5703125" style="9" customWidth="1"/>
    <col min="7953" max="8192" width="11.42578125" style="9"/>
    <col min="8193" max="8193" width="4.42578125" style="9" customWidth="1"/>
    <col min="8194" max="8194" width="10" style="9" bestFit="1" customWidth="1"/>
    <col min="8195" max="8195" width="8.7109375" style="9" bestFit="1" customWidth="1"/>
    <col min="8196" max="8196" width="10" style="9" bestFit="1" customWidth="1"/>
    <col min="8197" max="8197" width="8.140625" style="9" bestFit="1" customWidth="1"/>
    <col min="8198" max="8198" width="6.5703125" style="9" bestFit="1" customWidth="1"/>
    <col min="8199" max="8199" width="3.28515625" style="9" customWidth="1"/>
    <col min="8200" max="8200" width="5.85546875" style="9" bestFit="1" customWidth="1"/>
    <col min="8201" max="8201" width="10" style="9" bestFit="1" customWidth="1"/>
    <col min="8202" max="8202" width="11.42578125" style="9" customWidth="1"/>
    <col min="8203" max="8203" width="8.5703125" style="9" customWidth="1"/>
    <col min="8204" max="8204" width="8.85546875" style="9" customWidth="1"/>
    <col min="8205" max="8205" width="8.7109375" style="9" customWidth="1"/>
    <col min="8206" max="8207" width="11.42578125" style="9"/>
    <col min="8208" max="8208" width="4.5703125" style="9" customWidth="1"/>
    <col min="8209" max="8448" width="11.42578125" style="9"/>
    <col min="8449" max="8449" width="4.42578125" style="9" customWidth="1"/>
    <col min="8450" max="8450" width="10" style="9" bestFit="1" customWidth="1"/>
    <col min="8451" max="8451" width="8.7109375" style="9" bestFit="1" customWidth="1"/>
    <col min="8452" max="8452" width="10" style="9" bestFit="1" customWidth="1"/>
    <col min="8453" max="8453" width="8.140625" style="9" bestFit="1" customWidth="1"/>
    <col min="8454" max="8454" width="6.5703125" style="9" bestFit="1" customWidth="1"/>
    <col min="8455" max="8455" width="3.28515625" style="9" customWidth="1"/>
    <col min="8456" max="8456" width="5.85546875" style="9" bestFit="1" customWidth="1"/>
    <col min="8457" max="8457" width="10" style="9" bestFit="1" customWidth="1"/>
    <col min="8458" max="8458" width="11.42578125" style="9" customWidth="1"/>
    <col min="8459" max="8459" width="8.5703125" style="9" customWidth="1"/>
    <col min="8460" max="8460" width="8.85546875" style="9" customWidth="1"/>
    <col min="8461" max="8461" width="8.7109375" style="9" customWidth="1"/>
    <col min="8462" max="8463" width="11.42578125" style="9"/>
    <col min="8464" max="8464" width="4.5703125" style="9" customWidth="1"/>
    <col min="8465" max="8704" width="11.42578125" style="9"/>
    <col min="8705" max="8705" width="4.42578125" style="9" customWidth="1"/>
    <col min="8706" max="8706" width="10" style="9" bestFit="1" customWidth="1"/>
    <col min="8707" max="8707" width="8.7109375" style="9" bestFit="1" customWidth="1"/>
    <col min="8708" max="8708" width="10" style="9" bestFit="1" customWidth="1"/>
    <col min="8709" max="8709" width="8.140625" style="9" bestFit="1" customWidth="1"/>
    <col min="8710" max="8710" width="6.5703125" style="9" bestFit="1" customWidth="1"/>
    <col min="8711" max="8711" width="3.28515625" style="9" customWidth="1"/>
    <col min="8712" max="8712" width="5.85546875" style="9" bestFit="1" customWidth="1"/>
    <col min="8713" max="8713" width="10" style="9" bestFit="1" customWidth="1"/>
    <col min="8714" max="8714" width="11.42578125" style="9" customWidth="1"/>
    <col min="8715" max="8715" width="8.5703125" style="9" customWidth="1"/>
    <col min="8716" max="8716" width="8.85546875" style="9" customWidth="1"/>
    <col min="8717" max="8717" width="8.7109375" style="9" customWidth="1"/>
    <col min="8718" max="8719" width="11.42578125" style="9"/>
    <col min="8720" max="8720" width="4.5703125" style="9" customWidth="1"/>
    <col min="8721" max="8960" width="11.42578125" style="9"/>
    <col min="8961" max="8961" width="4.42578125" style="9" customWidth="1"/>
    <col min="8962" max="8962" width="10" style="9" bestFit="1" customWidth="1"/>
    <col min="8963" max="8963" width="8.7109375" style="9" bestFit="1" customWidth="1"/>
    <col min="8964" max="8964" width="10" style="9" bestFit="1" customWidth="1"/>
    <col min="8965" max="8965" width="8.140625" style="9" bestFit="1" customWidth="1"/>
    <col min="8966" max="8966" width="6.5703125" style="9" bestFit="1" customWidth="1"/>
    <col min="8967" max="8967" width="3.28515625" style="9" customWidth="1"/>
    <col min="8968" max="8968" width="5.85546875" style="9" bestFit="1" customWidth="1"/>
    <col min="8969" max="8969" width="10" style="9" bestFit="1" customWidth="1"/>
    <col min="8970" max="8970" width="11.42578125" style="9" customWidth="1"/>
    <col min="8971" max="8971" width="8.5703125" style="9" customWidth="1"/>
    <col min="8972" max="8972" width="8.85546875" style="9" customWidth="1"/>
    <col min="8973" max="8973" width="8.7109375" style="9" customWidth="1"/>
    <col min="8974" max="8975" width="11.42578125" style="9"/>
    <col min="8976" max="8976" width="4.5703125" style="9" customWidth="1"/>
    <col min="8977" max="9216" width="11.42578125" style="9"/>
    <col min="9217" max="9217" width="4.42578125" style="9" customWidth="1"/>
    <col min="9218" max="9218" width="10" style="9" bestFit="1" customWidth="1"/>
    <col min="9219" max="9219" width="8.7109375" style="9" bestFit="1" customWidth="1"/>
    <col min="9220" max="9220" width="10" style="9" bestFit="1" customWidth="1"/>
    <col min="9221" max="9221" width="8.140625" style="9" bestFit="1" customWidth="1"/>
    <col min="9222" max="9222" width="6.5703125" style="9" bestFit="1" customWidth="1"/>
    <col min="9223" max="9223" width="3.28515625" style="9" customWidth="1"/>
    <col min="9224" max="9224" width="5.85546875" style="9" bestFit="1" customWidth="1"/>
    <col min="9225" max="9225" width="10" style="9" bestFit="1" customWidth="1"/>
    <col min="9226" max="9226" width="11.42578125" style="9" customWidth="1"/>
    <col min="9227" max="9227" width="8.5703125" style="9" customWidth="1"/>
    <col min="9228" max="9228" width="8.85546875" style="9" customWidth="1"/>
    <col min="9229" max="9229" width="8.7109375" style="9" customWidth="1"/>
    <col min="9230" max="9231" width="11.42578125" style="9"/>
    <col min="9232" max="9232" width="4.5703125" style="9" customWidth="1"/>
    <col min="9233" max="9472" width="11.42578125" style="9"/>
    <col min="9473" max="9473" width="4.42578125" style="9" customWidth="1"/>
    <col min="9474" max="9474" width="10" style="9" bestFit="1" customWidth="1"/>
    <col min="9475" max="9475" width="8.7109375" style="9" bestFit="1" customWidth="1"/>
    <col min="9476" max="9476" width="10" style="9" bestFit="1" customWidth="1"/>
    <col min="9477" max="9477" width="8.140625" style="9" bestFit="1" customWidth="1"/>
    <col min="9478" max="9478" width="6.5703125" style="9" bestFit="1" customWidth="1"/>
    <col min="9479" max="9479" width="3.28515625" style="9" customWidth="1"/>
    <col min="9480" max="9480" width="5.85546875" style="9" bestFit="1" customWidth="1"/>
    <col min="9481" max="9481" width="10" style="9" bestFit="1" customWidth="1"/>
    <col min="9482" max="9482" width="11.42578125" style="9" customWidth="1"/>
    <col min="9483" max="9483" width="8.5703125" style="9" customWidth="1"/>
    <col min="9484" max="9484" width="8.85546875" style="9" customWidth="1"/>
    <col min="9485" max="9485" width="8.7109375" style="9" customWidth="1"/>
    <col min="9486" max="9487" width="11.42578125" style="9"/>
    <col min="9488" max="9488" width="4.5703125" style="9" customWidth="1"/>
    <col min="9489" max="9728" width="11.42578125" style="9"/>
    <col min="9729" max="9729" width="4.42578125" style="9" customWidth="1"/>
    <col min="9730" max="9730" width="10" style="9" bestFit="1" customWidth="1"/>
    <col min="9731" max="9731" width="8.7109375" style="9" bestFit="1" customWidth="1"/>
    <col min="9732" max="9732" width="10" style="9" bestFit="1" customWidth="1"/>
    <col min="9733" max="9733" width="8.140625" style="9" bestFit="1" customWidth="1"/>
    <col min="9734" max="9734" width="6.5703125" style="9" bestFit="1" customWidth="1"/>
    <col min="9735" max="9735" width="3.28515625" style="9" customWidth="1"/>
    <col min="9736" max="9736" width="5.85546875" style="9" bestFit="1" customWidth="1"/>
    <col min="9737" max="9737" width="10" style="9" bestFit="1" customWidth="1"/>
    <col min="9738" max="9738" width="11.42578125" style="9" customWidth="1"/>
    <col min="9739" max="9739" width="8.5703125" style="9" customWidth="1"/>
    <col min="9740" max="9740" width="8.85546875" style="9" customWidth="1"/>
    <col min="9741" max="9741" width="8.7109375" style="9" customWidth="1"/>
    <col min="9742" max="9743" width="11.42578125" style="9"/>
    <col min="9744" max="9744" width="4.5703125" style="9" customWidth="1"/>
    <col min="9745" max="9984" width="11.42578125" style="9"/>
    <col min="9985" max="9985" width="4.42578125" style="9" customWidth="1"/>
    <col min="9986" max="9986" width="10" style="9" bestFit="1" customWidth="1"/>
    <col min="9987" max="9987" width="8.7109375" style="9" bestFit="1" customWidth="1"/>
    <col min="9988" max="9988" width="10" style="9" bestFit="1" customWidth="1"/>
    <col min="9989" max="9989" width="8.140625" style="9" bestFit="1" customWidth="1"/>
    <col min="9990" max="9990" width="6.5703125" style="9" bestFit="1" customWidth="1"/>
    <col min="9991" max="9991" width="3.28515625" style="9" customWidth="1"/>
    <col min="9992" max="9992" width="5.85546875" style="9" bestFit="1" customWidth="1"/>
    <col min="9993" max="9993" width="10" style="9" bestFit="1" customWidth="1"/>
    <col min="9994" max="9994" width="11.42578125" style="9" customWidth="1"/>
    <col min="9995" max="9995" width="8.5703125" style="9" customWidth="1"/>
    <col min="9996" max="9996" width="8.85546875" style="9" customWidth="1"/>
    <col min="9997" max="9997" width="8.7109375" style="9" customWidth="1"/>
    <col min="9998" max="9999" width="11.42578125" style="9"/>
    <col min="10000" max="10000" width="4.5703125" style="9" customWidth="1"/>
    <col min="10001" max="10240" width="11.42578125" style="9"/>
    <col min="10241" max="10241" width="4.42578125" style="9" customWidth="1"/>
    <col min="10242" max="10242" width="10" style="9" bestFit="1" customWidth="1"/>
    <col min="10243" max="10243" width="8.7109375" style="9" bestFit="1" customWidth="1"/>
    <col min="10244" max="10244" width="10" style="9" bestFit="1" customWidth="1"/>
    <col min="10245" max="10245" width="8.140625" style="9" bestFit="1" customWidth="1"/>
    <col min="10246" max="10246" width="6.5703125" style="9" bestFit="1" customWidth="1"/>
    <col min="10247" max="10247" width="3.28515625" style="9" customWidth="1"/>
    <col min="10248" max="10248" width="5.85546875" style="9" bestFit="1" customWidth="1"/>
    <col min="10249" max="10249" width="10" style="9" bestFit="1" customWidth="1"/>
    <col min="10250" max="10250" width="11.42578125" style="9" customWidth="1"/>
    <col min="10251" max="10251" width="8.5703125" style="9" customWidth="1"/>
    <col min="10252" max="10252" width="8.85546875" style="9" customWidth="1"/>
    <col min="10253" max="10253" width="8.7109375" style="9" customWidth="1"/>
    <col min="10254" max="10255" width="11.42578125" style="9"/>
    <col min="10256" max="10256" width="4.5703125" style="9" customWidth="1"/>
    <col min="10257" max="10496" width="11.42578125" style="9"/>
    <col min="10497" max="10497" width="4.42578125" style="9" customWidth="1"/>
    <col min="10498" max="10498" width="10" style="9" bestFit="1" customWidth="1"/>
    <col min="10499" max="10499" width="8.7109375" style="9" bestFit="1" customWidth="1"/>
    <col min="10500" max="10500" width="10" style="9" bestFit="1" customWidth="1"/>
    <col min="10501" max="10501" width="8.140625" style="9" bestFit="1" customWidth="1"/>
    <col min="10502" max="10502" width="6.5703125" style="9" bestFit="1" customWidth="1"/>
    <col min="10503" max="10503" width="3.28515625" style="9" customWidth="1"/>
    <col min="10504" max="10504" width="5.85546875" style="9" bestFit="1" customWidth="1"/>
    <col min="10505" max="10505" width="10" style="9" bestFit="1" customWidth="1"/>
    <col min="10506" max="10506" width="11.42578125" style="9" customWidth="1"/>
    <col min="10507" max="10507" width="8.5703125" style="9" customWidth="1"/>
    <col min="10508" max="10508" width="8.85546875" style="9" customWidth="1"/>
    <col min="10509" max="10509" width="8.7109375" style="9" customWidth="1"/>
    <col min="10510" max="10511" width="11.42578125" style="9"/>
    <col min="10512" max="10512" width="4.5703125" style="9" customWidth="1"/>
    <col min="10513" max="10752" width="11.42578125" style="9"/>
    <col min="10753" max="10753" width="4.42578125" style="9" customWidth="1"/>
    <col min="10754" max="10754" width="10" style="9" bestFit="1" customWidth="1"/>
    <col min="10755" max="10755" width="8.7109375" style="9" bestFit="1" customWidth="1"/>
    <col min="10756" max="10756" width="10" style="9" bestFit="1" customWidth="1"/>
    <col min="10757" max="10757" width="8.140625" style="9" bestFit="1" customWidth="1"/>
    <col min="10758" max="10758" width="6.5703125" style="9" bestFit="1" customWidth="1"/>
    <col min="10759" max="10759" width="3.28515625" style="9" customWidth="1"/>
    <col min="10760" max="10760" width="5.85546875" style="9" bestFit="1" customWidth="1"/>
    <col min="10761" max="10761" width="10" style="9" bestFit="1" customWidth="1"/>
    <col min="10762" max="10762" width="11.42578125" style="9" customWidth="1"/>
    <col min="10763" max="10763" width="8.5703125" style="9" customWidth="1"/>
    <col min="10764" max="10764" width="8.85546875" style="9" customWidth="1"/>
    <col min="10765" max="10765" width="8.7109375" style="9" customWidth="1"/>
    <col min="10766" max="10767" width="11.42578125" style="9"/>
    <col min="10768" max="10768" width="4.5703125" style="9" customWidth="1"/>
    <col min="10769" max="11008" width="11.42578125" style="9"/>
    <col min="11009" max="11009" width="4.42578125" style="9" customWidth="1"/>
    <col min="11010" max="11010" width="10" style="9" bestFit="1" customWidth="1"/>
    <col min="11011" max="11011" width="8.7109375" style="9" bestFit="1" customWidth="1"/>
    <col min="11012" max="11012" width="10" style="9" bestFit="1" customWidth="1"/>
    <col min="11013" max="11013" width="8.140625" style="9" bestFit="1" customWidth="1"/>
    <col min="11014" max="11014" width="6.5703125" style="9" bestFit="1" customWidth="1"/>
    <col min="11015" max="11015" width="3.28515625" style="9" customWidth="1"/>
    <col min="11016" max="11016" width="5.85546875" style="9" bestFit="1" customWidth="1"/>
    <col min="11017" max="11017" width="10" style="9" bestFit="1" customWidth="1"/>
    <col min="11018" max="11018" width="11.42578125" style="9" customWidth="1"/>
    <col min="11019" max="11019" width="8.5703125" style="9" customWidth="1"/>
    <col min="11020" max="11020" width="8.85546875" style="9" customWidth="1"/>
    <col min="11021" max="11021" width="8.7109375" style="9" customWidth="1"/>
    <col min="11022" max="11023" width="11.42578125" style="9"/>
    <col min="11024" max="11024" width="4.5703125" style="9" customWidth="1"/>
    <col min="11025" max="11264" width="11.42578125" style="9"/>
    <col min="11265" max="11265" width="4.42578125" style="9" customWidth="1"/>
    <col min="11266" max="11266" width="10" style="9" bestFit="1" customWidth="1"/>
    <col min="11267" max="11267" width="8.7109375" style="9" bestFit="1" customWidth="1"/>
    <col min="11268" max="11268" width="10" style="9" bestFit="1" customWidth="1"/>
    <col min="11269" max="11269" width="8.140625" style="9" bestFit="1" customWidth="1"/>
    <col min="11270" max="11270" width="6.5703125" style="9" bestFit="1" customWidth="1"/>
    <col min="11271" max="11271" width="3.28515625" style="9" customWidth="1"/>
    <col min="11272" max="11272" width="5.85546875" style="9" bestFit="1" customWidth="1"/>
    <col min="11273" max="11273" width="10" style="9" bestFit="1" customWidth="1"/>
    <col min="11274" max="11274" width="11.42578125" style="9" customWidth="1"/>
    <col min="11275" max="11275" width="8.5703125" style="9" customWidth="1"/>
    <col min="11276" max="11276" width="8.85546875" style="9" customWidth="1"/>
    <col min="11277" max="11277" width="8.7109375" style="9" customWidth="1"/>
    <col min="11278" max="11279" width="11.42578125" style="9"/>
    <col min="11280" max="11280" width="4.5703125" style="9" customWidth="1"/>
    <col min="11281" max="11520" width="11.42578125" style="9"/>
    <col min="11521" max="11521" width="4.42578125" style="9" customWidth="1"/>
    <col min="11522" max="11522" width="10" style="9" bestFit="1" customWidth="1"/>
    <col min="11523" max="11523" width="8.7109375" style="9" bestFit="1" customWidth="1"/>
    <col min="11524" max="11524" width="10" style="9" bestFit="1" customWidth="1"/>
    <col min="11525" max="11525" width="8.140625" style="9" bestFit="1" customWidth="1"/>
    <col min="11526" max="11526" width="6.5703125" style="9" bestFit="1" customWidth="1"/>
    <col min="11527" max="11527" width="3.28515625" style="9" customWidth="1"/>
    <col min="11528" max="11528" width="5.85546875" style="9" bestFit="1" customWidth="1"/>
    <col min="11529" max="11529" width="10" style="9" bestFit="1" customWidth="1"/>
    <col min="11530" max="11530" width="11.42578125" style="9" customWidth="1"/>
    <col min="11531" max="11531" width="8.5703125" style="9" customWidth="1"/>
    <col min="11532" max="11532" width="8.85546875" style="9" customWidth="1"/>
    <col min="11533" max="11533" width="8.7109375" style="9" customWidth="1"/>
    <col min="11534" max="11535" width="11.42578125" style="9"/>
    <col min="11536" max="11536" width="4.5703125" style="9" customWidth="1"/>
    <col min="11537" max="11776" width="11.42578125" style="9"/>
    <col min="11777" max="11777" width="4.42578125" style="9" customWidth="1"/>
    <col min="11778" max="11778" width="10" style="9" bestFit="1" customWidth="1"/>
    <col min="11779" max="11779" width="8.7109375" style="9" bestFit="1" customWidth="1"/>
    <col min="11780" max="11780" width="10" style="9" bestFit="1" customWidth="1"/>
    <col min="11781" max="11781" width="8.140625" style="9" bestFit="1" customWidth="1"/>
    <col min="11782" max="11782" width="6.5703125" style="9" bestFit="1" customWidth="1"/>
    <col min="11783" max="11783" width="3.28515625" style="9" customWidth="1"/>
    <col min="11784" max="11784" width="5.85546875" style="9" bestFit="1" customWidth="1"/>
    <col min="11785" max="11785" width="10" style="9" bestFit="1" customWidth="1"/>
    <col min="11786" max="11786" width="11.42578125" style="9" customWidth="1"/>
    <col min="11787" max="11787" width="8.5703125" style="9" customWidth="1"/>
    <col min="11788" max="11788" width="8.85546875" style="9" customWidth="1"/>
    <col min="11789" max="11789" width="8.7109375" style="9" customWidth="1"/>
    <col min="11790" max="11791" width="11.42578125" style="9"/>
    <col min="11792" max="11792" width="4.5703125" style="9" customWidth="1"/>
    <col min="11793" max="12032" width="11.42578125" style="9"/>
    <col min="12033" max="12033" width="4.42578125" style="9" customWidth="1"/>
    <col min="12034" max="12034" width="10" style="9" bestFit="1" customWidth="1"/>
    <col min="12035" max="12035" width="8.7109375" style="9" bestFit="1" customWidth="1"/>
    <col min="12036" max="12036" width="10" style="9" bestFit="1" customWidth="1"/>
    <col min="12037" max="12037" width="8.140625" style="9" bestFit="1" customWidth="1"/>
    <col min="12038" max="12038" width="6.5703125" style="9" bestFit="1" customWidth="1"/>
    <col min="12039" max="12039" width="3.28515625" style="9" customWidth="1"/>
    <col min="12040" max="12040" width="5.85546875" style="9" bestFit="1" customWidth="1"/>
    <col min="12041" max="12041" width="10" style="9" bestFit="1" customWidth="1"/>
    <col min="12042" max="12042" width="11.42578125" style="9" customWidth="1"/>
    <col min="12043" max="12043" width="8.5703125" style="9" customWidth="1"/>
    <col min="12044" max="12044" width="8.85546875" style="9" customWidth="1"/>
    <col min="12045" max="12045" width="8.7109375" style="9" customWidth="1"/>
    <col min="12046" max="12047" width="11.42578125" style="9"/>
    <col min="12048" max="12048" width="4.5703125" style="9" customWidth="1"/>
    <col min="12049" max="12288" width="11.42578125" style="9"/>
    <col min="12289" max="12289" width="4.42578125" style="9" customWidth="1"/>
    <col min="12290" max="12290" width="10" style="9" bestFit="1" customWidth="1"/>
    <col min="12291" max="12291" width="8.7109375" style="9" bestFit="1" customWidth="1"/>
    <col min="12292" max="12292" width="10" style="9" bestFit="1" customWidth="1"/>
    <col min="12293" max="12293" width="8.140625" style="9" bestFit="1" customWidth="1"/>
    <col min="12294" max="12294" width="6.5703125" style="9" bestFit="1" customWidth="1"/>
    <col min="12295" max="12295" width="3.28515625" style="9" customWidth="1"/>
    <col min="12296" max="12296" width="5.85546875" style="9" bestFit="1" customWidth="1"/>
    <col min="12297" max="12297" width="10" style="9" bestFit="1" customWidth="1"/>
    <col min="12298" max="12298" width="11.42578125" style="9" customWidth="1"/>
    <col min="12299" max="12299" width="8.5703125" style="9" customWidth="1"/>
    <col min="12300" max="12300" width="8.85546875" style="9" customWidth="1"/>
    <col min="12301" max="12301" width="8.7109375" style="9" customWidth="1"/>
    <col min="12302" max="12303" width="11.42578125" style="9"/>
    <col min="12304" max="12304" width="4.5703125" style="9" customWidth="1"/>
    <col min="12305" max="12544" width="11.42578125" style="9"/>
    <col min="12545" max="12545" width="4.42578125" style="9" customWidth="1"/>
    <col min="12546" max="12546" width="10" style="9" bestFit="1" customWidth="1"/>
    <col min="12547" max="12547" width="8.7109375" style="9" bestFit="1" customWidth="1"/>
    <col min="12548" max="12548" width="10" style="9" bestFit="1" customWidth="1"/>
    <col min="12549" max="12549" width="8.140625" style="9" bestFit="1" customWidth="1"/>
    <col min="12550" max="12550" width="6.5703125" style="9" bestFit="1" customWidth="1"/>
    <col min="12551" max="12551" width="3.28515625" style="9" customWidth="1"/>
    <col min="12552" max="12552" width="5.85546875" style="9" bestFit="1" customWidth="1"/>
    <col min="12553" max="12553" width="10" style="9" bestFit="1" customWidth="1"/>
    <col min="12554" max="12554" width="11.42578125" style="9" customWidth="1"/>
    <col min="12555" max="12555" width="8.5703125" style="9" customWidth="1"/>
    <col min="12556" max="12556" width="8.85546875" style="9" customWidth="1"/>
    <col min="12557" max="12557" width="8.7109375" style="9" customWidth="1"/>
    <col min="12558" max="12559" width="11.42578125" style="9"/>
    <col min="12560" max="12560" width="4.5703125" style="9" customWidth="1"/>
    <col min="12561" max="12800" width="11.42578125" style="9"/>
    <col min="12801" max="12801" width="4.42578125" style="9" customWidth="1"/>
    <col min="12802" max="12802" width="10" style="9" bestFit="1" customWidth="1"/>
    <col min="12803" max="12803" width="8.7109375" style="9" bestFit="1" customWidth="1"/>
    <col min="12804" max="12804" width="10" style="9" bestFit="1" customWidth="1"/>
    <col min="12805" max="12805" width="8.140625" style="9" bestFit="1" customWidth="1"/>
    <col min="12806" max="12806" width="6.5703125" style="9" bestFit="1" customWidth="1"/>
    <col min="12807" max="12807" width="3.28515625" style="9" customWidth="1"/>
    <col min="12808" max="12808" width="5.85546875" style="9" bestFit="1" customWidth="1"/>
    <col min="12809" max="12809" width="10" style="9" bestFit="1" customWidth="1"/>
    <col min="12810" max="12810" width="11.42578125" style="9" customWidth="1"/>
    <col min="12811" max="12811" width="8.5703125" style="9" customWidth="1"/>
    <col min="12812" max="12812" width="8.85546875" style="9" customWidth="1"/>
    <col min="12813" max="12813" width="8.7109375" style="9" customWidth="1"/>
    <col min="12814" max="12815" width="11.42578125" style="9"/>
    <col min="12816" max="12816" width="4.5703125" style="9" customWidth="1"/>
    <col min="12817" max="13056" width="11.42578125" style="9"/>
    <col min="13057" max="13057" width="4.42578125" style="9" customWidth="1"/>
    <col min="13058" max="13058" width="10" style="9" bestFit="1" customWidth="1"/>
    <col min="13059" max="13059" width="8.7109375" style="9" bestFit="1" customWidth="1"/>
    <col min="13060" max="13060" width="10" style="9" bestFit="1" customWidth="1"/>
    <col min="13061" max="13061" width="8.140625" style="9" bestFit="1" customWidth="1"/>
    <col min="13062" max="13062" width="6.5703125" style="9" bestFit="1" customWidth="1"/>
    <col min="13063" max="13063" width="3.28515625" style="9" customWidth="1"/>
    <col min="13064" max="13064" width="5.85546875" style="9" bestFit="1" customWidth="1"/>
    <col min="13065" max="13065" width="10" style="9" bestFit="1" customWidth="1"/>
    <col min="13066" max="13066" width="11.42578125" style="9" customWidth="1"/>
    <col min="13067" max="13067" width="8.5703125" style="9" customWidth="1"/>
    <col min="13068" max="13068" width="8.85546875" style="9" customWidth="1"/>
    <col min="13069" max="13069" width="8.7109375" style="9" customWidth="1"/>
    <col min="13070" max="13071" width="11.42578125" style="9"/>
    <col min="13072" max="13072" width="4.5703125" style="9" customWidth="1"/>
    <col min="13073" max="13312" width="11.42578125" style="9"/>
    <col min="13313" max="13313" width="4.42578125" style="9" customWidth="1"/>
    <col min="13314" max="13314" width="10" style="9" bestFit="1" customWidth="1"/>
    <col min="13315" max="13315" width="8.7109375" style="9" bestFit="1" customWidth="1"/>
    <col min="13316" max="13316" width="10" style="9" bestFit="1" customWidth="1"/>
    <col min="13317" max="13317" width="8.140625" style="9" bestFit="1" customWidth="1"/>
    <col min="13318" max="13318" width="6.5703125" style="9" bestFit="1" customWidth="1"/>
    <col min="13319" max="13319" width="3.28515625" style="9" customWidth="1"/>
    <col min="13320" max="13320" width="5.85546875" style="9" bestFit="1" customWidth="1"/>
    <col min="13321" max="13321" width="10" style="9" bestFit="1" customWidth="1"/>
    <col min="13322" max="13322" width="11.42578125" style="9" customWidth="1"/>
    <col min="13323" max="13323" width="8.5703125" style="9" customWidth="1"/>
    <col min="13324" max="13324" width="8.85546875" style="9" customWidth="1"/>
    <col min="13325" max="13325" width="8.7109375" style="9" customWidth="1"/>
    <col min="13326" max="13327" width="11.42578125" style="9"/>
    <col min="13328" max="13328" width="4.5703125" style="9" customWidth="1"/>
    <col min="13329" max="13568" width="11.42578125" style="9"/>
    <col min="13569" max="13569" width="4.42578125" style="9" customWidth="1"/>
    <col min="13570" max="13570" width="10" style="9" bestFit="1" customWidth="1"/>
    <col min="13571" max="13571" width="8.7109375" style="9" bestFit="1" customWidth="1"/>
    <col min="13572" max="13572" width="10" style="9" bestFit="1" customWidth="1"/>
    <col min="13573" max="13573" width="8.140625" style="9" bestFit="1" customWidth="1"/>
    <col min="13574" max="13574" width="6.5703125" style="9" bestFit="1" customWidth="1"/>
    <col min="13575" max="13575" width="3.28515625" style="9" customWidth="1"/>
    <col min="13576" max="13576" width="5.85546875" style="9" bestFit="1" customWidth="1"/>
    <col min="13577" max="13577" width="10" style="9" bestFit="1" customWidth="1"/>
    <col min="13578" max="13578" width="11.42578125" style="9" customWidth="1"/>
    <col min="13579" max="13579" width="8.5703125" style="9" customWidth="1"/>
    <col min="13580" max="13580" width="8.85546875" style="9" customWidth="1"/>
    <col min="13581" max="13581" width="8.7109375" style="9" customWidth="1"/>
    <col min="13582" max="13583" width="11.42578125" style="9"/>
    <col min="13584" max="13584" width="4.5703125" style="9" customWidth="1"/>
    <col min="13585" max="13824" width="11.42578125" style="9"/>
    <col min="13825" max="13825" width="4.42578125" style="9" customWidth="1"/>
    <col min="13826" max="13826" width="10" style="9" bestFit="1" customWidth="1"/>
    <col min="13827" max="13827" width="8.7109375" style="9" bestFit="1" customWidth="1"/>
    <col min="13828" max="13828" width="10" style="9" bestFit="1" customWidth="1"/>
    <col min="13829" max="13829" width="8.140625" style="9" bestFit="1" customWidth="1"/>
    <col min="13830" max="13830" width="6.5703125" style="9" bestFit="1" customWidth="1"/>
    <col min="13831" max="13831" width="3.28515625" style="9" customWidth="1"/>
    <col min="13832" max="13832" width="5.85546875" style="9" bestFit="1" customWidth="1"/>
    <col min="13833" max="13833" width="10" style="9" bestFit="1" customWidth="1"/>
    <col min="13834" max="13834" width="11.42578125" style="9" customWidth="1"/>
    <col min="13835" max="13835" width="8.5703125" style="9" customWidth="1"/>
    <col min="13836" max="13836" width="8.85546875" style="9" customWidth="1"/>
    <col min="13837" max="13837" width="8.7109375" style="9" customWidth="1"/>
    <col min="13838" max="13839" width="11.42578125" style="9"/>
    <col min="13840" max="13840" width="4.5703125" style="9" customWidth="1"/>
    <col min="13841" max="14080" width="11.42578125" style="9"/>
    <col min="14081" max="14081" width="4.42578125" style="9" customWidth="1"/>
    <col min="14082" max="14082" width="10" style="9" bestFit="1" customWidth="1"/>
    <col min="14083" max="14083" width="8.7109375" style="9" bestFit="1" customWidth="1"/>
    <col min="14084" max="14084" width="10" style="9" bestFit="1" customWidth="1"/>
    <col min="14085" max="14085" width="8.140625" style="9" bestFit="1" customWidth="1"/>
    <col min="14086" max="14086" width="6.5703125" style="9" bestFit="1" customWidth="1"/>
    <col min="14087" max="14087" width="3.28515625" style="9" customWidth="1"/>
    <col min="14088" max="14088" width="5.85546875" style="9" bestFit="1" customWidth="1"/>
    <col min="14089" max="14089" width="10" style="9" bestFit="1" customWidth="1"/>
    <col min="14090" max="14090" width="11.42578125" style="9" customWidth="1"/>
    <col min="14091" max="14091" width="8.5703125" style="9" customWidth="1"/>
    <col min="14092" max="14092" width="8.85546875" style="9" customWidth="1"/>
    <col min="14093" max="14093" width="8.7109375" style="9" customWidth="1"/>
    <col min="14094" max="14095" width="11.42578125" style="9"/>
    <col min="14096" max="14096" width="4.5703125" style="9" customWidth="1"/>
    <col min="14097" max="14336" width="11.42578125" style="9"/>
    <col min="14337" max="14337" width="4.42578125" style="9" customWidth="1"/>
    <col min="14338" max="14338" width="10" style="9" bestFit="1" customWidth="1"/>
    <col min="14339" max="14339" width="8.7109375" style="9" bestFit="1" customWidth="1"/>
    <col min="14340" max="14340" width="10" style="9" bestFit="1" customWidth="1"/>
    <col min="14341" max="14341" width="8.140625" style="9" bestFit="1" customWidth="1"/>
    <col min="14342" max="14342" width="6.5703125" style="9" bestFit="1" customWidth="1"/>
    <col min="14343" max="14343" width="3.28515625" style="9" customWidth="1"/>
    <col min="14344" max="14344" width="5.85546875" style="9" bestFit="1" customWidth="1"/>
    <col min="14345" max="14345" width="10" style="9" bestFit="1" customWidth="1"/>
    <col min="14346" max="14346" width="11.42578125" style="9" customWidth="1"/>
    <col min="14347" max="14347" width="8.5703125" style="9" customWidth="1"/>
    <col min="14348" max="14348" width="8.85546875" style="9" customWidth="1"/>
    <col min="14349" max="14349" width="8.7109375" style="9" customWidth="1"/>
    <col min="14350" max="14351" width="11.42578125" style="9"/>
    <col min="14352" max="14352" width="4.5703125" style="9" customWidth="1"/>
    <col min="14353" max="14592" width="11.42578125" style="9"/>
    <col min="14593" max="14593" width="4.42578125" style="9" customWidth="1"/>
    <col min="14594" max="14594" width="10" style="9" bestFit="1" customWidth="1"/>
    <col min="14595" max="14595" width="8.7109375" style="9" bestFit="1" customWidth="1"/>
    <col min="14596" max="14596" width="10" style="9" bestFit="1" customWidth="1"/>
    <col min="14597" max="14597" width="8.140625" style="9" bestFit="1" customWidth="1"/>
    <col min="14598" max="14598" width="6.5703125" style="9" bestFit="1" customWidth="1"/>
    <col min="14599" max="14599" width="3.28515625" style="9" customWidth="1"/>
    <col min="14600" max="14600" width="5.85546875" style="9" bestFit="1" customWidth="1"/>
    <col min="14601" max="14601" width="10" style="9" bestFit="1" customWidth="1"/>
    <col min="14602" max="14602" width="11.42578125" style="9" customWidth="1"/>
    <col min="14603" max="14603" width="8.5703125" style="9" customWidth="1"/>
    <col min="14604" max="14604" width="8.85546875" style="9" customWidth="1"/>
    <col min="14605" max="14605" width="8.7109375" style="9" customWidth="1"/>
    <col min="14606" max="14607" width="11.42578125" style="9"/>
    <col min="14608" max="14608" width="4.5703125" style="9" customWidth="1"/>
    <col min="14609" max="14848" width="11.42578125" style="9"/>
    <col min="14849" max="14849" width="4.42578125" style="9" customWidth="1"/>
    <col min="14850" max="14850" width="10" style="9" bestFit="1" customWidth="1"/>
    <col min="14851" max="14851" width="8.7109375" style="9" bestFit="1" customWidth="1"/>
    <col min="14852" max="14852" width="10" style="9" bestFit="1" customWidth="1"/>
    <col min="14853" max="14853" width="8.140625" style="9" bestFit="1" customWidth="1"/>
    <col min="14854" max="14854" width="6.5703125" style="9" bestFit="1" customWidth="1"/>
    <col min="14855" max="14855" width="3.28515625" style="9" customWidth="1"/>
    <col min="14856" max="14856" width="5.85546875" style="9" bestFit="1" customWidth="1"/>
    <col min="14857" max="14857" width="10" style="9" bestFit="1" customWidth="1"/>
    <col min="14858" max="14858" width="11.42578125" style="9" customWidth="1"/>
    <col min="14859" max="14859" width="8.5703125" style="9" customWidth="1"/>
    <col min="14860" max="14860" width="8.85546875" style="9" customWidth="1"/>
    <col min="14861" max="14861" width="8.7109375" style="9" customWidth="1"/>
    <col min="14862" max="14863" width="11.42578125" style="9"/>
    <col min="14864" max="14864" width="4.5703125" style="9" customWidth="1"/>
    <col min="14865" max="15104" width="11.42578125" style="9"/>
    <col min="15105" max="15105" width="4.42578125" style="9" customWidth="1"/>
    <col min="15106" max="15106" width="10" style="9" bestFit="1" customWidth="1"/>
    <col min="15107" max="15107" width="8.7109375" style="9" bestFit="1" customWidth="1"/>
    <col min="15108" max="15108" width="10" style="9" bestFit="1" customWidth="1"/>
    <col min="15109" max="15109" width="8.140625" style="9" bestFit="1" customWidth="1"/>
    <col min="15110" max="15110" width="6.5703125" style="9" bestFit="1" customWidth="1"/>
    <col min="15111" max="15111" width="3.28515625" style="9" customWidth="1"/>
    <col min="15112" max="15112" width="5.85546875" style="9" bestFit="1" customWidth="1"/>
    <col min="15113" max="15113" width="10" style="9" bestFit="1" customWidth="1"/>
    <col min="15114" max="15114" width="11.42578125" style="9" customWidth="1"/>
    <col min="15115" max="15115" width="8.5703125" style="9" customWidth="1"/>
    <col min="15116" max="15116" width="8.85546875" style="9" customWidth="1"/>
    <col min="15117" max="15117" width="8.7109375" style="9" customWidth="1"/>
    <col min="15118" max="15119" width="11.42578125" style="9"/>
    <col min="15120" max="15120" width="4.5703125" style="9" customWidth="1"/>
    <col min="15121" max="15360" width="11.42578125" style="9"/>
    <col min="15361" max="15361" width="4.42578125" style="9" customWidth="1"/>
    <col min="15362" max="15362" width="10" style="9" bestFit="1" customWidth="1"/>
    <col min="15363" max="15363" width="8.7109375" style="9" bestFit="1" customWidth="1"/>
    <col min="15364" max="15364" width="10" style="9" bestFit="1" customWidth="1"/>
    <col min="15365" max="15365" width="8.140625" style="9" bestFit="1" customWidth="1"/>
    <col min="15366" max="15366" width="6.5703125" style="9" bestFit="1" customWidth="1"/>
    <col min="15367" max="15367" width="3.28515625" style="9" customWidth="1"/>
    <col min="15368" max="15368" width="5.85546875" style="9" bestFit="1" customWidth="1"/>
    <col min="15369" max="15369" width="10" style="9" bestFit="1" customWidth="1"/>
    <col min="15370" max="15370" width="11.42578125" style="9" customWidth="1"/>
    <col min="15371" max="15371" width="8.5703125" style="9" customWidth="1"/>
    <col min="15372" max="15372" width="8.85546875" style="9" customWidth="1"/>
    <col min="15373" max="15373" width="8.7109375" style="9" customWidth="1"/>
    <col min="15374" max="15375" width="11.42578125" style="9"/>
    <col min="15376" max="15376" width="4.5703125" style="9" customWidth="1"/>
    <col min="15377" max="15616" width="11.42578125" style="9"/>
    <col min="15617" max="15617" width="4.42578125" style="9" customWidth="1"/>
    <col min="15618" max="15618" width="10" style="9" bestFit="1" customWidth="1"/>
    <col min="15619" max="15619" width="8.7109375" style="9" bestFit="1" customWidth="1"/>
    <col min="15620" max="15620" width="10" style="9" bestFit="1" customWidth="1"/>
    <col min="15621" max="15621" width="8.140625" style="9" bestFit="1" customWidth="1"/>
    <col min="15622" max="15622" width="6.5703125" style="9" bestFit="1" customWidth="1"/>
    <col min="15623" max="15623" width="3.28515625" style="9" customWidth="1"/>
    <col min="15624" max="15624" width="5.85546875" style="9" bestFit="1" customWidth="1"/>
    <col min="15625" max="15625" width="10" style="9" bestFit="1" customWidth="1"/>
    <col min="15626" max="15626" width="11.42578125" style="9" customWidth="1"/>
    <col min="15627" max="15627" width="8.5703125" style="9" customWidth="1"/>
    <col min="15628" max="15628" width="8.85546875" style="9" customWidth="1"/>
    <col min="15629" max="15629" width="8.7109375" style="9" customWidth="1"/>
    <col min="15630" max="15631" width="11.42578125" style="9"/>
    <col min="15632" max="15632" width="4.5703125" style="9" customWidth="1"/>
    <col min="15633" max="15872" width="11.42578125" style="9"/>
    <col min="15873" max="15873" width="4.42578125" style="9" customWidth="1"/>
    <col min="15874" max="15874" width="10" style="9" bestFit="1" customWidth="1"/>
    <col min="15875" max="15875" width="8.7109375" style="9" bestFit="1" customWidth="1"/>
    <col min="15876" max="15876" width="10" style="9" bestFit="1" customWidth="1"/>
    <col min="15877" max="15877" width="8.140625" style="9" bestFit="1" customWidth="1"/>
    <col min="15878" max="15878" width="6.5703125" style="9" bestFit="1" customWidth="1"/>
    <col min="15879" max="15879" width="3.28515625" style="9" customWidth="1"/>
    <col min="15880" max="15880" width="5.85546875" style="9" bestFit="1" customWidth="1"/>
    <col min="15881" max="15881" width="10" style="9" bestFit="1" customWidth="1"/>
    <col min="15882" max="15882" width="11.42578125" style="9" customWidth="1"/>
    <col min="15883" max="15883" width="8.5703125" style="9" customWidth="1"/>
    <col min="15884" max="15884" width="8.85546875" style="9" customWidth="1"/>
    <col min="15885" max="15885" width="8.7109375" style="9" customWidth="1"/>
    <col min="15886" max="15887" width="11.42578125" style="9"/>
    <col min="15888" max="15888" width="4.5703125" style="9" customWidth="1"/>
    <col min="15889" max="16128" width="11.42578125" style="9"/>
    <col min="16129" max="16129" width="4.42578125" style="9" customWidth="1"/>
    <col min="16130" max="16130" width="10" style="9" bestFit="1" customWidth="1"/>
    <col min="16131" max="16131" width="8.7109375" style="9" bestFit="1" customWidth="1"/>
    <col min="16132" max="16132" width="10" style="9" bestFit="1" customWidth="1"/>
    <col min="16133" max="16133" width="8.140625" style="9" bestFit="1" customWidth="1"/>
    <col min="16134" max="16134" width="6.5703125" style="9" bestFit="1" customWidth="1"/>
    <col min="16135" max="16135" width="3.28515625" style="9" customWidth="1"/>
    <col min="16136" max="16136" width="5.85546875" style="9" bestFit="1" customWidth="1"/>
    <col min="16137" max="16137" width="10" style="9" bestFit="1" customWidth="1"/>
    <col min="16138" max="16138" width="11.42578125" style="9" customWidth="1"/>
    <col min="16139" max="16139" width="8.5703125" style="9" customWidth="1"/>
    <col min="16140" max="16140" width="8.85546875" style="9" customWidth="1"/>
    <col min="16141" max="16141" width="8.7109375" style="9" customWidth="1"/>
    <col min="16142" max="16143" width="11.42578125" style="9"/>
    <col min="16144" max="16144" width="4.5703125" style="9" customWidth="1"/>
    <col min="16145" max="16384" width="11.42578125" style="9"/>
  </cols>
  <sheetData>
    <row r="1" spans="2:50" ht="13.5" thickBot="1" x14ac:dyDescent="0.3">
      <c r="Z1" s="456"/>
      <c r="AA1" s="456"/>
      <c r="AB1" s="456"/>
      <c r="AC1" s="456"/>
      <c r="AD1" s="456"/>
      <c r="AE1" s="456"/>
      <c r="AF1" s="456"/>
      <c r="AG1" s="456"/>
      <c r="AH1" s="456"/>
      <c r="AI1" s="456"/>
    </row>
    <row r="2" spans="2:50" ht="18.75" thickBot="1" x14ac:dyDescent="0.3">
      <c r="B2" s="682" t="s">
        <v>412</v>
      </c>
      <c r="C2" s="683"/>
      <c r="D2" s="683"/>
      <c r="E2" s="683"/>
      <c r="F2" s="684"/>
      <c r="I2" s="682" t="s">
        <v>411</v>
      </c>
      <c r="J2" s="683"/>
      <c r="K2" s="683"/>
      <c r="L2" s="683"/>
      <c r="M2" s="683"/>
      <c r="N2" s="683"/>
      <c r="O2" s="683"/>
      <c r="P2" s="683"/>
      <c r="Q2" s="683"/>
      <c r="R2" s="683"/>
      <c r="S2" s="683"/>
      <c r="T2" s="683"/>
      <c r="U2" s="683"/>
      <c r="V2" s="683"/>
      <c r="W2" s="683"/>
      <c r="X2" s="683"/>
      <c r="Y2" s="684"/>
      <c r="Z2" s="499"/>
      <c r="AA2" s="499"/>
      <c r="AB2" s="499"/>
      <c r="AC2" s="499"/>
      <c r="AD2" s="499"/>
      <c r="AE2" s="499"/>
      <c r="AF2" s="499"/>
      <c r="AG2" s="499"/>
      <c r="AH2" s="456"/>
      <c r="AI2" s="456"/>
      <c r="AJ2" s="689" t="s">
        <v>535</v>
      </c>
      <c r="AK2" s="690"/>
      <c r="AL2" s="690"/>
      <c r="AM2" s="690"/>
      <c r="AN2" s="690"/>
      <c r="AO2" s="690"/>
      <c r="AP2" s="690"/>
      <c r="AQ2" s="690"/>
      <c r="AR2" s="690"/>
      <c r="AS2" s="691"/>
    </row>
    <row r="3" spans="2:50" ht="15.75" customHeight="1" thickBot="1" x14ac:dyDescent="0.3">
      <c r="Z3" s="456"/>
      <c r="AA3" s="456"/>
      <c r="AB3" s="456"/>
      <c r="AC3" s="456"/>
      <c r="AD3" s="456"/>
      <c r="AE3" s="456"/>
      <c r="AF3" s="456"/>
      <c r="AG3" s="456"/>
      <c r="AH3" s="456"/>
      <c r="AI3" s="456"/>
    </row>
    <row r="4" spans="2:50" ht="15" customHeight="1" thickBot="1" x14ac:dyDescent="0.3">
      <c r="B4" s="693" t="s">
        <v>438</v>
      </c>
      <c r="C4" s="694"/>
      <c r="D4" s="694"/>
      <c r="E4" s="694"/>
      <c r="F4" s="695"/>
      <c r="G4" s="12"/>
      <c r="I4" s="687" t="s">
        <v>440</v>
      </c>
      <c r="J4" s="687"/>
      <c r="K4" s="687"/>
      <c r="L4" s="687"/>
      <c r="M4" s="687"/>
      <c r="N4" s="687"/>
      <c r="O4" s="687"/>
      <c r="P4" s="687"/>
      <c r="R4" s="688" t="s">
        <v>516</v>
      </c>
      <c r="S4" s="688"/>
      <c r="T4" s="688"/>
      <c r="U4" s="688"/>
      <c r="V4" s="688"/>
      <c r="W4" s="688"/>
      <c r="X4" s="688"/>
      <c r="Y4" s="688"/>
      <c r="Z4" s="466"/>
      <c r="AA4" s="687" t="s">
        <v>518</v>
      </c>
      <c r="AB4" s="687"/>
      <c r="AC4" s="687"/>
      <c r="AD4" s="687"/>
      <c r="AE4" s="687"/>
      <c r="AF4" s="687"/>
      <c r="AG4" s="687"/>
      <c r="AH4" s="687"/>
      <c r="AI4" s="456"/>
      <c r="AJ4" s="685" t="s">
        <v>437</v>
      </c>
      <c r="AK4" s="685"/>
      <c r="AL4" s="685"/>
      <c r="AM4" s="685"/>
      <c r="AN4" s="685"/>
      <c r="AP4" s="434" t="s">
        <v>7</v>
      </c>
      <c r="AQ4" s="436">
        <f t="array" ref="AQ4:AS4">+TRANSPOSE(AJ8:AJ10)</f>
        <v>1</v>
      </c>
      <c r="AR4" s="436">
        <v>0.75</v>
      </c>
      <c r="AS4" s="437">
        <v>0.5</v>
      </c>
      <c r="AV4" s="9" t="s">
        <v>138</v>
      </c>
      <c r="AX4" s="9" t="s">
        <v>406</v>
      </c>
    </row>
    <row r="5" spans="2:50" ht="6.75" customHeight="1" x14ac:dyDescent="0.25">
      <c r="D5" s="10"/>
      <c r="I5" s="456"/>
      <c r="J5" s="456"/>
      <c r="K5" s="456"/>
      <c r="L5" s="456"/>
      <c r="M5" s="456"/>
      <c r="N5" s="456"/>
      <c r="O5" s="456"/>
      <c r="P5" s="456"/>
      <c r="R5" s="456"/>
      <c r="S5" s="456"/>
      <c r="T5" s="456"/>
      <c r="U5" s="456"/>
      <c r="V5" s="456"/>
      <c r="W5" s="456"/>
      <c r="X5" s="456"/>
      <c r="Y5" s="456"/>
      <c r="Z5" s="456"/>
      <c r="AA5" s="456"/>
      <c r="AB5" s="456"/>
      <c r="AC5" s="456"/>
      <c r="AD5" s="456"/>
      <c r="AE5" s="456"/>
      <c r="AF5" s="456"/>
      <c r="AG5" s="456"/>
      <c r="AH5" s="456"/>
      <c r="AI5" s="456"/>
      <c r="AP5" s="534"/>
      <c r="AQ5" s="14"/>
      <c r="AR5" s="14"/>
      <c r="AS5" s="662"/>
    </row>
    <row r="6" spans="2:50" s="11" customFormat="1" ht="25.5" x14ac:dyDescent="0.25">
      <c r="B6" s="398" t="s">
        <v>7</v>
      </c>
      <c r="C6" s="396" t="s">
        <v>23</v>
      </c>
      <c r="D6" s="396" t="s">
        <v>15</v>
      </c>
      <c r="E6" s="396" t="s">
        <v>81</v>
      </c>
      <c r="F6" s="397" t="s">
        <v>24</v>
      </c>
      <c r="G6" s="12"/>
      <c r="I6" s="398" t="s">
        <v>7</v>
      </c>
      <c r="J6" s="398" t="s">
        <v>23</v>
      </c>
      <c r="K6" s="396" t="s">
        <v>15</v>
      </c>
      <c r="L6" s="396" t="s">
        <v>401</v>
      </c>
      <c r="M6" s="397" t="s">
        <v>24</v>
      </c>
      <c r="N6" s="399" t="s">
        <v>8</v>
      </c>
      <c r="O6" s="399" t="s">
        <v>12</v>
      </c>
      <c r="P6" s="404" t="s">
        <v>22</v>
      </c>
      <c r="Q6" s="9"/>
      <c r="R6" s="398" t="s">
        <v>7</v>
      </c>
      <c r="S6" s="398" t="s">
        <v>23</v>
      </c>
      <c r="T6" s="396" t="s">
        <v>15</v>
      </c>
      <c r="U6" s="396" t="s">
        <v>401</v>
      </c>
      <c r="V6" s="397" t="s">
        <v>24</v>
      </c>
      <c r="W6" s="399" t="s">
        <v>8</v>
      </c>
      <c r="X6" s="399" t="s">
        <v>12</v>
      </c>
      <c r="Y6" s="404" t="s">
        <v>22</v>
      </c>
      <c r="Z6" s="457"/>
      <c r="AA6" s="398" t="s">
        <v>7</v>
      </c>
      <c r="AB6" s="398" t="s">
        <v>23</v>
      </c>
      <c r="AC6" s="396" t="s">
        <v>15</v>
      </c>
      <c r="AD6" s="396" t="s">
        <v>401</v>
      </c>
      <c r="AE6" s="397" t="s">
        <v>24</v>
      </c>
      <c r="AF6" s="399" t="s">
        <v>8</v>
      </c>
      <c r="AG6" s="399" t="s">
        <v>12</v>
      </c>
      <c r="AH6" s="404" t="s">
        <v>22</v>
      </c>
      <c r="AI6" s="458"/>
      <c r="AJ6" s="398" t="s">
        <v>7</v>
      </c>
      <c r="AK6" s="399" t="s">
        <v>8</v>
      </c>
      <c r="AL6" s="399" t="s">
        <v>12</v>
      </c>
      <c r="AM6" s="399" t="s">
        <v>14</v>
      </c>
      <c r="AN6" s="400" t="s">
        <v>400</v>
      </c>
      <c r="AP6" s="449" t="str">
        <f>+AC20</f>
        <v>PE</v>
      </c>
      <c r="AQ6" s="664">
        <f t="array" ref="AQ6:AS6">+TRANSPOSE(K22:K24)</f>
        <v>1501</v>
      </c>
      <c r="AR6" s="664">
        <v>1125</v>
      </c>
      <c r="AS6" s="665">
        <v>747</v>
      </c>
      <c r="AV6" s="11" t="s">
        <v>438</v>
      </c>
    </row>
    <row r="7" spans="2:50" ht="15" customHeight="1" x14ac:dyDescent="0.25">
      <c r="B7" s="68" t="s">
        <v>9</v>
      </c>
      <c r="C7" s="13" t="s">
        <v>11</v>
      </c>
      <c r="D7" s="13" t="s">
        <v>0</v>
      </c>
      <c r="E7" s="13" t="s">
        <v>10</v>
      </c>
      <c r="F7" s="69" t="s">
        <v>9</v>
      </c>
      <c r="G7" s="14"/>
      <c r="I7" s="394" t="s">
        <v>9</v>
      </c>
      <c r="J7" s="68" t="s">
        <v>11</v>
      </c>
      <c r="K7" s="13" t="s">
        <v>0</v>
      </c>
      <c r="L7" s="13" t="s">
        <v>10</v>
      </c>
      <c r="M7" s="69" t="s">
        <v>9</v>
      </c>
      <c r="N7" s="13" t="s">
        <v>16</v>
      </c>
      <c r="O7" s="13" t="s">
        <v>17</v>
      </c>
      <c r="P7" s="69" t="s">
        <v>3</v>
      </c>
      <c r="R7" s="394" t="s">
        <v>9</v>
      </c>
      <c r="S7" s="68" t="s">
        <v>11</v>
      </c>
      <c r="T7" s="13" t="s">
        <v>0</v>
      </c>
      <c r="U7" s="13" t="s">
        <v>10</v>
      </c>
      <c r="V7" s="69" t="s">
        <v>9</v>
      </c>
      <c r="W7" s="13" t="s">
        <v>16</v>
      </c>
      <c r="X7" s="13" t="s">
        <v>17</v>
      </c>
      <c r="Y7" s="69" t="s">
        <v>3</v>
      </c>
      <c r="Z7" s="459"/>
      <c r="AA7" s="394" t="s">
        <v>9</v>
      </c>
      <c r="AB7" s="68" t="s">
        <v>11</v>
      </c>
      <c r="AC7" s="13" t="s">
        <v>0</v>
      </c>
      <c r="AD7" s="13" t="s">
        <v>10</v>
      </c>
      <c r="AE7" s="69" t="s">
        <v>9</v>
      </c>
      <c r="AF7" s="13" t="s">
        <v>16</v>
      </c>
      <c r="AG7" s="13" t="s">
        <v>17</v>
      </c>
      <c r="AH7" s="69" t="s">
        <v>3</v>
      </c>
      <c r="AI7" s="456"/>
      <c r="AJ7" s="68" t="s">
        <v>9</v>
      </c>
      <c r="AK7" s="13" t="s">
        <v>16</v>
      </c>
      <c r="AL7" s="13" t="s">
        <v>17</v>
      </c>
      <c r="AM7" s="13" t="s">
        <v>3</v>
      </c>
      <c r="AN7" s="69" t="s">
        <v>3</v>
      </c>
      <c r="AP7" s="449" t="str">
        <f>+AD20</f>
        <v>Consumo</v>
      </c>
      <c r="AQ7" s="666">
        <f t="array" ref="AQ7:AS7">+TRANSPOSE(L22:L24)</f>
        <v>3743.25</v>
      </c>
      <c r="AR7" s="666">
        <v>2884.35</v>
      </c>
      <c r="AS7" s="667">
        <v>2024.4</v>
      </c>
      <c r="AV7" s="9" t="s">
        <v>519</v>
      </c>
    </row>
    <row r="8" spans="2:50" ht="15" customHeight="1" x14ac:dyDescent="0.25">
      <c r="B8" s="446">
        <v>1</v>
      </c>
      <c r="C8" s="406">
        <f>+IF(Parametrización!$B$4=$I$19,J22,IF(Parametrización!$B$4=$R$4,S8,IF(Parametrización!$B$4=Parametrización!$I$4,Parametrización!J8,IF(Parametrización!$B$4=Parametrización!$R$12,Parametrización!S15,IF(Parametrización!$B$4=$I$12,J15,IF(Parametrización!$B$4=$R$19,S22,IF(Parametrización!$B$4=$AA$4,AB8,IF(Parametrización!$B$4=$AA$12,AB15,IF(Parametrización!$B$4=$AA$19,AB22,)))))))))</f>
        <v>928</v>
      </c>
      <c r="D8" s="406">
        <f>+IF(Parametrización!$B$4=$I$19,K22,IF(Parametrización!$B$4=$R$4,T8,IF(Parametrización!$B$4=Parametrización!$I$4,Parametrización!K8,IF(Parametrización!$B$4=Parametrización!$R$12,Parametrización!T15,IF(Parametrización!$B$4=$I$12,K15,IF(Parametrización!$B$4=$R$19,T22,IF(Parametrización!$B$4=$AA$4,AC8,IF(Parametrización!$B$4=$AA$12,AC15,IF(Parametrización!$B$4=$AA$19,AC22,)))))))))</f>
        <v>901</v>
      </c>
      <c r="E8" s="407">
        <f>+IF(Parametrización!$B$4=$I$19,L22,IF(Parametrización!$B$4=$R$4,U8,IF(Parametrización!$B$4=Parametrización!$I$4,Parametrización!L8,IF(Parametrización!$B$4=Parametrización!$R$12,Parametrización!U15,IF(Parametrización!$B$4=$I$12,L15,IF(Parametrización!$B$4=$R$19,U22,IF(Parametrización!$B$4=$AA$4,AD8,IF(Parametrización!$B$4=$AA$12,AD15,IF(Parametrización!$B$4=$AA$19,AD22,)))))))))</f>
        <v>2251.2000000000003</v>
      </c>
      <c r="F8" s="408">
        <f>+IF(Parametrización!$B$4=$I$19,M22,IF(Parametrización!$B$4=$R$4,V8,IF(Parametrización!$B$4=Parametrización!$I$4,Parametrización!M8,IF(Parametrización!$B$4=Parametrización!$R$12,Parametrización!V15,IF(Parametrización!$B$4=$I$12,M15,IF(Parametrización!$B$4=$R$19,V22,IF(Parametrización!$B$4=$AA$4,AE8,IF(Parametrización!$B$4=$AA$12,AE15,IF(Parametrización!$B$4=$AA$19,AE22,)))))))))</f>
        <v>0.40023098791755501</v>
      </c>
      <c r="G8" s="16"/>
      <c r="I8" s="441">
        <v>1</v>
      </c>
      <c r="J8" s="391">
        <v>2745</v>
      </c>
      <c r="K8" s="391">
        <v>2656</v>
      </c>
      <c r="L8" s="391">
        <f>6006*1.05</f>
        <v>6306.3</v>
      </c>
      <c r="M8" s="416">
        <f>+K8/L8</f>
        <v>0.42116613545184972</v>
      </c>
      <c r="N8" s="60">
        <v>15188</v>
      </c>
      <c r="O8" s="391">
        <v>371</v>
      </c>
      <c r="P8" s="93">
        <v>1492</v>
      </c>
      <c r="R8" s="441">
        <f>+I22</f>
        <v>1</v>
      </c>
      <c r="S8" s="391">
        <v>1234</v>
      </c>
      <c r="T8" s="391">
        <v>1203</v>
      </c>
      <c r="U8" s="391">
        <f>2848*1.05</f>
        <v>2990.4</v>
      </c>
      <c r="V8" s="416">
        <f>+T8/U8</f>
        <v>0.40228731942215085</v>
      </c>
      <c r="W8" s="60">
        <v>6461</v>
      </c>
      <c r="X8" s="391">
        <v>403</v>
      </c>
      <c r="Y8" s="93">
        <v>695</v>
      </c>
      <c r="Z8" s="526"/>
      <c r="AA8" s="441">
        <f>+R22</f>
        <v>1</v>
      </c>
      <c r="AB8" s="391">
        <v>1173</v>
      </c>
      <c r="AC8" s="391">
        <v>1141</v>
      </c>
      <c r="AD8" s="391">
        <f>2754*1.05</f>
        <v>2891.7000000000003</v>
      </c>
      <c r="AE8" s="416">
        <f>+AC8/AD8</f>
        <v>0.39457758412006777</v>
      </c>
      <c r="AF8" s="60">
        <v>6193</v>
      </c>
      <c r="AG8" s="391">
        <v>425</v>
      </c>
      <c r="AH8" s="93">
        <v>683</v>
      </c>
      <c r="AI8" s="456"/>
      <c r="AJ8" s="438">
        <v>1</v>
      </c>
      <c r="AK8" s="406">
        <v>8085</v>
      </c>
      <c r="AL8" s="406">
        <v>403</v>
      </c>
      <c r="AM8" s="58">
        <f>+AK8/3600*$C$43*(AL8-$C$42)</f>
        <v>661.53266666666673</v>
      </c>
      <c r="AN8" s="415">
        <v>887</v>
      </c>
      <c r="AP8" s="449" t="str">
        <f>+AE20</f>
        <v>RE</v>
      </c>
      <c r="AQ8" s="668">
        <f t="array" ref="AQ8:AS8">+TRANSPOSE(M22:M24)</f>
        <v>0.40098844586923127</v>
      </c>
      <c r="AR8" s="668">
        <v>0.39003588330126371</v>
      </c>
      <c r="AS8" s="669">
        <v>0.3689982216953171</v>
      </c>
      <c r="AV8" s="9" t="s">
        <v>516</v>
      </c>
    </row>
    <row r="9" spans="2:50" ht="15" customHeight="1" x14ac:dyDescent="0.25">
      <c r="B9" s="447">
        <f>+D9/D8</f>
        <v>0.74916759156492785</v>
      </c>
      <c r="C9" s="409">
        <f>+IF(Parametrización!$B$4=$I$19,J23,IF(Parametrización!$B$4=$R$4,S9,IF(Parametrización!$B$4=Parametrización!$I$4,Parametrización!J9,IF(Parametrización!$B$4=Parametrización!$R$12,Parametrización!S16,IF(Parametrización!$B$4=$I$12,J16,IF(Parametrización!$B$4=$R$19,S23,IF(Parametrización!$B$4=$AA$4,AB9,IF(Parametrización!$B$4=$AA$12,AB16,IF(Parametrización!$B$4=$AA$19,AB23,)))))))))</f>
        <v>696</v>
      </c>
      <c r="D9" s="409">
        <f>+IF(Parametrización!$B$4=$I$19,K23,IF(Parametrización!$B$4=$R$4,T9,IF(Parametrización!$B$4=Parametrización!$I$4,Parametrización!K9,IF(Parametrización!$B$4=Parametrización!$R$12,Parametrización!T16,IF(Parametrización!$B$4=$I$12,K16,IF(Parametrización!$B$4=$R$19,T23,IF(Parametrización!$B$4=$AA$4,AC9,IF(Parametrización!$B$4=$AA$12,AC16,IF(Parametrización!$B$4=$AA$19,AC23,)))))))))</f>
        <v>675</v>
      </c>
      <c r="E9" s="410">
        <f>+IF(Parametrización!$B$4=$I$19,L23,IF(Parametrización!$B$4=$R$4,U9,IF(Parametrización!$B$4=Parametrización!$I$4,Parametrización!L9,IF(Parametrización!$B$4=Parametrización!$R$12,Parametrización!U16,IF(Parametrización!$B$4=$I$12,L16,IF(Parametrización!$B$4=$R$19,U23,IF(Parametrización!$B$4=$AA$4,AD9,IF(Parametrización!$B$4=$AA$12,AD16,IF(Parametrización!$B$4=$AA$19,AD23,)))))))))</f>
        <v>1734.6000000000001</v>
      </c>
      <c r="F9" s="411">
        <f>+IF(Parametrización!$B$4=$I$19,M23,IF(Parametrización!$B$4=$R$4,V9,IF(Parametrización!$B$4=Parametrización!$I$4,Parametrización!M9,IF(Parametrización!$B$4=Parametrización!$R$12,Parametrización!V16,IF(Parametrización!$B$4=$I$12,M16,IF(Parametrización!$B$4=$R$19,V23,IF(Parametrización!$B$4=$AA$4,AE9,IF(Parametrización!$B$4=$AA$12,AE16,IF(Parametrización!$B$4=$AA$19,AE23,)))))))))</f>
        <v>0.38913870632998959</v>
      </c>
      <c r="G9" s="16"/>
      <c r="I9" s="442">
        <v>0.75</v>
      </c>
      <c r="J9" s="392">
        <v>2058</v>
      </c>
      <c r="K9" s="392">
        <v>1981</v>
      </c>
      <c r="L9" s="392">
        <f>4606*1.05</f>
        <v>4836.3</v>
      </c>
      <c r="M9" s="462">
        <f>+K9/L9</f>
        <v>0.40961065277174696</v>
      </c>
      <c r="N9" s="61">
        <v>11154</v>
      </c>
      <c r="O9" s="460">
        <v>419</v>
      </c>
      <c r="P9" s="527">
        <v>1068</v>
      </c>
      <c r="R9" s="442">
        <f>+I23</f>
        <v>0.75</v>
      </c>
      <c r="S9" s="392">
        <v>925</v>
      </c>
      <c r="T9" s="392">
        <v>902</v>
      </c>
      <c r="U9" s="392">
        <f>2195*1.05</f>
        <v>2304.75</v>
      </c>
      <c r="V9" s="462">
        <f>+T9/U9</f>
        <v>0.39136565788046423</v>
      </c>
      <c r="W9" s="15">
        <f>+W8*N9/N8</f>
        <v>4744.9298130102716</v>
      </c>
      <c r="X9" s="392">
        <v>436</v>
      </c>
      <c r="Y9" s="527">
        <v>521</v>
      </c>
      <c r="Z9" s="526"/>
      <c r="AA9" s="442">
        <f>+R23</f>
        <v>0.75</v>
      </c>
      <c r="AB9" s="392">
        <v>880</v>
      </c>
      <c r="AC9" s="392">
        <v>854</v>
      </c>
      <c r="AD9" s="392">
        <f>2135*1.05</f>
        <v>2241.75</v>
      </c>
      <c r="AE9" s="462">
        <f>+AC9/AD9</f>
        <v>0.38095238095238093</v>
      </c>
      <c r="AF9" s="15">
        <f>+AF8*N9/N8</f>
        <v>4548.1117987885173</v>
      </c>
      <c r="AG9" s="392">
        <v>442</v>
      </c>
      <c r="AH9" s="527">
        <v>533</v>
      </c>
      <c r="AI9" s="456"/>
      <c r="AJ9" s="439">
        <v>0.75</v>
      </c>
      <c r="AK9" s="409">
        <v>5937.5882275480644</v>
      </c>
      <c r="AL9" s="409">
        <v>436</v>
      </c>
      <c r="AM9" s="15">
        <f>+AK9/3600*$C$43*(AL9-$C$42)</f>
        <v>546.78590255464849</v>
      </c>
      <c r="AN9" s="417">
        <v>662</v>
      </c>
      <c r="AP9" s="449" t="s">
        <v>14</v>
      </c>
      <c r="AQ9" s="15">
        <f t="array" ref="AQ9:AS9">+TRANSPOSE(AM8:AM10)</f>
        <v>661.53266666666673</v>
      </c>
      <c r="AR9" s="15">
        <v>546.78590255464849</v>
      </c>
      <c r="AS9" s="62">
        <v>415.62985102273728</v>
      </c>
      <c r="AV9" s="9" t="s">
        <v>518</v>
      </c>
    </row>
    <row r="10" spans="2:50" ht="15" customHeight="1" x14ac:dyDescent="0.25">
      <c r="B10" s="448">
        <f>+D10/D8</f>
        <v>0.49722530521642622</v>
      </c>
      <c r="C10" s="412">
        <f>+IF(Parametrización!$B$4=$I$19,J24,IF(Parametrización!$B$4=$R$4,S10,IF(Parametrización!$B$4=Parametrización!$I$4,Parametrización!J10,IF(Parametrización!$B$4=Parametrización!$R$12,Parametrización!S17,IF(Parametrización!$B$4=$I$12,J17,IF(Parametrización!$B$4=$R$19,S24,IF(Parametrización!$B$4=$AA$4,AB10,IF(Parametrización!$B$4=$AA$12,AB17,IF(Parametrización!$B$4=$AA$19,AB24,)))))))))</f>
        <v>464</v>
      </c>
      <c r="D10" s="412">
        <f>+IF(Parametrización!$B$4=$I$19,K24,IF(Parametrización!$B$4=$R$4,T10,IF(Parametrización!$B$4=Parametrización!$I$4,Parametrización!K10,IF(Parametrización!$B$4=Parametrización!$R$12,Parametrización!T17,IF(Parametrización!$B$4=$I$12,K17,IF(Parametrización!$B$4=$R$19,T24,IF(Parametrización!$B$4=$AA$4,AC10,IF(Parametrización!$B$4=$AA$12,AC17,IF(Parametrización!$B$4=$AA$19,AC24,)))))))))</f>
        <v>448</v>
      </c>
      <c r="E10" s="413">
        <f>+IF(Parametrización!$B$4=$I$19,L24,IF(Parametrización!$B$4=$R$4,U10,IF(Parametrización!$B$4=Parametrización!$I$4,Parametrización!L10,IF(Parametrización!$B$4=Parametrización!$R$12,Parametrización!U17,IF(Parametrización!$B$4=$I$12,L17,IF(Parametrización!$B$4=$R$19,U24,IF(Parametrización!$B$4=$AA$4,AD10,IF(Parametrización!$B$4=$AA$12,AD17,IF(Parametrización!$B$4=$AA$19,AD24,)))))))))</f>
        <v>1216.95</v>
      </c>
      <c r="F10" s="414">
        <f>+IF(Parametrización!$B$4=$I$19,M24,IF(Parametrización!$B$4=$R$4,V10,IF(Parametrización!$B$4=Parametrización!$I$4,Parametrización!M10,IF(Parametrización!$B$4=Parametrización!$R$12,Parametrización!V17,IF(Parametrización!$B$4=$I$12,M17,IF(Parametrización!$B$4=$R$19,V24,IF(Parametrización!$B$4=$AA$4,AE10,IF(Parametrización!$B$4=$AA$12,AE17,IF(Parametrización!$B$4=$AA$19,AE24,)))))))))</f>
        <v>0.36813344837503592</v>
      </c>
      <c r="G10" s="16"/>
      <c r="I10" s="443">
        <v>0.5</v>
      </c>
      <c r="J10" s="393">
        <v>1372</v>
      </c>
      <c r="K10" s="393">
        <v>1303</v>
      </c>
      <c r="L10" s="393">
        <f>3206*1.05</f>
        <v>3366.3</v>
      </c>
      <c r="M10" s="463">
        <f>+K10/L10</f>
        <v>0.38707185931141014</v>
      </c>
      <c r="N10" s="63">
        <v>7582</v>
      </c>
      <c r="O10" s="461">
        <v>449</v>
      </c>
      <c r="P10" s="528">
        <v>746</v>
      </c>
      <c r="R10" s="443">
        <f>+I24</f>
        <v>0.5</v>
      </c>
      <c r="S10" s="393">
        <v>617</v>
      </c>
      <c r="T10" s="393">
        <v>599</v>
      </c>
      <c r="U10" s="393">
        <f>1541*1.05</f>
        <v>1618.0500000000002</v>
      </c>
      <c r="V10" s="463">
        <f>+T10/U10</f>
        <v>0.37019869596118782</v>
      </c>
      <c r="W10" s="59">
        <f>+W8*N10/N8</f>
        <v>3225.3951804055832</v>
      </c>
      <c r="X10" s="393">
        <v>471</v>
      </c>
      <c r="Y10" s="528">
        <v>363</v>
      </c>
      <c r="Z10" s="526"/>
      <c r="AA10" s="443">
        <f>+R24</f>
        <v>0.5</v>
      </c>
      <c r="AB10" s="393">
        <v>587</v>
      </c>
      <c r="AC10" s="393">
        <v>565</v>
      </c>
      <c r="AD10" s="393">
        <f>1516*1.05</f>
        <v>1591.8</v>
      </c>
      <c r="AE10" s="463">
        <f>+AC10/AD10</f>
        <v>0.35494408845332331</v>
      </c>
      <c r="AF10" s="75">
        <f>+AF9*N10/N9</f>
        <v>3091.6069265209376</v>
      </c>
      <c r="AG10" s="393">
        <v>478</v>
      </c>
      <c r="AH10" s="528">
        <v>382</v>
      </c>
      <c r="AI10" s="456"/>
      <c r="AJ10" s="440">
        <v>0.5</v>
      </c>
      <c r="AK10" s="412">
        <v>4036.1120621543323</v>
      </c>
      <c r="AL10" s="412">
        <v>471</v>
      </c>
      <c r="AM10" s="59">
        <f>+AK10/3600*$C$43*(AL10-$C$42)</f>
        <v>415.62985102273728</v>
      </c>
      <c r="AN10" s="418">
        <v>458</v>
      </c>
      <c r="AP10" s="449" t="s">
        <v>22</v>
      </c>
      <c r="AQ10" s="15">
        <f t="array" ref="AQ10:AS10">+TRANSPOSE(AN8:AN10)</f>
        <v>887</v>
      </c>
      <c r="AR10" s="15">
        <v>662</v>
      </c>
      <c r="AS10" s="62">
        <v>458</v>
      </c>
      <c r="AV10" s="9" t="s">
        <v>439</v>
      </c>
    </row>
    <row r="11" spans="2:50" ht="15" customHeight="1" x14ac:dyDescent="0.25">
      <c r="C11" s="643"/>
      <c r="E11" s="15"/>
      <c r="F11" s="16"/>
      <c r="G11" s="14"/>
      <c r="R11" s="456"/>
      <c r="S11" s="456"/>
      <c r="T11" s="456"/>
      <c r="U11" s="456"/>
      <c r="V11" s="456"/>
      <c r="W11" s="456"/>
      <c r="X11" s="456"/>
      <c r="Y11" s="456"/>
      <c r="Z11" s="456"/>
      <c r="AA11" s="456"/>
      <c r="AB11" s="456"/>
      <c r="AC11" s="456"/>
      <c r="AD11" s="456"/>
      <c r="AE11" s="456"/>
      <c r="AF11" s="456"/>
      <c r="AG11" s="456"/>
      <c r="AH11" s="456"/>
      <c r="AI11" s="456"/>
      <c r="AP11" s="449" t="s">
        <v>8</v>
      </c>
      <c r="AQ11" s="15">
        <f t="array" ref="AQ11:AS11">+TRANSPOSE(AK8:AK10)</f>
        <v>8085</v>
      </c>
      <c r="AR11" s="15">
        <v>5937.5882275480644</v>
      </c>
      <c r="AS11" s="62">
        <v>4036.1120621543323</v>
      </c>
      <c r="AV11" s="9" t="s">
        <v>520</v>
      </c>
    </row>
    <row r="12" spans="2:50" ht="15.75" customHeight="1" x14ac:dyDescent="0.25">
      <c r="I12" s="688" t="s">
        <v>438</v>
      </c>
      <c r="J12" s="688"/>
      <c r="K12" s="688"/>
      <c r="L12" s="688"/>
      <c r="M12" s="688"/>
      <c r="N12" s="688"/>
      <c r="O12" s="688"/>
      <c r="P12" s="688"/>
      <c r="R12" s="687" t="s">
        <v>441</v>
      </c>
      <c r="S12" s="687"/>
      <c r="T12" s="687"/>
      <c r="U12" s="687"/>
      <c r="V12" s="687"/>
      <c r="W12" s="687"/>
      <c r="X12" s="687"/>
      <c r="Y12" s="687"/>
      <c r="Z12" s="466"/>
      <c r="AA12" s="687" t="s">
        <v>519</v>
      </c>
      <c r="AB12" s="687"/>
      <c r="AC12" s="687"/>
      <c r="AD12" s="687"/>
      <c r="AE12" s="687"/>
      <c r="AF12" s="687"/>
      <c r="AG12" s="687"/>
      <c r="AH12" s="687"/>
      <c r="AI12" s="456"/>
      <c r="AK12" s="431" t="s">
        <v>18</v>
      </c>
      <c r="AL12" s="402" t="s">
        <v>19</v>
      </c>
      <c r="AM12" s="402" t="s">
        <v>20</v>
      </c>
      <c r="AN12" s="403" t="s">
        <v>21</v>
      </c>
      <c r="AP12" s="435" t="s">
        <v>12</v>
      </c>
      <c r="AQ12" s="59">
        <f t="array" ref="AQ12:AS12">+TRANSPOSE(AL8:AL10)</f>
        <v>403</v>
      </c>
      <c r="AR12" s="59">
        <v>436</v>
      </c>
      <c r="AS12" s="663">
        <v>471</v>
      </c>
      <c r="AV12" s="9" t="s">
        <v>517</v>
      </c>
    </row>
    <row r="13" spans="2:50" ht="27.75" customHeight="1" x14ac:dyDescent="0.25">
      <c r="B13" s="405"/>
      <c r="C13" s="428">
        <f t="array" ref="C13:E13">+TRANSPOSE(B8:B10)</f>
        <v>1</v>
      </c>
      <c r="D13" s="429">
        <v>0.74916759156492785</v>
      </c>
      <c r="E13" s="430">
        <v>0.49722530521642622</v>
      </c>
      <c r="I13" s="398" t="s">
        <v>7</v>
      </c>
      <c r="J13" s="398" t="s">
        <v>23</v>
      </c>
      <c r="K13" s="396" t="s">
        <v>15</v>
      </c>
      <c r="L13" s="396" t="s">
        <v>401</v>
      </c>
      <c r="M13" s="397" t="s">
        <v>24</v>
      </c>
      <c r="N13" s="399" t="s">
        <v>8</v>
      </c>
      <c r="O13" s="399" t="s">
        <v>12</v>
      </c>
      <c r="P13" s="404" t="s">
        <v>22</v>
      </c>
      <c r="R13" s="398" t="s">
        <v>7</v>
      </c>
      <c r="S13" s="398" t="s">
        <v>23</v>
      </c>
      <c r="T13" s="396" t="s">
        <v>15</v>
      </c>
      <c r="U13" s="396" t="s">
        <v>401</v>
      </c>
      <c r="V13" s="397" t="s">
        <v>24</v>
      </c>
      <c r="W13" s="399" t="s">
        <v>8</v>
      </c>
      <c r="X13" s="399" t="s">
        <v>12</v>
      </c>
      <c r="Y13" s="404" t="s">
        <v>22</v>
      </c>
      <c r="Z13" s="457"/>
      <c r="AA13" s="398" t="s">
        <v>7</v>
      </c>
      <c r="AB13" s="398" t="s">
        <v>23</v>
      </c>
      <c r="AC13" s="396" t="s">
        <v>15</v>
      </c>
      <c r="AD13" s="396" t="s">
        <v>401</v>
      </c>
      <c r="AE13" s="397" t="s">
        <v>24</v>
      </c>
      <c r="AF13" s="399" t="s">
        <v>8</v>
      </c>
      <c r="AG13" s="399" t="s">
        <v>12</v>
      </c>
      <c r="AH13" s="404" t="s">
        <v>22</v>
      </c>
      <c r="AI13" s="456"/>
      <c r="AJ13" s="445" t="s">
        <v>14</v>
      </c>
      <c r="AK13" s="640">
        <f t="array" ref="AK13:AN13">+LINEST(AQ9:AS9,AQ4:AS4^{1;2;3},TRUE,TRUE)</f>
        <v>-58.344133048508297</v>
      </c>
      <c r="AL13" s="641">
        <v>0</v>
      </c>
      <c r="AM13" s="641">
        <v>593.90786412274838</v>
      </c>
      <c r="AN13" s="642">
        <v>125.9689355924266</v>
      </c>
      <c r="AV13" s="9" t="s">
        <v>440</v>
      </c>
    </row>
    <row r="14" spans="2:50" ht="15" customHeight="1" x14ac:dyDescent="0.2">
      <c r="B14" s="424" t="str">
        <f>+D6</f>
        <v>PE</v>
      </c>
      <c r="C14" s="401">
        <f t="array" ref="C14:E16">+TRANSPOSE(D8:F10)</f>
        <v>901</v>
      </c>
      <c r="D14" s="401">
        <v>675</v>
      </c>
      <c r="E14" s="421">
        <v>448</v>
      </c>
      <c r="I14" s="394" t="s">
        <v>9</v>
      </c>
      <c r="J14" s="68" t="s">
        <v>11</v>
      </c>
      <c r="K14" s="13" t="s">
        <v>0</v>
      </c>
      <c r="L14" s="13" t="s">
        <v>10</v>
      </c>
      <c r="M14" s="69" t="s">
        <v>9</v>
      </c>
      <c r="N14" s="13" t="s">
        <v>16</v>
      </c>
      <c r="O14" s="13" t="s">
        <v>17</v>
      </c>
      <c r="P14" s="69" t="s">
        <v>3</v>
      </c>
      <c r="R14" s="394" t="s">
        <v>9</v>
      </c>
      <c r="S14" s="68" t="s">
        <v>11</v>
      </c>
      <c r="T14" s="13" t="s">
        <v>0</v>
      </c>
      <c r="U14" s="13" t="s">
        <v>10</v>
      </c>
      <c r="V14" s="69" t="s">
        <v>9</v>
      </c>
      <c r="W14" s="13" t="s">
        <v>16</v>
      </c>
      <c r="X14" s="13" t="s">
        <v>17</v>
      </c>
      <c r="Y14" s="69" t="s">
        <v>3</v>
      </c>
      <c r="Z14" s="459"/>
      <c r="AA14" s="394" t="s">
        <v>9</v>
      </c>
      <c r="AB14" s="68" t="s">
        <v>11</v>
      </c>
      <c r="AC14" s="13" t="s">
        <v>0</v>
      </c>
      <c r="AD14" s="13" t="s">
        <v>10</v>
      </c>
      <c r="AE14" s="69" t="s">
        <v>9</v>
      </c>
      <c r="AF14" s="13" t="s">
        <v>16</v>
      </c>
      <c r="AG14" s="13" t="s">
        <v>17</v>
      </c>
      <c r="AH14" s="69" t="s">
        <v>3</v>
      </c>
      <c r="AI14" s="456"/>
      <c r="AJ14" s="445" t="s">
        <v>22</v>
      </c>
      <c r="AK14" s="19">
        <f t="array" ref="AK14:AN14">+LINEST(AQ10:AS10,AQ4:AS4^{1;2;3},TRUE,TRUE)</f>
        <v>74.666666666666316</v>
      </c>
      <c r="AL14" s="20">
        <v>0</v>
      </c>
      <c r="AM14" s="20">
        <v>727.33333333333383</v>
      </c>
      <c r="AN14" s="21">
        <v>84.999999999999829</v>
      </c>
      <c r="AV14" s="9" t="s">
        <v>441</v>
      </c>
    </row>
    <row r="15" spans="2:50" ht="15" customHeight="1" x14ac:dyDescent="0.25">
      <c r="B15" s="425" t="str">
        <f>+E6</f>
        <v>GNL</v>
      </c>
      <c r="C15" s="56">
        <v>2251.2000000000003</v>
      </c>
      <c r="D15" s="56">
        <v>1734.6000000000001</v>
      </c>
      <c r="E15" s="57">
        <v>1216.95</v>
      </c>
      <c r="I15" s="441">
        <v>1</v>
      </c>
      <c r="J15" s="391">
        <v>928</v>
      </c>
      <c r="K15" s="391">
        <v>901</v>
      </c>
      <c r="L15" s="391">
        <f>2144*1.05</f>
        <v>2251.2000000000003</v>
      </c>
      <c r="M15" s="416">
        <f>+K15/L15</f>
        <v>0.40023098791755501</v>
      </c>
      <c r="N15" s="60">
        <v>4863</v>
      </c>
      <c r="O15" s="391">
        <v>403</v>
      </c>
      <c r="P15" s="93">
        <v>524</v>
      </c>
      <c r="R15" s="441">
        <v>1</v>
      </c>
      <c r="S15" s="391">
        <v>3431</v>
      </c>
      <c r="T15" s="391">
        <v>3334</v>
      </c>
      <c r="U15" s="391">
        <f>7541*1.05</f>
        <v>7918.05</v>
      </c>
      <c r="V15" s="416">
        <f>+T15/U15</f>
        <v>0.42106326683968903</v>
      </c>
      <c r="W15" s="60">
        <v>18356</v>
      </c>
      <c r="X15" s="391">
        <v>389</v>
      </c>
      <c r="Y15" s="93">
        <v>1885</v>
      </c>
      <c r="Z15" s="526"/>
      <c r="AA15" s="441">
        <v>1</v>
      </c>
      <c r="AB15" s="391">
        <v>880</v>
      </c>
      <c r="AC15" s="391">
        <v>850</v>
      </c>
      <c r="AD15" s="391">
        <f>2066*1.05</f>
        <v>2169.3000000000002</v>
      </c>
      <c r="AE15" s="416">
        <f>+AC15/AD15</f>
        <v>0.39183146637164057</v>
      </c>
      <c r="AF15" s="60">
        <v>4654</v>
      </c>
      <c r="AG15" s="391">
        <v>425</v>
      </c>
      <c r="AH15" s="93">
        <v>502</v>
      </c>
      <c r="AI15" s="456"/>
    </row>
    <row r="16" spans="2:50" ht="15" customHeight="1" x14ac:dyDescent="0.25">
      <c r="B16" s="426" t="str">
        <f>+F6</f>
        <v>RE</v>
      </c>
      <c r="C16" s="66">
        <v>0.40023098791755501</v>
      </c>
      <c r="D16" s="66">
        <v>0.38913870632998959</v>
      </c>
      <c r="E16" s="67">
        <v>0.36813344837503592</v>
      </c>
      <c r="I16" s="442">
        <v>0.75</v>
      </c>
      <c r="J16" s="392">
        <v>696</v>
      </c>
      <c r="K16" s="392">
        <v>675</v>
      </c>
      <c r="L16" s="392">
        <f>1652*1.05</f>
        <v>1734.6000000000001</v>
      </c>
      <c r="M16" s="462">
        <f>+K16/L16</f>
        <v>0.38913870632998959</v>
      </c>
      <c r="N16" s="15">
        <f>N15*N9/N8</f>
        <v>3571.3656834342901</v>
      </c>
      <c r="O16" s="392">
        <v>436</v>
      </c>
      <c r="P16" s="527">
        <v>393</v>
      </c>
      <c r="R16" s="442">
        <v>0.75</v>
      </c>
      <c r="S16" s="392">
        <v>2573</v>
      </c>
      <c r="T16" s="392">
        <v>2488</v>
      </c>
      <c r="U16" s="392">
        <f>5852*1.05</f>
        <v>6144.6</v>
      </c>
      <c r="V16" s="462">
        <f>+T16/U16</f>
        <v>0.40490837483318681</v>
      </c>
      <c r="W16" s="15">
        <f>+W15*N9/N8</f>
        <v>13480.565183039242</v>
      </c>
      <c r="X16" s="392">
        <v>446</v>
      </c>
      <c r="Y16" s="527">
        <v>1316</v>
      </c>
      <c r="Z16" s="526"/>
      <c r="AA16" s="442">
        <v>0.75</v>
      </c>
      <c r="AB16" s="392">
        <v>660</v>
      </c>
      <c r="AC16" s="392">
        <v>634</v>
      </c>
      <c r="AD16" s="392">
        <f>1601*1.05</f>
        <v>1681.0500000000002</v>
      </c>
      <c r="AE16" s="462">
        <f>+AC16/AD16</f>
        <v>0.37714523660807231</v>
      </c>
      <c r="AF16" s="15">
        <f>AF15*N9/N8</f>
        <v>3417.8770081643402</v>
      </c>
      <c r="AG16" s="392">
        <f>+AG9</f>
        <v>442</v>
      </c>
      <c r="AH16" s="527">
        <v>385</v>
      </c>
      <c r="AI16" s="456"/>
      <c r="AJ16" s="432" t="s">
        <v>7</v>
      </c>
      <c r="AK16" s="433" t="s">
        <v>15</v>
      </c>
      <c r="AL16" s="639" t="s">
        <v>401</v>
      </c>
      <c r="AM16" s="639" t="s">
        <v>24</v>
      </c>
      <c r="AN16" s="639" t="str">
        <f>+AJ13</f>
        <v>Pot. GE</v>
      </c>
      <c r="AO16" s="639" t="str">
        <f>+AJ14</f>
        <v>Pot HT</v>
      </c>
      <c r="AP16" s="639" t="s">
        <v>8</v>
      </c>
      <c r="AQ16" s="639" t="s">
        <v>521</v>
      </c>
    </row>
    <row r="17" spans="2:43" ht="15" customHeight="1" x14ac:dyDescent="0.25">
      <c r="B17" s="10"/>
      <c r="I17" s="443">
        <v>0.5</v>
      </c>
      <c r="J17" s="393">
        <v>464</v>
      </c>
      <c r="K17" s="393">
        <v>448</v>
      </c>
      <c r="L17" s="393">
        <f>1159*1.05</f>
        <v>1216.95</v>
      </c>
      <c r="M17" s="463">
        <f>+K17/L17</f>
        <v>0.36813344837503592</v>
      </c>
      <c r="N17" s="59">
        <f>N15*N10/N8</f>
        <v>2427.6577561232552</v>
      </c>
      <c r="O17" s="393">
        <v>471</v>
      </c>
      <c r="P17" s="528">
        <v>274</v>
      </c>
      <c r="R17" s="443">
        <v>0.5</v>
      </c>
      <c r="S17" s="393">
        <v>1715</v>
      </c>
      <c r="T17" s="393">
        <v>1639</v>
      </c>
      <c r="U17" s="393">
        <f>4097*1.05</f>
        <v>4301.8500000000004</v>
      </c>
      <c r="V17" s="463">
        <f>+T17/U17</f>
        <v>0.38099887257807685</v>
      </c>
      <c r="W17" s="59">
        <f>+W15*N10/N8</f>
        <v>9163.496971293127</v>
      </c>
      <c r="X17" s="393">
        <v>503</v>
      </c>
      <c r="Y17" s="528">
        <v>852</v>
      </c>
      <c r="Z17" s="526"/>
      <c r="AA17" s="443">
        <v>0.5</v>
      </c>
      <c r="AB17" s="393">
        <v>440</v>
      </c>
      <c r="AC17" s="393">
        <v>418</v>
      </c>
      <c r="AD17" s="393">
        <f>1137*1.05</f>
        <v>1193.8500000000001</v>
      </c>
      <c r="AE17" s="463">
        <f>+AC17/AD17</f>
        <v>0.35012773799053476</v>
      </c>
      <c r="AF17" s="59">
        <f>AF15*N10/N8</f>
        <v>2323.3228864893335</v>
      </c>
      <c r="AG17" s="393">
        <f>+AG10</f>
        <v>478</v>
      </c>
      <c r="AH17" s="528">
        <v>275</v>
      </c>
      <c r="AI17" s="456"/>
      <c r="AJ17" s="17">
        <v>0.91</v>
      </c>
      <c r="AK17" s="670">
        <f>$AK$20*AJ17^3+$AL$20*AJ17^2+$AM$20*AJ17+$AN$20</f>
        <v>1365.912384</v>
      </c>
      <c r="AL17" s="670">
        <f>$AK$21*AJ17^3+$AL$21*AJ17^2+$AM$21*AJ17+$AN$21</f>
        <v>3434.1890015999998</v>
      </c>
      <c r="AM17" s="420">
        <f>$AK$22*AJ17^3+$AL$22*AJ17^2+$AM$22*AJ17+$AN$22</f>
        <v>0.39841903315294336</v>
      </c>
      <c r="AN17" s="670">
        <f>$AK$13*AJ17^3+$AL$13*AJ17^2+$AM$13*AJ17+$AN$13</f>
        <v>622.45864525863021</v>
      </c>
      <c r="AO17" s="670">
        <f>$AK$14*AJ17^3+$AL$14*AJ17^2+$AM$14*AJ17+$AN$14</f>
        <v>803.13996799999995</v>
      </c>
      <c r="AP17" s="670">
        <f>$AK$24*AJ17^3+$AL$24*AJ17^2+$AM$24*AJ17+$AN$24</f>
        <v>7278.4372997208338</v>
      </c>
      <c r="AQ17" s="670">
        <f>$AK$25*AJ17^3+$AL$25*AJ17^2+$AM$25*AJ17+$AN$25</f>
        <v>414.60761600000001</v>
      </c>
    </row>
    <row r="18" spans="2:43" ht="15" customHeight="1" x14ac:dyDescent="0.25">
      <c r="B18" s="432" t="s">
        <v>7</v>
      </c>
      <c r="C18" s="433" t="s">
        <v>15</v>
      </c>
      <c r="D18" s="24" t="s">
        <v>81</v>
      </c>
      <c r="E18" s="24" t="s">
        <v>24</v>
      </c>
      <c r="Z18" s="456"/>
      <c r="AA18" s="456"/>
      <c r="AB18" s="456"/>
      <c r="AC18" s="456"/>
      <c r="AD18" s="456"/>
      <c r="AE18" s="456"/>
      <c r="AF18" s="456"/>
      <c r="AG18" s="456"/>
      <c r="AH18" s="456"/>
      <c r="AI18" s="456"/>
    </row>
    <row r="19" spans="2:43" ht="15" customHeight="1" x14ac:dyDescent="0.25">
      <c r="B19" s="17">
        <v>0.75</v>
      </c>
      <c r="C19" s="419">
        <f>$C$22*B19^3+$D$22*B19^2+$E$22*B19+$F$22</f>
        <v>675.75</v>
      </c>
      <c r="D19" s="419">
        <f>$C$23*B19^3+$D$23*B19^2+$E$23*B19+$F$23</f>
        <v>1736.3121217497776</v>
      </c>
      <c r="E19" s="420">
        <f>$C$24*B19^3+$D$24*B19^2+$E$24*B19+$F$24</f>
        <v>0.38919354552115831</v>
      </c>
      <c r="I19" s="688" t="s">
        <v>439</v>
      </c>
      <c r="J19" s="688"/>
      <c r="K19" s="688"/>
      <c r="L19" s="688"/>
      <c r="M19" s="688"/>
      <c r="N19" s="688"/>
      <c r="O19" s="688"/>
      <c r="P19" s="688"/>
      <c r="R19" s="687" t="s">
        <v>517</v>
      </c>
      <c r="S19" s="687"/>
      <c r="T19" s="687"/>
      <c r="U19" s="687"/>
      <c r="V19" s="687"/>
      <c r="W19" s="687"/>
      <c r="X19" s="687"/>
      <c r="Y19" s="687"/>
      <c r="Z19" s="456"/>
      <c r="AA19" s="688" t="s">
        <v>520</v>
      </c>
      <c r="AB19" s="688"/>
      <c r="AC19" s="688"/>
      <c r="AD19" s="688"/>
      <c r="AE19" s="688"/>
      <c r="AF19" s="688"/>
      <c r="AG19" s="688"/>
      <c r="AH19" s="688"/>
      <c r="AI19" s="456"/>
      <c r="AJ19" s="10"/>
      <c r="AK19" s="431" t="s">
        <v>18</v>
      </c>
      <c r="AL19" s="402" t="s">
        <v>19</v>
      </c>
      <c r="AM19" s="402" t="s">
        <v>20</v>
      </c>
      <c r="AN19" s="403" t="s">
        <v>21</v>
      </c>
    </row>
    <row r="20" spans="2:43" ht="25.5" x14ac:dyDescent="0.25">
      <c r="I20" s="398" t="s">
        <v>7</v>
      </c>
      <c r="J20" s="398" t="s">
        <v>23</v>
      </c>
      <c r="K20" s="396" t="s">
        <v>15</v>
      </c>
      <c r="L20" s="396" t="s">
        <v>401</v>
      </c>
      <c r="M20" s="397" t="s">
        <v>24</v>
      </c>
      <c r="N20" s="399" t="s">
        <v>8</v>
      </c>
      <c r="O20" s="399" t="s">
        <v>12</v>
      </c>
      <c r="P20" s="404" t="s">
        <v>22</v>
      </c>
      <c r="R20" s="398" t="s">
        <v>7</v>
      </c>
      <c r="S20" s="398" t="s">
        <v>23</v>
      </c>
      <c r="T20" s="396" t="s">
        <v>15</v>
      </c>
      <c r="U20" s="396" t="s">
        <v>401</v>
      </c>
      <c r="V20" s="397" t="s">
        <v>24</v>
      </c>
      <c r="W20" s="399" t="s">
        <v>8</v>
      </c>
      <c r="X20" s="399" t="s">
        <v>12</v>
      </c>
      <c r="Y20" s="404" t="s">
        <v>22</v>
      </c>
      <c r="Z20" s="456"/>
      <c r="AA20" s="398" t="s">
        <v>7</v>
      </c>
      <c r="AB20" s="398" t="s">
        <v>23</v>
      </c>
      <c r="AC20" s="396" t="s">
        <v>15</v>
      </c>
      <c r="AD20" s="396" t="s">
        <v>401</v>
      </c>
      <c r="AE20" s="397" t="s">
        <v>24</v>
      </c>
      <c r="AF20" s="399" t="s">
        <v>8</v>
      </c>
      <c r="AG20" s="399" t="s">
        <v>12</v>
      </c>
      <c r="AH20" s="404" t="s">
        <v>22</v>
      </c>
      <c r="AI20" s="456"/>
      <c r="AJ20" s="427" t="str">
        <f>+AP6</f>
        <v>PE</v>
      </c>
      <c r="AK20" s="79">
        <f t="array" ref="AK20:AN20">+LINEST(AQ6:AS6,AQ4:AS4^{1;2;3},TRUE,TRUE)</f>
        <v>-7.1111111111113994</v>
      </c>
      <c r="AL20" s="80">
        <v>0</v>
      </c>
      <c r="AM20" s="80">
        <v>1520.4444444444453</v>
      </c>
      <c r="AN20" s="81">
        <v>-12.333333333333867</v>
      </c>
    </row>
    <row r="21" spans="2:43" ht="24.75" customHeight="1" x14ac:dyDescent="0.25">
      <c r="B21" s="10"/>
      <c r="C21" s="431" t="s">
        <v>18</v>
      </c>
      <c r="D21" s="402" t="s">
        <v>19</v>
      </c>
      <c r="E21" s="402" t="s">
        <v>20</v>
      </c>
      <c r="F21" s="403" t="s">
        <v>21</v>
      </c>
      <c r="I21" s="394" t="s">
        <v>9</v>
      </c>
      <c r="J21" s="68" t="s">
        <v>11</v>
      </c>
      <c r="K21" s="13" t="s">
        <v>0</v>
      </c>
      <c r="L21" s="13" t="s">
        <v>10</v>
      </c>
      <c r="M21" s="69" t="s">
        <v>9</v>
      </c>
      <c r="N21" s="13" t="s">
        <v>16</v>
      </c>
      <c r="O21" s="13" t="s">
        <v>17</v>
      </c>
      <c r="P21" s="69" t="s">
        <v>3</v>
      </c>
      <c r="R21" s="394" t="s">
        <v>9</v>
      </c>
      <c r="S21" s="68" t="s">
        <v>11</v>
      </c>
      <c r="T21" s="13" t="s">
        <v>0</v>
      </c>
      <c r="U21" s="13" t="s">
        <v>10</v>
      </c>
      <c r="V21" s="69" t="s">
        <v>9</v>
      </c>
      <c r="W21" s="13" t="s">
        <v>16</v>
      </c>
      <c r="X21" s="13" t="s">
        <v>17</v>
      </c>
      <c r="Y21" s="69" t="s">
        <v>3</v>
      </c>
      <c r="Z21" s="456"/>
      <c r="AA21" s="394" t="s">
        <v>9</v>
      </c>
      <c r="AB21" s="68" t="s">
        <v>11</v>
      </c>
      <c r="AC21" s="13" t="s">
        <v>0</v>
      </c>
      <c r="AD21" s="13" t="s">
        <v>10</v>
      </c>
      <c r="AE21" s="69" t="s">
        <v>9</v>
      </c>
      <c r="AF21" s="13" t="s">
        <v>16</v>
      </c>
      <c r="AG21" s="13" t="s">
        <v>17</v>
      </c>
      <c r="AH21" s="69" t="s">
        <v>3</v>
      </c>
      <c r="AI21" s="456"/>
      <c r="AJ21" s="427" t="str">
        <f>+AP7</f>
        <v>Consumo</v>
      </c>
      <c r="AK21" s="82">
        <f t="array" ref="AK21:AN21">+LINEST(AQ7:AS7,AQ4:AS4^{1;2;3},TRUE,TRUE)</f>
        <v>-3.7333333333329022</v>
      </c>
      <c r="AL21" s="56">
        <v>0</v>
      </c>
      <c r="AM21" s="56">
        <v>3444.2333333333322</v>
      </c>
      <c r="AN21" s="57">
        <v>302.75000000000051</v>
      </c>
    </row>
    <row r="22" spans="2:43" ht="15" customHeight="1" x14ac:dyDescent="0.25">
      <c r="B22" s="427" t="str">
        <f>+B14</f>
        <v>PE</v>
      </c>
      <c r="C22" s="79">
        <f t="array" ref="C22:F22">+LINEST(C14:E14,C13:E13^{1;2;3},TRUE,TRUE)</f>
        <v>2.703499979267497E-13</v>
      </c>
      <c r="D22" s="80">
        <v>0</v>
      </c>
      <c r="E22" s="80">
        <v>900.99999999999966</v>
      </c>
      <c r="F22" s="81">
        <v>8.8287399134165692E-14</v>
      </c>
      <c r="I22" s="441">
        <v>1</v>
      </c>
      <c r="J22" s="391">
        <v>1540</v>
      </c>
      <c r="K22" s="391">
        <v>1501</v>
      </c>
      <c r="L22" s="391">
        <f>3565*1.05</f>
        <v>3743.25</v>
      </c>
      <c r="M22" s="416">
        <f>+K22/L22</f>
        <v>0.40098844586923127</v>
      </c>
      <c r="N22" s="60">
        <v>8085</v>
      </c>
      <c r="O22" s="391">
        <v>403</v>
      </c>
      <c r="P22" s="93">
        <v>887</v>
      </c>
      <c r="R22" s="441">
        <v>1</v>
      </c>
      <c r="S22" s="391">
        <v>2058</v>
      </c>
      <c r="T22" s="391">
        <v>1979</v>
      </c>
      <c r="U22" s="391">
        <f>4484*1.05</f>
        <v>4708.2</v>
      </c>
      <c r="V22" s="416">
        <f>+T22/U22</f>
        <v>0.42033048723503674</v>
      </c>
      <c r="W22" s="60">
        <v>11340</v>
      </c>
      <c r="X22" s="391">
        <v>371</v>
      </c>
      <c r="Y22" s="93">
        <v>1108</v>
      </c>
      <c r="Z22" s="456"/>
      <c r="AA22" s="441">
        <v>1</v>
      </c>
      <c r="AB22" s="391">
        <v>2058</v>
      </c>
      <c r="AC22" s="391">
        <v>2004</v>
      </c>
      <c r="AD22" s="391">
        <f>4525*1.05</f>
        <v>4751.25</v>
      </c>
      <c r="AE22" s="416">
        <f>+AC22/AD22</f>
        <v>0.42178374112075767</v>
      </c>
      <c r="AF22" s="60">
        <v>11014</v>
      </c>
      <c r="AG22" s="391">
        <v>389</v>
      </c>
      <c r="AH22" s="93">
        <v>987</v>
      </c>
      <c r="AI22" s="456"/>
      <c r="AJ22" s="427" t="str">
        <f>+AP8</f>
        <v>RE</v>
      </c>
      <c r="AK22" s="76">
        <f t="array" ref="AK22:AN22">+LINEST(AQ8:AS8,AQ4:AS4^{1;2;3},TRUE,TRUE)</f>
        <v>-3.5858129912814452E-2</v>
      </c>
      <c r="AL22" s="77">
        <v>0</v>
      </c>
      <c r="AM22" s="77">
        <v>0.12673217569525363</v>
      </c>
      <c r="AN22" s="78">
        <v>0.31011440008679209</v>
      </c>
    </row>
    <row r="23" spans="2:43" ht="15" customHeight="1" x14ac:dyDescent="0.25">
      <c r="B23" s="427" t="str">
        <f>+B15</f>
        <v>GNL</v>
      </c>
      <c r="C23" s="82">
        <f t="array" ref="C23:F23">+LINEST(C15:E15,C13:E13^{1;2;3},TRUE,TRUE)</f>
        <v>4.3431247309241368</v>
      </c>
      <c r="D23" s="56">
        <v>0</v>
      </c>
      <c r="E23" s="56">
        <v>2049.5080370606283</v>
      </c>
      <c r="F23" s="57">
        <v>197.34883820844757</v>
      </c>
      <c r="I23" s="442">
        <v>0.75</v>
      </c>
      <c r="J23" s="392">
        <v>1155</v>
      </c>
      <c r="K23" s="392">
        <v>1125</v>
      </c>
      <c r="L23" s="392">
        <f>2747*1.05</f>
        <v>2884.35</v>
      </c>
      <c r="M23" s="462">
        <f>+K23/L23</f>
        <v>0.39003588330126371</v>
      </c>
      <c r="N23" s="15">
        <f>N22*N9/N8</f>
        <v>5937.5882275480644</v>
      </c>
      <c r="O23" s="392">
        <v>436</v>
      </c>
      <c r="P23" s="527">
        <v>662</v>
      </c>
      <c r="R23" s="442">
        <v>0.75</v>
      </c>
      <c r="S23" s="392">
        <v>1544</v>
      </c>
      <c r="T23" s="392">
        <v>1479</v>
      </c>
      <c r="U23" s="392">
        <f>3439*1.05</f>
        <v>3610.9500000000003</v>
      </c>
      <c r="V23" s="462">
        <f>+T23/U23</f>
        <v>0.40958750467328542</v>
      </c>
      <c r="W23" s="15">
        <f>+W22*N9/N8</f>
        <v>8328.0458256518305</v>
      </c>
      <c r="X23" s="392">
        <v>419</v>
      </c>
      <c r="Y23" s="527">
        <v>792</v>
      </c>
      <c r="AA23" s="442">
        <v>0.75</v>
      </c>
      <c r="AB23" s="392">
        <v>1544</v>
      </c>
      <c r="AC23" s="392">
        <v>1499</v>
      </c>
      <c r="AD23" s="392">
        <f>3511*1.05</f>
        <v>3686.55</v>
      </c>
      <c r="AE23" s="462">
        <f>+AC23/AD23</f>
        <v>0.40661322917090503</v>
      </c>
      <c r="AF23" s="15">
        <f>+AF22*W9/W8</f>
        <v>8088.6328680537272</v>
      </c>
      <c r="AG23" s="392">
        <v>446</v>
      </c>
      <c r="AH23" s="527">
        <v>677</v>
      </c>
      <c r="AK23" s="431" t="s">
        <v>18</v>
      </c>
      <c r="AL23" s="402" t="s">
        <v>19</v>
      </c>
      <c r="AM23" s="402" t="s">
        <v>20</v>
      </c>
      <c r="AN23" s="403" t="s">
        <v>21</v>
      </c>
    </row>
    <row r="24" spans="2:43" ht="15" customHeight="1" x14ac:dyDescent="0.25">
      <c r="B24" s="427" t="str">
        <f>+B16</f>
        <v>RE</v>
      </c>
      <c r="C24" s="76">
        <f t="array" ref="C24:F24">+LINEST(C16:E16,C13:E13^{1;2;3},TRUE,TRUE)</f>
        <v>-3.4664765536857378E-2</v>
      </c>
      <c r="D24" s="77">
        <v>0</v>
      </c>
      <c r="E24" s="77">
        <v>0.12431203988956945</v>
      </c>
      <c r="F24" s="78">
        <v>0.31058371356484293</v>
      </c>
      <c r="I24" s="443">
        <v>0.5</v>
      </c>
      <c r="J24" s="393">
        <v>770</v>
      </c>
      <c r="K24" s="393">
        <v>747</v>
      </c>
      <c r="L24" s="393">
        <f>1928*1.05</f>
        <v>2024.4</v>
      </c>
      <c r="M24" s="463">
        <f>+K24/L24</f>
        <v>0.3689982216953171</v>
      </c>
      <c r="N24" s="59">
        <f>N22*N10/N8</f>
        <v>4036.1120621543323</v>
      </c>
      <c r="O24" s="393">
        <v>471</v>
      </c>
      <c r="P24" s="528">
        <v>458</v>
      </c>
      <c r="R24" s="443">
        <v>0.5</v>
      </c>
      <c r="S24" s="393">
        <v>1029</v>
      </c>
      <c r="T24" s="393">
        <v>972</v>
      </c>
      <c r="U24" s="393">
        <f>2394*1.05</f>
        <v>2513.7000000000003</v>
      </c>
      <c r="V24" s="463">
        <f>+T24/U24</f>
        <v>0.38668098818474755</v>
      </c>
      <c r="W24" s="59">
        <f>+W22*N10/N8</f>
        <v>5661.0402949697127</v>
      </c>
      <c r="X24" s="393">
        <v>449</v>
      </c>
      <c r="Y24" s="528">
        <v>554</v>
      </c>
      <c r="AA24" s="443">
        <v>0.5</v>
      </c>
      <c r="AB24" s="393">
        <v>1029</v>
      </c>
      <c r="AC24" s="393">
        <v>992</v>
      </c>
      <c r="AD24" s="393">
        <f>2458*1.05</f>
        <v>2580.9</v>
      </c>
      <c r="AE24" s="463">
        <f>+AC24/AD24</f>
        <v>0.38436204424813047</v>
      </c>
      <c r="AF24" s="59">
        <f>+AF22*W10/W8</f>
        <v>5498.297866736897</v>
      </c>
      <c r="AG24" s="393">
        <v>503</v>
      </c>
      <c r="AH24" s="528">
        <v>425</v>
      </c>
      <c r="AJ24" s="445" t="s">
        <v>8</v>
      </c>
      <c r="AK24" s="640">
        <f t="array" ref="AK24:AN24">+LINEST(AQ11:AS11,AQ4:AS4^{1;2;3},TRUE,TRUE)</f>
        <v>874.43771398472336</v>
      </c>
      <c r="AL24" s="641">
        <v>0</v>
      </c>
      <c r="AM24" s="641">
        <v>6567.5098762180696</v>
      </c>
      <c r="AN24" s="642">
        <v>643.05240979720816</v>
      </c>
    </row>
    <row r="25" spans="2:43" ht="15" customHeight="1" x14ac:dyDescent="0.25">
      <c r="S25" s="467"/>
      <c r="T25" s="467"/>
      <c r="U25" s="467"/>
      <c r="V25" s="467"/>
      <c r="W25" s="467"/>
      <c r="X25" s="467"/>
      <c r="Y25" s="467"/>
      <c r="Z25" s="467"/>
      <c r="AA25" s="467"/>
      <c r="AB25" s="467"/>
      <c r="AC25" s="467"/>
      <c r="AD25" s="467"/>
      <c r="AE25" s="467"/>
      <c r="AJ25" s="445" t="s">
        <v>521</v>
      </c>
      <c r="AK25" s="640">
        <f t="array" ref="AK25:AN25">+LINEST(AQ12:AS12,AQ4:AS4^{1;2;3},TRUE,TRUE)</f>
        <v>7.11111111111114</v>
      </c>
      <c r="AL25" s="641">
        <v>0</v>
      </c>
      <c r="AM25" s="641">
        <v>-148.44444444444449</v>
      </c>
      <c r="AN25" s="642">
        <v>544.33333333333337</v>
      </c>
    </row>
    <row r="26" spans="2:43" ht="15" customHeight="1" x14ac:dyDescent="0.25">
      <c r="G26" s="9">
        <f>+E31*2*1.3</f>
        <v>1034.5438133333334</v>
      </c>
      <c r="X26" s="467"/>
      <c r="Y26" s="467"/>
      <c r="Z26" s="467"/>
    </row>
    <row r="27" spans="2:43" ht="15" customHeight="1" x14ac:dyDescent="0.25">
      <c r="B27" s="685" t="s">
        <v>437</v>
      </c>
      <c r="C27" s="685"/>
      <c r="D27" s="685"/>
      <c r="E27" s="685"/>
      <c r="F27" s="685"/>
      <c r="H27" s="456"/>
      <c r="I27" s="686" t="s">
        <v>434</v>
      </c>
      <c r="J27" s="686"/>
      <c r="K27" s="686"/>
      <c r="L27" s="686"/>
      <c r="M27" s="686"/>
      <c r="N27" s="686"/>
      <c r="O27" s="686"/>
      <c r="P27" s="686"/>
      <c r="Q27" s="686"/>
      <c r="R27" s="686"/>
      <c r="S27" s="14"/>
      <c r="T27" s="14"/>
      <c r="U27" s="686" t="s">
        <v>447</v>
      </c>
      <c r="V27" s="686"/>
      <c r="W27" s="686"/>
      <c r="X27" s="686"/>
      <c r="Y27" s="686"/>
      <c r="Z27" s="529"/>
    </row>
    <row r="28" spans="2:43" ht="5.25" customHeight="1" x14ac:dyDescent="0.25">
      <c r="H28" s="456"/>
      <c r="S28" s="14"/>
      <c r="T28" s="14"/>
      <c r="Z28" s="467"/>
    </row>
    <row r="29" spans="2:43" ht="25.5" x14ac:dyDescent="0.25">
      <c r="B29" s="398" t="s">
        <v>7</v>
      </c>
      <c r="C29" s="399" t="s">
        <v>8</v>
      </c>
      <c r="D29" s="399" t="s">
        <v>12</v>
      </c>
      <c r="E29" s="399" t="s">
        <v>14</v>
      </c>
      <c r="F29" s="400" t="s">
        <v>400</v>
      </c>
      <c r="H29" s="456"/>
      <c r="M29" s="56"/>
      <c r="N29" s="56"/>
      <c r="O29" s="56"/>
      <c r="P29" s="56"/>
      <c r="S29" s="14"/>
      <c r="T29" s="14"/>
      <c r="U29" s="398" t="s">
        <v>7</v>
      </c>
      <c r="V29" s="402" t="s">
        <v>11</v>
      </c>
      <c r="W29" s="496" t="s">
        <v>0</v>
      </c>
      <c r="X29" s="403" t="s">
        <v>446</v>
      </c>
      <c r="Y29" s="525" t="s">
        <v>115</v>
      </c>
      <c r="Z29" s="466"/>
    </row>
    <row r="30" spans="2:43" ht="15" customHeight="1" x14ac:dyDescent="0.25">
      <c r="B30" s="68" t="s">
        <v>9</v>
      </c>
      <c r="C30" s="13" t="s">
        <v>16</v>
      </c>
      <c r="D30" s="13" t="s">
        <v>17</v>
      </c>
      <c r="E30" s="13" t="s">
        <v>3</v>
      </c>
      <c r="F30" s="69" t="s">
        <v>3</v>
      </c>
      <c r="H30" s="456"/>
      <c r="I30" s="470" t="s">
        <v>417</v>
      </c>
      <c r="J30" s="521">
        <v>1</v>
      </c>
      <c r="K30" s="472">
        <v>0.75</v>
      </c>
      <c r="L30" s="473">
        <v>0.5</v>
      </c>
      <c r="M30" s="56"/>
      <c r="N30" s="56"/>
      <c r="O30" s="56"/>
      <c r="P30" s="55" t="s">
        <v>7</v>
      </c>
      <c r="Q30" s="17">
        <v>1</v>
      </c>
      <c r="R30" s="497"/>
      <c r="S30" s="14"/>
      <c r="T30" s="14"/>
      <c r="U30" s="438">
        <v>1</v>
      </c>
      <c r="V30" s="60">
        <v>1100</v>
      </c>
      <c r="W30" s="60">
        <f>+V30*0.96</f>
        <v>1056</v>
      </c>
      <c r="X30" s="531">
        <f>0.206*1.05</f>
        <v>0.21629999999999999</v>
      </c>
      <c r="Y30" s="93">
        <f>+X30*V30*PCI_DO_kWh_kg</f>
        <v>2822.1141666666663</v>
      </c>
      <c r="Z30" s="535">
        <f>+W30/Y30</f>
        <v>0.37418755501563994</v>
      </c>
      <c r="AB30" s="657"/>
      <c r="AI30" s="500"/>
    </row>
    <row r="31" spans="2:43" ht="15" customHeight="1" x14ac:dyDescent="0.25">
      <c r="B31" s="438">
        <v>1</v>
      </c>
      <c r="C31" s="406">
        <f>+IF(Parametrización!$B$4=$I$19,N22,IF(Parametrización!$B$4=$R$4,W8,IF(Parametrización!$B$4=Parametrización!$I$4,Parametrización!N8,IF(Parametrización!$B$4=Parametrización!$R$12,Parametrización!W15,IF(Parametrización!$B$4=$I$12,N15,IF(Parametrización!$B$4=$R$19,W22,IF(Parametrización!$B$4=$AA$4,AF8,IF(Parametrización!$B$4=$AA$12,AF15,IF(Parametrización!$B$4=$AA$19,AF22)))))))))</f>
        <v>4863</v>
      </c>
      <c r="D31" s="406">
        <f>+IF(Parametrización!$B$4=$I$19,O22,IF(Parametrización!$B$4=$R$4,X8,IF(Parametrización!$B$4=Parametrización!$I$4,Parametrización!O8,IF(Parametrización!$B$4=Parametrización!$R$12,Parametrización!X15,IF(Parametrización!$B$4=$I$12,O15,IF(Parametrización!$B$4=$R$19,X22,IF(Parametrización!$B$4=$AA$4,AG8,IF(Parametrización!$B$4=$AA$12,AG15,IF(Parametrización!$B$4=$AA$19,AG22)))))))))</f>
        <v>403</v>
      </c>
      <c r="E31" s="58">
        <f>+C31/3600*$C$43*(D31-$C$42)</f>
        <v>397.90146666666669</v>
      </c>
      <c r="F31" s="415">
        <f>+IF(Parametrización!$B$4=$I$19,P22,IF(Parametrización!$B$4=$R$4,Y8,IF(Parametrización!$B$4=Parametrización!$I$4,Parametrización!P8,IF(Parametrización!$B$4=Parametrización!$R$12,Parametrización!Y15,IF(Parametrización!$B$4=$I$12,P15,IF(Parametrización!$B$4=$R$19,Y22,IF(Parametrización!$B$4=$AA$4,AH8,IF(Parametrización!$B$4=$AA$12,AH15,IF(Parametrización!$B$4=$AA$19,AH22)))))))))</f>
        <v>524</v>
      </c>
      <c r="H31" s="456"/>
      <c r="I31" s="517" t="s">
        <v>71</v>
      </c>
      <c r="J31" s="648">
        <v>1.32</v>
      </c>
      <c r="K31" s="547">
        <v>1.3</v>
      </c>
      <c r="L31" s="548">
        <v>1.3</v>
      </c>
      <c r="M31" s="56"/>
      <c r="N31" s="56"/>
      <c r="O31" s="56"/>
      <c r="P31" s="55" t="s">
        <v>71</v>
      </c>
      <c r="Q31" s="482">
        <f>+Q30^4*COPe_Absorcion_GE_x4+Q30^3*COPe_Absorcion_GE_x3+COPe_Absorcion_GE_x2*Q30^2+Q30*COPe_Absorcion_GE_x1+COPe_Absorcion_GE_x0</f>
        <v>1.32</v>
      </c>
      <c r="R31" s="498"/>
      <c r="S31" s="14"/>
      <c r="T31" s="14"/>
      <c r="U31" s="439">
        <v>0.75</v>
      </c>
      <c r="V31" s="61">
        <f>+$V$30*U31</f>
        <v>825</v>
      </c>
      <c r="W31" s="61">
        <f>+V31*0.95</f>
        <v>783.75</v>
      </c>
      <c r="X31" s="532">
        <f>0.21*1.05</f>
        <v>0.2205</v>
      </c>
      <c r="Y31" s="486">
        <f>+X31*V31*PCI_DO_kWh_kg</f>
        <v>2157.6843749999998</v>
      </c>
      <c r="Z31" s="535">
        <f t="shared" ref="Z31:Z33" si="0">+W31/Y31</f>
        <v>0.36323662954643221</v>
      </c>
      <c r="AB31" s="657"/>
      <c r="AI31" s="500"/>
    </row>
    <row r="32" spans="2:43" ht="15" customHeight="1" x14ac:dyDescent="0.25">
      <c r="B32" s="439">
        <v>0.75</v>
      </c>
      <c r="C32" s="409">
        <f>+IF(Parametrización!$B$4=$I$19,N23,IF(Parametrización!$B$4=$R$4,W9,IF(Parametrización!$B$4=Parametrización!$I$4,Parametrización!N9,IF(Parametrización!$B$4=Parametrización!$R$12,Parametrización!W16,IF(Parametrización!$B$4=$I$12,N16,IF(Parametrización!$B$4=$R$19,W23,IF(Parametrización!$B$4=$AA$4,AF9,IF(Parametrización!$B$4=$AA$12,AF16,IF(Parametrización!$B$4=$AA$19,AF23)))))))))</f>
        <v>3571.3656834342901</v>
      </c>
      <c r="D32" s="409">
        <f>+IF(Parametrización!$B$4=$I$19,O23,IF(Parametrización!$B$4=$R$4,X9,IF(Parametrización!$B$4=Parametrización!$I$4,Parametrización!O9,IF(Parametrización!$B$4=Parametrización!$R$12,Parametrización!X16,IF(Parametrización!$B$4=$I$12,O16,IF(Parametrización!$B$4=$R$19,X23,IF(Parametrización!$B$4=$AA$4,AG9,IF(Parametrización!$B$4=$AA$12,AG16,IF(Parametrización!$B$4=$AA$19,AG23)))))))))</f>
        <v>436</v>
      </c>
      <c r="E32" s="15">
        <f>+C32/3600*$C$43*(D32-$C$42)</f>
        <v>328.88309760337114</v>
      </c>
      <c r="F32" s="417">
        <f>+IF(Parametrización!$B$4=$I$19,P23,IF(Parametrización!$B$4=$R$4,Y9,IF(Parametrización!$B$4=Parametrización!$I$4,Parametrización!P9,IF(Parametrización!$B$4=Parametrización!$R$12,Parametrización!Y16,IF(Parametrización!$B$4=$I$12,P16,IF(Parametrización!$B$4=$R$19,Y23,IF(Parametrización!$B$4=$AA$4,AH9,IF(Parametrización!$B$4=$AA$12,AH16,IF(Parametrización!$B$4=$AA$19,AH23)))))))))</f>
        <v>393</v>
      </c>
      <c r="H32" s="456"/>
      <c r="I32" s="474" t="s">
        <v>429</v>
      </c>
      <c r="J32" s="649">
        <v>3.8716475095785436E-3</v>
      </c>
      <c r="K32" s="518" t="s">
        <v>428</v>
      </c>
      <c r="L32" s="519"/>
      <c r="M32" s="56"/>
      <c r="N32" s="56"/>
      <c r="O32" s="56"/>
      <c r="P32" s="469" t="s">
        <v>419</v>
      </c>
      <c r="Q32" s="500">
        <f>C36*num_motores_GAS</f>
        <v>1193.7044000000001</v>
      </c>
      <c r="R32" s="56" t="s">
        <v>3</v>
      </c>
      <c r="S32" s="14"/>
      <c r="T32" s="14"/>
      <c r="U32" s="439">
        <v>0.5</v>
      </c>
      <c r="V32" s="61">
        <f>+$V$30*U32</f>
        <v>550</v>
      </c>
      <c r="W32" s="61">
        <f>+V32*0.95</f>
        <v>522.5</v>
      </c>
      <c r="X32" s="532">
        <f>0.215*1.05</f>
        <v>0.22575000000000001</v>
      </c>
      <c r="Y32" s="486">
        <f>+X32*V32*PCI_DO_kWh_kg</f>
        <v>1472.7052083333333</v>
      </c>
      <c r="Z32" s="535">
        <f t="shared" si="0"/>
        <v>0.35478926606860817</v>
      </c>
      <c r="AA32" s="9">
        <f>+X32/U31*U32</f>
        <v>0.15049999999999999</v>
      </c>
      <c r="AB32" s="657"/>
      <c r="AI32" s="500"/>
    </row>
    <row r="33" spans="2:35" ht="15" customHeight="1" x14ac:dyDescent="0.25">
      <c r="B33" s="440">
        <v>0.5</v>
      </c>
      <c r="C33" s="412">
        <f>+IF(Parametrización!$B$4=$I$19,N24,IF(Parametrización!$B$4=$R$4,W10,IF(Parametrización!$B$4=Parametrización!$I$4,Parametrización!N10,IF(Parametrización!$B$4=Parametrización!$R$12,Parametrización!W17,IF(Parametrización!$B$4=$I$12,N17,IF(Parametrización!$B$4=$R$19,W24,IF(Parametrización!$B$4=$AA$4,AF10,IF(Parametrización!$B$4=$AA$12,AF17,IF(Parametrización!$B$4=$AA$19,AF24)))))))))</f>
        <v>2427.6577561232552</v>
      </c>
      <c r="D33" s="412">
        <f>+IF(Parametrización!$B$4=$I$19,O24,IF(Parametrización!$B$4=$R$4,X10,IF(Parametrización!$B$4=Parametrización!$I$4,Parametrización!O10,IF(Parametrización!$B$4=Parametrización!$R$12,Parametrización!X17,IF(Parametrización!$B$4=$I$12,O17,IF(Parametrización!$B$4=$R$19,X24,IF(Parametrización!$B$4=$AA$4,AG10,IF(Parametrización!$B$4=$AA$12,AG17,IF(Parametrización!$B$4=$AA$19,AG24)))))))))</f>
        <v>471</v>
      </c>
      <c r="E33" s="59">
        <f>+C33/3600*$C$43*(D33-$C$42)</f>
        <v>249.99480093055922</v>
      </c>
      <c r="F33" s="418">
        <f>+IF(Parametrización!$B$4=$I$19,P24,IF(Parametrización!$B$4=$R$4,Y10,IF(Parametrización!$B$4=Parametrización!$I$4,Parametrización!P10,IF(Parametrización!$B$4=Parametrización!$R$12,Parametrización!Y17,IF(Parametrización!$B$4=$I$12,P17,IF(Parametrización!$B$4=$R$19,Y24,IF(Parametrización!$B$4=$AA$4,AH10,IF(Parametrización!$B$4=$AA$12,AH17,IF(Parametrización!$B$4=$AA$19,AH24)))))))))</f>
        <v>274</v>
      </c>
      <c r="H33" s="456"/>
      <c r="I33" s="10"/>
      <c r="J33" s="10"/>
      <c r="K33" s="10"/>
      <c r="L33" s="10"/>
      <c r="M33" s="10"/>
      <c r="P33" s="9" t="s">
        <v>436</v>
      </c>
      <c r="Q33" s="500">
        <f>+Pin_max_Chiller_abs_GE*J31</f>
        <v>1575.6898080000001</v>
      </c>
      <c r="R33" s="9" t="s">
        <v>74</v>
      </c>
      <c r="S33" s="14"/>
      <c r="T33" s="14"/>
      <c r="U33" s="439">
        <v>0.25</v>
      </c>
      <c r="V33" s="61">
        <f>+$V$30*U33</f>
        <v>275</v>
      </c>
      <c r="W33" s="61">
        <f>+V33*0.945</f>
        <v>259.875</v>
      </c>
      <c r="X33" s="532">
        <v>0.23</v>
      </c>
      <c r="Y33" s="486">
        <f>+X33*V33*PCI_DO_kWh_kg</f>
        <v>750.21527777777771</v>
      </c>
      <c r="Z33" s="535">
        <f t="shared" si="0"/>
        <v>0.34640057020669995</v>
      </c>
      <c r="AB33" s="657"/>
      <c r="AI33" s="500"/>
    </row>
    <row r="34" spans="2:35" ht="15" customHeight="1" x14ac:dyDescent="0.25">
      <c r="H34" s="456"/>
      <c r="I34" s="10"/>
      <c r="J34" s="475" t="s">
        <v>418</v>
      </c>
      <c r="K34" s="476" t="s">
        <v>18</v>
      </c>
      <c r="L34" s="477" t="s">
        <v>19</v>
      </c>
      <c r="M34" s="477" t="s">
        <v>20</v>
      </c>
      <c r="N34" s="478" t="s">
        <v>21</v>
      </c>
      <c r="S34" s="14"/>
      <c r="T34" s="14"/>
      <c r="U34" s="440">
        <v>0</v>
      </c>
      <c r="V34" s="63">
        <v>0</v>
      </c>
      <c r="W34" s="63">
        <v>0</v>
      </c>
      <c r="X34" s="533">
        <v>0</v>
      </c>
      <c r="Y34" s="487">
        <v>0</v>
      </c>
      <c r="Z34" s="467"/>
    </row>
    <row r="35" spans="2:35" ht="15" customHeight="1" x14ac:dyDescent="0.25">
      <c r="B35" s="434" t="s">
        <v>7</v>
      </c>
      <c r="C35" s="436">
        <f t="array" ref="C35:E35">+TRANSPOSE(B31:B33)</f>
        <v>1</v>
      </c>
      <c r="D35" s="436">
        <v>0.75</v>
      </c>
      <c r="E35" s="437">
        <v>0.5</v>
      </c>
      <c r="H35" s="456"/>
      <c r="I35" s="484" t="s">
        <v>71</v>
      </c>
      <c r="J35" s="485">
        <f t="array" ref="J35:N35">+LINEST(J31:L31,J30:L30^{1;2;3;4},TRUE,TRUE)</f>
        <v>4.6545454545454626E-2</v>
      </c>
      <c r="K35" s="485">
        <v>0</v>
      </c>
      <c r="L35" s="485">
        <v>0</v>
      </c>
      <c r="M35" s="485">
        <v>-4.7272727272727355E-2</v>
      </c>
      <c r="N35" s="485">
        <v>1.3207272727272727</v>
      </c>
      <c r="S35" s="14"/>
      <c r="T35" s="14"/>
      <c r="V35" s="660">
        <f>+V36</f>
        <v>1</v>
      </c>
      <c r="W35" s="659">
        <f>+W38/$V$38</f>
        <v>0.7421875</v>
      </c>
      <c r="X35" s="659">
        <f t="shared" ref="X35:Z35" si="1">+X38/$V$38</f>
        <v>0.49479166666666669</v>
      </c>
      <c r="Y35" s="659">
        <f t="shared" si="1"/>
        <v>0.24609375</v>
      </c>
      <c r="Z35" s="659">
        <f t="shared" si="1"/>
        <v>0</v>
      </c>
      <c r="AD35" s="468"/>
      <c r="AE35" s="467"/>
    </row>
    <row r="36" spans="2:35" ht="15" customHeight="1" x14ac:dyDescent="0.25">
      <c r="B36" s="449" t="s">
        <v>14</v>
      </c>
      <c r="C36" s="15">
        <f t="array" ref="C36:E36">+TRANSPOSE(E31:E33)</f>
        <v>397.90146666666669</v>
      </c>
      <c r="D36" s="15">
        <v>328.88309760337114</v>
      </c>
      <c r="E36" s="62">
        <v>249.99480093055922</v>
      </c>
      <c r="H36" s="456"/>
      <c r="I36" s="456"/>
      <c r="J36" s="456"/>
      <c r="K36" s="456"/>
      <c r="L36" s="456"/>
      <c r="M36" s="456"/>
      <c r="N36" s="456"/>
      <c r="O36" s="483"/>
      <c r="S36" s="14"/>
      <c r="T36" s="14"/>
      <c r="U36" s="488" t="s">
        <v>7</v>
      </c>
      <c r="V36" s="489">
        <v>1</v>
      </c>
      <c r="W36" s="489">
        <v>0.75</v>
      </c>
      <c r="X36" s="490">
        <v>0.5</v>
      </c>
      <c r="Y36" s="490">
        <v>0.25</v>
      </c>
      <c r="Z36" s="490">
        <v>0</v>
      </c>
      <c r="AA36" s="467"/>
      <c r="AB36" s="467"/>
      <c r="AC36" s="467"/>
      <c r="AD36" s="467"/>
      <c r="AE36" s="467"/>
    </row>
    <row r="37" spans="2:35" ht="15" customHeight="1" x14ac:dyDescent="0.25">
      <c r="B37" s="449" t="s">
        <v>22</v>
      </c>
      <c r="C37" s="15">
        <f t="array" ref="C37:E37">+TRANSPOSE(F31:F33)</f>
        <v>524</v>
      </c>
      <c r="D37" s="15">
        <v>393</v>
      </c>
      <c r="E37" s="62">
        <v>274</v>
      </c>
      <c r="H37" s="456"/>
      <c r="I37" s="466"/>
      <c r="J37" s="456"/>
      <c r="K37" s="456"/>
      <c r="L37" s="456"/>
      <c r="M37" s="456"/>
      <c r="N37" s="14"/>
      <c r="O37" s="14"/>
      <c r="P37" s="456"/>
      <c r="Q37" s="456"/>
      <c r="R37" s="14"/>
      <c r="S37" s="14"/>
      <c r="T37" s="14"/>
      <c r="U37" s="491" t="s">
        <v>11</v>
      </c>
      <c r="V37" s="79">
        <f t="array" ref="V37:Z40">+TRANSPOSE(V30:Y34)</f>
        <v>1100</v>
      </c>
      <c r="W37" s="80">
        <v>825</v>
      </c>
      <c r="X37" s="80">
        <v>550</v>
      </c>
      <c r="Y37" s="80">
        <v>275</v>
      </c>
      <c r="Z37" s="644">
        <v>0</v>
      </c>
      <c r="AA37" s="467"/>
      <c r="AB37" s="467"/>
      <c r="AC37" s="467"/>
      <c r="AD37" s="467"/>
      <c r="AE37" s="467"/>
    </row>
    <row r="38" spans="2:35" ht="15" customHeight="1" x14ac:dyDescent="0.25">
      <c r="B38" s="435" t="s">
        <v>514</v>
      </c>
      <c r="C38" s="650">
        <v>142</v>
      </c>
      <c r="D38" s="650">
        <v>114</v>
      </c>
      <c r="E38" s="651">
        <v>81</v>
      </c>
      <c r="H38" s="456"/>
      <c r="I38" s="686" t="s">
        <v>435</v>
      </c>
      <c r="J38" s="686"/>
      <c r="K38" s="686"/>
      <c r="L38" s="686"/>
      <c r="M38" s="686"/>
      <c r="N38" s="686"/>
      <c r="O38" s="686"/>
      <c r="P38" s="686"/>
      <c r="Q38" s="686"/>
      <c r="R38" s="686"/>
      <c r="S38" s="14"/>
      <c r="T38" s="14"/>
      <c r="U38" s="492" t="s">
        <v>0</v>
      </c>
      <c r="V38" s="534">
        <v>1056</v>
      </c>
      <c r="W38" s="14">
        <v>783.75</v>
      </c>
      <c r="X38" s="14">
        <v>522.5</v>
      </c>
      <c r="Y38" s="14">
        <v>259.875</v>
      </c>
      <c r="Z38" s="645">
        <v>0</v>
      </c>
      <c r="AA38" s="55" t="s">
        <v>7</v>
      </c>
      <c r="AB38" s="17">
        <v>0.40585979998100757</v>
      </c>
      <c r="AC38" s="460"/>
      <c r="AD38" s="467"/>
      <c r="AE38" s="467"/>
    </row>
    <row r="39" spans="2:35" ht="15" customHeight="1" x14ac:dyDescent="0.25">
      <c r="B39" s="434" t="s">
        <v>8</v>
      </c>
      <c r="C39" s="652">
        <f t="array" ref="C39:E39">+TRANSPOSE(C31:C33)</f>
        <v>4863</v>
      </c>
      <c r="D39" s="652">
        <v>3571.3656834342901</v>
      </c>
      <c r="E39" s="653">
        <v>2427.6577561232552</v>
      </c>
      <c r="H39" s="456"/>
      <c r="I39" s="549"/>
      <c r="J39" s="549"/>
      <c r="K39" s="549"/>
      <c r="L39" s="549"/>
      <c r="M39" s="549"/>
      <c r="N39" s="549"/>
      <c r="O39" s="549"/>
      <c r="P39" s="549"/>
      <c r="Q39" s="549"/>
      <c r="R39" s="549"/>
      <c r="S39" s="14"/>
      <c r="T39" s="14"/>
      <c r="U39" s="492" t="s">
        <v>446</v>
      </c>
      <c r="V39" s="534">
        <v>0.21629999999999999</v>
      </c>
      <c r="W39" s="14">
        <v>0.2205</v>
      </c>
      <c r="X39" s="14">
        <v>0.22575000000000001</v>
      </c>
      <c r="Y39" s="14">
        <v>0.23</v>
      </c>
      <c r="Z39" s="645">
        <v>0</v>
      </c>
      <c r="AA39" s="55" t="s">
        <v>431</v>
      </c>
      <c r="AB39" s="658">
        <f>AB38^3*Pot_ele_DO_X3+Pot_ele_DO_X2*AB38^2+AB38*Pot_ele_DO_X1+Pot_ele_DO_X0</f>
        <v>428.58794877994399</v>
      </c>
      <c r="AC39" s="466" t="s">
        <v>0</v>
      </c>
      <c r="AD39" s="467"/>
      <c r="AE39" s="467"/>
    </row>
    <row r="40" spans="2:35" ht="15" customHeight="1" x14ac:dyDescent="0.25">
      <c r="B40" s="435" t="s">
        <v>522</v>
      </c>
      <c r="C40" s="654">
        <f t="array" ref="C40:E40">+TRANSPOSE(D31:D33)</f>
        <v>403</v>
      </c>
      <c r="D40" s="654">
        <v>436</v>
      </c>
      <c r="E40" s="655">
        <v>471</v>
      </c>
      <c r="H40" s="456"/>
      <c r="I40" s="549"/>
      <c r="J40" s="549"/>
      <c r="K40" s="549"/>
      <c r="L40" s="549"/>
      <c r="M40" s="550"/>
      <c r="N40" s="550"/>
      <c r="O40" s="550"/>
      <c r="P40" s="550"/>
      <c r="Q40" s="549"/>
      <c r="R40" s="549"/>
      <c r="S40" s="14"/>
      <c r="T40" s="14"/>
      <c r="U40" s="493" t="s">
        <v>115</v>
      </c>
      <c r="V40" s="75">
        <v>2822.1141666666663</v>
      </c>
      <c r="W40" s="59">
        <v>2157.6843749999998</v>
      </c>
      <c r="X40" s="59">
        <v>1472.7052083333333</v>
      </c>
      <c r="Y40" s="59">
        <v>750.21527777777771</v>
      </c>
      <c r="Z40" s="646">
        <v>0</v>
      </c>
      <c r="AA40" s="55" t="s">
        <v>444</v>
      </c>
      <c r="AB40" s="647">
        <f>AB38^3*Cons_DO_X3+Cons_DO_X2*AB38^2+AB38*Cons_DO_X1+Cons_DO_X0</f>
        <v>1203.4893624165461</v>
      </c>
      <c r="AC40" s="466" t="s">
        <v>10</v>
      </c>
      <c r="AD40" s="467"/>
      <c r="AE40" s="467"/>
    </row>
    <row r="41" spans="2:35" ht="15" customHeight="1" x14ac:dyDescent="0.25">
      <c r="H41" s="456"/>
      <c r="I41" s="551" t="s">
        <v>417</v>
      </c>
      <c r="J41" s="552">
        <v>1</v>
      </c>
      <c r="K41" s="553">
        <v>0.75</v>
      </c>
      <c r="L41" s="554">
        <v>0.5</v>
      </c>
      <c r="M41" s="550"/>
      <c r="N41" s="550"/>
      <c r="O41" s="550"/>
      <c r="P41" s="555" t="s">
        <v>7</v>
      </c>
      <c r="Q41" s="556">
        <v>1</v>
      </c>
      <c r="R41" s="557"/>
      <c r="S41" s="14"/>
      <c r="T41" s="14"/>
      <c r="U41" s="479"/>
      <c r="V41" s="479"/>
      <c r="W41" s="479"/>
      <c r="X41" s="479"/>
      <c r="Y41" s="14"/>
      <c r="Z41" s="466"/>
      <c r="AA41" s="468"/>
      <c r="AB41" s="530">
        <f>+AB39/AB40</f>
        <v>0.35612109434798905</v>
      </c>
      <c r="AC41" s="468"/>
      <c r="AD41" s="467"/>
      <c r="AE41" s="467"/>
    </row>
    <row r="42" spans="2:35" ht="15" customHeight="1" x14ac:dyDescent="0.25">
      <c r="B42" s="115" t="s">
        <v>13</v>
      </c>
      <c r="C42" s="422">
        <f ca="1">+IF(#REF!="FRIO",140,210)</f>
        <v>140</v>
      </c>
      <c r="D42" s="9" t="s">
        <v>17</v>
      </c>
      <c r="H42" s="456"/>
      <c r="I42" s="558" t="s">
        <v>71</v>
      </c>
      <c r="J42" s="559">
        <v>0.68</v>
      </c>
      <c r="K42" s="560">
        <v>0.67</v>
      </c>
      <c r="L42" s="561">
        <v>0.66500000000000004</v>
      </c>
      <c r="M42" s="550"/>
      <c r="N42" s="550"/>
      <c r="O42" s="550"/>
      <c r="P42" s="555" t="s">
        <v>71</v>
      </c>
      <c r="Q42" s="562">
        <f>+Q41^4*COPe_absorcion_HT_x4+Q41^3*COPe_absorcion_HT_x3+COPe_absorcion_HT_x2*Q41^2+Q41*COPe_absorcion_HT_x1+COPe_absorcion_HT_x0</f>
        <v>0.68000000000000016</v>
      </c>
      <c r="R42" s="560"/>
      <c r="S42" s="14"/>
      <c r="T42" s="14"/>
      <c r="V42" s="475" t="s">
        <v>18</v>
      </c>
      <c r="W42" s="476" t="s">
        <v>19</v>
      </c>
      <c r="X42" s="476" t="s">
        <v>20</v>
      </c>
      <c r="Y42" s="494" t="s">
        <v>21</v>
      </c>
      <c r="Z42" s="460"/>
      <c r="AA42" s="467"/>
      <c r="AB42" s="467"/>
      <c r="AC42" s="467"/>
      <c r="AD42" s="467"/>
      <c r="AE42" s="467"/>
    </row>
    <row r="43" spans="2:35" ht="15" customHeight="1" x14ac:dyDescent="0.25">
      <c r="B43" s="115" t="s">
        <v>405</v>
      </c>
      <c r="C43" s="423">
        <v>1.1200000000000001</v>
      </c>
      <c r="H43" s="456"/>
      <c r="I43" s="563" t="s">
        <v>429</v>
      </c>
      <c r="J43" s="564">
        <v>5.4081669691470055E-3</v>
      </c>
      <c r="K43" s="565" t="s">
        <v>428</v>
      </c>
      <c r="L43" s="566"/>
      <c r="M43" s="550"/>
      <c r="N43" s="550"/>
      <c r="O43" s="550"/>
      <c r="P43" s="469" t="s">
        <v>419</v>
      </c>
      <c r="Q43" s="549">
        <f>C37*3</f>
        <v>1572</v>
      </c>
      <c r="R43" s="550" t="s">
        <v>3</v>
      </c>
      <c r="S43" s="14"/>
      <c r="T43" s="14"/>
      <c r="U43" s="491" t="s">
        <v>11</v>
      </c>
      <c r="V43" s="495">
        <f t="array" ref="V43:Y43">+LINEST(V37:Z37,V36:Z36^{1;2;3})</f>
        <v>5.4137878163915916E-13</v>
      </c>
      <c r="W43" s="479">
        <v>-1.2294293696507492E-12</v>
      </c>
      <c r="X43" s="479">
        <v>1100.0000000000007</v>
      </c>
      <c r="Y43" s="480">
        <v>-4.9205368808054409E-14</v>
      </c>
      <c r="Z43" s="467"/>
      <c r="AA43" s="467"/>
      <c r="AB43" s="467"/>
      <c r="AC43" s="467"/>
      <c r="AD43" s="467"/>
      <c r="AE43" s="467"/>
    </row>
    <row r="44" spans="2:35" ht="15" customHeight="1" x14ac:dyDescent="0.25">
      <c r="H44" s="456"/>
      <c r="I44" s="567"/>
      <c r="J44" s="567"/>
      <c r="K44" s="567"/>
      <c r="L44" s="567"/>
      <c r="M44" s="567"/>
      <c r="N44" s="549"/>
      <c r="O44" s="549"/>
      <c r="P44" s="549" t="s">
        <v>436</v>
      </c>
      <c r="Q44" s="549">
        <f>+Pin_max_chiller_abs_HT*J42</f>
        <v>1068.96</v>
      </c>
      <c r="R44" s="549" t="s">
        <v>74</v>
      </c>
      <c r="S44" s="14"/>
      <c r="T44" s="14"/>
      <c r="U44" s="492" t="s">
        <v>0</v>
      </c>
      <c r="V44" s="536">
        <f t="array" ref="V44:Y44">+LINEST(V38:Z38,V35:Z35^{1;2;3})</f>
        <v>2.7085311303195542E-13</v>
      </c>
      <c r="W44" s="16">
        <v>-2.1870519291988958E-13</v>
      </c>
      <c r="X44" s="16">
        <v>1056</v>
      </c>
      <c r="Y44" s="537">
        <v>-2.4932500774307171E-15</v>
      </c>
      <c r="Z44" s="467"/>
      <c r="AA44" s="467"/>
      <c r="AB44" s="467"/>
      <c r="AC44" s="467"/>
      <c r="AD44" s="467"/>
      <c r="AE44" s="467"/>
    </row>
    <row r="45" spans="2:35" ht="15" customHeight="1" x14ac:dyDescent="0.25">
      <c r="C45" s="431" t="s">
        <v>18</v>
      </c>
      <c r="D45" s="402" t="s">
        <v>19</v>
      </c>
      <c r="E45" s="402" t="s">
        <v>20</v>
      </c>
      <c r="F45" s="403" t="s">
        <v>21</v>
      </c>
      <c r="G45" s="55"/>
      <c r="H45" s="456"/>
      <c r="I45" s="567"/>
      <c r="J45" s="568" t="s">
        <v>418</v>
      </c>
      <c r="K45" s="569" t="s">
        <v>18</v>
      </c>
      <c r="L45" s="570" t="s">
        <v>19</v>
      </c>
      <c r="M45" s="570" t="s">
        <v>20</v>
      </c>
      <c r="N45" s="571" t="s">
        <v>21</v>
      </c>
      <c r="O45" s="549"/>
      <c r="P45" s="549"/>
      <c r="Q45" s="549"/>
      <c r="R45" s="549"/>
      <c r="S45" s="14"/>
      <c r="T45" s="14"/>
      <c r="U45" s="492" t="s">
        <v>446</v>
      </c>
      <c r="V45" s="538">
        <f t="array" ref="V45:Y45">+LINEST(V39:Z39,V36:Z36^{1;2;3})</f>
        <v>1.2549333333333326</v>
      </c>
      <c r="W45" s="539">
        <v>-2.4188571428571417</v>
      </c>
      <c r="X45" s="539">
        <v>1.3802238095238091</v>
      </c>
      <c r="Y45" s="540">
        <v>3.3028571428571629E-3</v>
      </c>
    </row>
    <row r="46" spans="2:35" ht="15" customHeight="1" x14ac:dyDescent="0.25">
      <c r="B46" s="445" t="s">
        <v>14</v>
      </c>
      <c r="C46" s="640">
        <f t="array" ref="C46:F46">+LINEST(C36:E36,C35:E35^{1;2;3},TRUE,TRUE)</f>
        <v>-35.093075944947081</v>
      </c>
      <c r="D46" s="641">
        <v>0</v>
      </c>
      <c r="E46" s="641">
        <v>357.2262143758723</v>
      </c>
      <c r="F46" s="642">
        <v>75.768328235741492</v>
      </c>
      <c r="G46" s="55"/>
      <c r="I46" s="572" t="s">
        <v>71</v>
      </c>
      <c r="J46" s="573">
        <f t="array" ref="J46:N46">+LINEST(J42:L42,J41:L41^{1;2;3;4},TRUE,TRUE)</f>
        <v>1.1636363636363641E-2</v>
      </c>
      <c r="K46" s="573">
        <v>0</v>
      </c>
      <c r="L46" s="573">
        <v>0</v>
      </c>
      <c r="M46" s="573">
        <v>8.1818181818181963E-3</v>
      </c>
      <c r="N46" s="573">
        <v>0.66018181818181831</v>
      </c>
      <c r="O46" s="549"/>
      <c r="P46" s="549"/>
      <c r="Q46" s="549"/>
      <c r="R46" s="549"/>
      <c r="S46" s="14"/>
      <c r="T46" s="14"/>
      <c r="U46" s="493" t="s">
        <v>115</v>
      </c>
      <c r="V46" s="541">
        <f t="array" ref="V46:Y46">+LINEST(V40:Z40,V36:Z36^{1;2;3})</f>
        <v>38.271851851851615</v>
      </c>
      <c r="W46" s="542">
        <v>-296.3583333333325</v>
      </c>
      <c r="X46" s="542">
        <v>3080.2006481481467</v>
      </c>
      <c r="Y46" s="543">
        <v>-0.38209722222174136</v>
      </c>
    </row>
    <row r="47" spans="2:35" ht="15" customHeight="1" x14ac:dyDescent="0.25">
      <c r="B47" s="445" t="s">
        <v>22</v>
      </c>
      <c r="C47" s="19">
        <f t="array" ref="C47:F47">+LINEST(C37:E37,C35:E35^{1;2;3},TRUE,TRUE)</f>
        <v>42.666666666666366</v>
      </c>
      <c r="D47" s="20">
        <v>0</v>
      </c>
      <c r="E47" s="20">
        <v>425.33333333333371</v>
      </c>
      <c r="F47" s="21">
        <v>55.999999999999872</v>
      </c>
      <c r="G47" s="55"/>
      <c r="S47" s="14"/>
      <c r="T47" s="14"/>
      <c r="U47" s="14"/>
      <c r="V47" s="14"/>
      <c r="W47" s="14"/>
      <c r="X47" s="14"/>
    </row>
    <row r="48" spans="2:35" ht="15" customHeight="1" x14ac:dyDescent="0.25">
      <c r="B48" s="445" t="s">
        <v>514</v>
      </c>
      <c r="C48" s="19">
        <f t="array" ref="C48:F48">+LINEST(C38:E38,C35:E35^{1;2;3},TRUE,TRUE)</f>
        <v>-17.777777777777832</v>
      </c>
      <c r="D48" s="20">
        <v>0</v>
      </c>
      <c r="E48" s="20">
        <v>153.1111111111112</v>
      </c>
      <c r="F48" s="21">
        <v>6.6666666666666234</v>
      </c>
      <c r="G48" s="55"/>
      <c r="I48" s="456"/>
      <c r="J48" s="456"/>
      <c r="K48" s="456"/>
      <c r="L48" s="456"/>
      <c r="M48" s="456"/>
      <c r="N48" s="456"/>
      <c r="O48" s="483"/>
      <c r="S48" s="14"/>
      <c r="T48" s="14"/>
      <c r="U48" s="14"/>
      <c r="V48" s="14"/>
      <c r="W48" s="14"/>
      <c r="X48" s="14"/>
    </row>
    <row r="49" spans="2:24" ht="15" customHeight="1" x14ac:dyDescent="0.25">
      <c r="I49" s="686" t="s">
        <v>451</v>
      </c>
      <c r="J49" s="686"/>
      <c r="K49" s="686"/>
      <c r="L49" s="686"/>
      <c r="M49" s="686"/>
      <c r="N49" s="686"/>
      <c r="O49" s="686"/>
      <c r="P49" s="686"/>
      <c r="Q49" s="686"/>
      <c r="R49" s="686"/>
      <c r="S49" s="14"/>
      <c r="T49" s="14"/>
      <c r="U49" s="14"/>
      <c r="V49" s="14"/>
      <c r="W49" s="14"/>
      <c r="X49" s="14"/>
    </row>
    <row r="50" spans="2:24" ht="15" customHeight="1" x14ac:dyDescent="0.25">
      <c r="B50" s="444" t="s">
        <v>7</v>
      </c>
      <c r="C50" s="17">
        <v>1</v>
      </c>
      <c r="G50" s="9" t="s">
        <v>525</v>
      </c>
      <c r="S50" s="14"/>
      <c r="T50" s="14"/>
      <c r="U50" s="14"/>
      <c r="V50" s="14"/>
      <c r="W50" s="14"/>
      <c r="X50" s="14"/>
    </row>
    <row r="51" spans="2:24" ht="15" customHeight="1" x14ac:dyDescent="0.25">
      <c r="B51" s="444" t="s">
        <v>14</v>
      </c>
      <c r="C51" s="419">
        <f>Pot_GE_x3*C50^3+Pot_GE_x2*C50^2+Pot_GE_x1*C50+Pot_GE_x0</f>
        <v>397.90146666666669</v>
      </c>
      <c r="D51" s="9" t="s">
        <v>3</v>
      </c>
      <c r="E51" s="656" t="s">
        <v>524</v>
      </c>
      <c r="F51" s="323" t="s">
        <v>166</v>
      </c>
      <c r="G51" s="9">
        <v>120</v>
      </c>
      <c r="S51" s="14"/>
      <c r="T51" s="14"/>
      <c r="U51" s="14"/>
      <c r="V51" s="14"/>
      <c r="W51" s="14"/>
      <c r="X51" s="14"/>
    </row>
    <row r="52" spans="2:24" ht="15" customHeight="1" x14ac:dyDescent="0.25">
      <c r="B52" s="444" t="s">
        <v>22</v>
      </c>
      <c r="C52" s="419">
        <f>$C$47*C50^3+$D$47*C50^2+$E$47*C50+$F$47</f>
        <v>523.99999999999989</v>
      </c>
      <c r="D52" s="9" t="s">
        <v>3</v>
      </c>
      <c r="I52" s="520" t="s">
        <v>417</v>
      </c>
      <c r="J52" s="471">
        <v>1</v>
      </c>
      <c r="K52" s="472">
        <v>0.75</v>
      </c>
      <c r="L52" s="473">
        <v>0.5</v>
      </c>
      <c r="M52" s="497"/>
      <c r="N52" s="497"/>
      <c r="O52" s="497"/>
      <c r="P52" s="55" t="s">
        <v>7</v>
      </c>
      <c r="Q52" s="17">
        <v>1</v>
      </c>
      <c r="S52" s="14"/>
      <c r="T52" s="14"/>
      <c r="U52" s="14"/>
      <c r="V52" s="14"/>
      <c r="W52" s="14"/>
      <c r="X52" s="14"/>
    </row>
    <row r="53" spans="2:24" ht="15" x14ac:dyDescent="0.25">
      <c r="B53" s="444" t="s">
        <v>514</v>
      </c>
      <c r="C53" s="419">
        <f>$C$48*C50^3+$D$48*C50^2+$E$48*C50+$F$48</f>
        <v>142</v>
      </c>
      <c r="D53" s="9" t="s">
        <v>3</v>
      </c>
      <c r="E53" s="656" t="s">
        <v>523</v>
      </c>
      <c r="F53" s="323" t="s">
        <v>165</v>
      </c>
      <c r="I53" s="523" t="s">
        <v>71</v>
      </c>
      <c r="J53" s="547">
        <v>4.8</v>
      </c>
      <c r="K53" s="547">
        <v>4.5999999999999996</v>
      </c>
      <c r="L53" s="548">
        <v>4.5</v>
      </c>
      <c r="M53" s="498"/>
      <c r="N53" s="498"/>
      <c r="O53" s="498"/>
      <c r="P53" s="55" t="s">
        <v>71</v>
      </c>
      <c r="Q53" s="482">
        <f>+COPe_Centrif_x4*Q52^4+COPe_Centrif_x3*Q52^3+COPe_Centrif_x2*Q52^2+COPe_Centrif_x1*Q52+COPe_Centrif_x0</f>
        <v>4.8</v>
      </c>
      <c r="S53" s="14"/>
      <c r="T53" s="14"/>
      <c r="U53" s="14"/>
      <c r="V53" s="14"/>
      <c r="W53" s="14"/>
      <c r="X53" s="14"/>
    </row>
    <row r="54" spans="2:24" x14ac:dyDescent="0.25">
      <c r="I54" s="524" t="s">
        <v>429</v>
      </c>
      <c r="J54" s="522">
        <v>2.7801724137931035E-3</v>
      </c>
      <c r="K54" s="518" t="s">
        <v>428</v>
      </c>
      <c r="L54" s="519"/>
      <c r="M54" s="481"/>
      <c r="N54" s="481"/>
      <c r="O54" s="481"/>
      <c r="P54" s="481"/>
      <c r="Q54" s="481"/>
      <c r="R54" s="481"/>
      <c r="S54" s="14"/>
      <c r="T54" s="14"/>
      <c r="U54" s="14"/>
      <c r="V54" s="14"/>
      <c r="W54" s="14"/>
      <c r="X54" s="14"/>
    </row>
    <row r="55" spans="2:24" x14ac:dyDescent="0.25">
      <c r="C55" s="431" t="s">
        <v>18</v>
      </c>
      <c r="D55" s="402" t="s">
        <v>19</v>
      </c>
      <c r="E55" s="402" t="s">
        <v>20</v>
      </c>
      <c r="F55" s="403" t="s">
        <v>21</v>
      </c>
      <c r="I55" s="10"/>
      <c r="J55" s="10"/>
      <c r="K55" s="10"/>
      <c r="L55" s="10"/>
      <c r="M55" s="10"/>
    </row>
    <row r="56" spans="2:24" x14ac:dyDescent="0.25">
      <c r="B56" s="445" t="s">
        <v>8</v>
      </c>
      <c r="C56" s="640">
        <f t="array" ref="C56:F56">+LINEST(C39:E39,C35:E35^{1;2;3},TRUE,TRUE)</f>
        <v>525.96049512773322</v>
      </c>
      <c r="D56" s="641">
        <v>0</v>
      </c>
      <c r="E56" s="641">
        <v>3950.2536212799564</v>
      </c>
      <c r="F56" s="642">
        <v>386.78588359231094</v>
      </c>
      <c r="I56" s="10"/>
      <c r="J56" s="475" t="s">
        <v>418</v>
      </c>
      <c r="K56" s="476" t="s">
        <v>18</v>
      </c>
      <c r="L56" s="477" t="s">
        <v>19</v>
      </c>
      <c r="M56" s="477" t="s">
        <v>20</v>
      </c>
      <c r="N56" s="478" t="s">
        <v>21</v>
      </c>
    </row>
    <row r="57" spans="2:24" x14ac:dyDescent="0.25">
      <c r="B57" s="445" t="s">
        <v>521</v>
      </c>
      <c r="C57" s="640">
        <f t="array" ref="C57:F57">+LINEST(C40:E40,C35:E35^{1;2;3},TRUE,TRUE)</f>
        <v>7.11111111111114</v>
      </c>
      <c r="D57" s="641">
        <v>0</v>
      </c>
      <c r="E57" s="641">
        <v>-148.44444444444449</v>
      </c>
      <c r="F57" s="642">
        <v>544.33333333333337</v>
      </c>
      <c r="I57" s="484" t="s">
        <v>71</v>
      </c>
      <c r="J57" s="485">
        <f t="array" ref="J57:N57">+LINEST(J53:L53,J52:L52^{1;2;3;4},TRUE,TRUE)</f>
        <v>0.23272727272727398</v>
      </c>
      <c r="K57" s="485">
        <v>0</v>
      </c>
      <c r="L57" s="485">
        <v>0</v>
      </c>
      <c r="M57" s="485">
        <v>0.16363636363636094</v>
      </c>
      <c r="N57" s="485">
        <v>4.4036363636363651</v>
      </c>
    </row>
    <row r="58" spans="2:24" x14ac:dyDescent="0.25">
      <c r="F58" s="10"/>
    </row>
    <row r="60" spans="2:24" x14ac:dyDescent="0.25">
      <c r="I60" s="483"/>
      <c r="J60" s="456"/>
      <c r="K60" s="456"/>
      <c r="L60" s="456"/>
      <c r="M60" s="456"/>
      <c r="N60" s="456"/>
      <c r="O60" s="483"/>
      <c r="P60" s="469"/>
    </row>
    <row r="74" spans="1:5" x14ac:dyDescent="0.25">
      <c r="A74" s="692" t="s">
        <v>399</v>
      </c>
      <c r="B74" s="692"/>
      <c r="C74" s="692"/>
      <c r="D74" s="692"/>
      <c r="E74" s="692"/>
    </row>
    <row r="75" spans="1:5" x14ac:dyDescent="0.25">
      <c r="B75" s="9">
        <v>683</v>
      </c>
      <c r="C75" s="9">
        <v>533</v>
      </c>
      <c r="D75" s="9">
        <v>382</v>
      </c>
    </row>
    <row r="76" spans="1:5" x14ac:dyDescent="0.25">
      <c r="C76" s="9">
        <f>+C75/B75</f>
        <v>0.78038067349926798</v>
      </c>
      <c r="D76" s="9">
        <f>+D75/B75</f>
        <v>0.55929721815519762</v>
      </c>
    </row>
  </sheetData>
  <mergeCells count="20">
    <mergeCell ref="A74:E74"/>
    <mergeCell ref="B4:F4"/>
    <mergeCell ref="I12:P12"/>
    <mergeCell ref="R12:Y12"/>
    <mergeCell ref="R4:Y4"/>
    <mergeCell ref="I19:P19"/>
    <mergeCell ref="I27:R27"/>
    <mergeCell ref="I4:P4"/>
    <mergeCell ref="I49:R49"/>
    <mergeCell ref="I38:R38"/>
    <mergeCell ref="R19:Y19"/>
    <mergeCell ref="B2:F2"/>
    <mergeCell ref="B27:F27"/>
    <mergeCell ref="I2:Y2"/>
    <mergeCell ref="U27:Y27"/>
    <mergeCell ref="AJ4:AN4"/>
    <mergeCell ref="AA4:AH4"/>
    <mergeCell ref="AA12:AH12"/>
    <mergeCell ref="AA19:AH19"/>
    <mergeCell ref="AJ2:AS2"/>
  </mergeCells>
  <conditionalFormatting sqref="F53">
    <cfRule type="containsText" dxfId="13" priority="3" operator="containsText" text="SI">
      <formula>NOT(ISERROR(SEARCH("SI",F53)))</formula>
    </cfRule>
    <cfRule type="containsText" dxfId="12" priority="4" operator="containsText" text="NO">
      <formula>NOT(ISERROR(SEARCH("NO",F53)))</formula>
    </cfRule>
  </conditionalFormatting>
  <conditionalFormatting sqref="F51">
    <cfRule type="containsText" dxfId="11" priority="1" operator="containsText" text="SI">
      <formula>NOT(ISERROR(SEARCH("SI",F51)))</formula>
    </cfRule>
    <cfRule type="containsText" dxfId="10" priority="2" operator="containsText" text="NO">
      <formula>NOT(ISERROR(SEARCH("NO",F51)))</formula>
    </cfRule>
  </conditionalFormatting>
  <dataValidations disablePrompts="1" count="2">
    <dataValidation type="list" allowBlank="1" showInputMessage="1" showErrorMessage="1" sqref="B4:F4" xr:uid="{00000000-0002-0000-0800-000000000000}">
      <formula1>$AV$6:$AV$14</formula1>
    </dataValidation>
    <dataValidation type="list" allowBlank="1" showInputMessage="1" showErrorMessage="1" sqref="F51" xr:uid="{00000000-0002-0000-0800-000001000000}">
      <formula1>$AP$10:$AP$10</formula1>
    </dataValidation>
  </dataValidations>
  <pageMargins left="0.7" right="0.7" top="0.75" bottom="0.75" header="0.3" footer="0.3"/>
  <pageSetup paperSize="9" scale="72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800-000002000000}">
          <x14:formula1>
            <xm:f>#REF!</xm:f>
          </x14:formula1>
          <xm:sqref>F53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56"/>
  <sheetViews>
    <sheetView tabSelected="1" zoomScale="90" zoomScaleNormal="90" workbookViewId="0">
      <selection activeCell="L25" sqref="L25"/>
    </sheetView>
  </sheetViews>
  <sheetFormatPr baseColWidth="10" defaultRowHeight="15" x14ac:dyDescent="0.25"/>
  <cols>
    <col min="1" max="1" width="3.140625" customWidth="1"/>
    <col min="2" max="2" width="8.85546875" customWidth="1"/>
    <col min="4" max="4" width="10.5703125" customWidth="1"/>
    <col min="5" max="5" width="6.5703125" customWidth="1"/>
    <col min="6" max="6" width="14.42578125" customWidth="1"/>
    <col min="7" max="7" width="18.7109375" customWidth="1"/>
    <col min="8" max="8" width="10.140625" customWidth="1"/>
    <col min="9" max="9" width="8.42578125" customWidth="1"/>
    <col min="10" max="10" width="12.28515625" customWidth="1"/>
    <col min="11" max="11" width="15.85546875" bestFit="1" customWidth="1"/>
    <col min="12" max="12" width="11.5703125" customWidth="1"/>
    <col min="13" max="13" width="12.140625" customWidth="1"/>
    <col min="14" max="14" width="11.5703125" customWidth="1"/>
    <col min="15" max="15" width="13" customWidth="1"/>
    <col min="16" max="16" width="14.28515625" customWidth="1"/>
    <col min="17" max="17" width="14.5703125" bestFit="1" customWidth="1"/>
    <col min="18" max="18" width="8.85546875" customWidth="1"/>
    <col min="19" max="19" width="20.28515625" customWidth="1"/>
    <col min="20" max="20" width="15.140625" customWidth="1"/>
    <col min="21" max="21" width="18.28515625" customWidth="1"/>
    <col min="22" max="22" width="16.7109375" bestFit="1" customWidth="1"/>
    <col min="23" max="23" width="18" customWidth="1"/>
    <col min="24" max="24" width="12.140625" bestFit="1" customWidth="1"/>
    <col min="25" max="26" width="15.7109375" bestFit="1" customWidth="1"/>
    <col min="27" max="27" width="19.28515625" customWidth="1"/>
    <col min="28" max="28" width="20.140625" bestFit="1" customWidth="1"/>
    <col min="29" max="29" width="16.5703125" bestFit="1" customWidth="1"/>
    <col min="30" max="30" width="24.5703125" customWidth="1"/>
    <col min="31" max="31" width="16.5703125" customWidth="1"/>
    <col min="32" max="32" width="12.140625" customWidth="1"/>
    <col min="33" max="33" width="14.7109375" customWidth="1"/>
    <col min="34" max="34" width="13.7109375" customWidth="1"/>
    <col min="35" max="35" width="14" bestFit="1" customWidth="1"/>
    <col min="36" max="36" width="13.5703125" customWidth="1"/>
    <col min="37" max="37" width="13.140625" customWidth="1"/>
    <col min="38" max="38" width="11.85546875" customWidth="1"/>
    <col min="39" max="39" width="4.140625" customWidth="1"/>
    <col min="47" max="47" width="17.7109375" customWidth="1"/>
    <col min="53" max="54" width="14" bestFit="1" customWidth="1"/>
    <col min="57" max="57" width="62.42578125" bestFit="1" customWidth="1"/>
  </cols>
  <sheetData>
    <row r="1" spans="2:45" x14ac:dyDescent="0.25">
      <c r="R1" s="452"/>
      <c r="S1" s="452"/>
      <c r="T1" s="452"/>
      <c r="U1" s="452"/>
      <c r="V1" s="452"/>
      <c r="W1" s="452"/>
      <c r="X1" s="452"/>
      <c r="Y1" s="452"/>
      <c r="Z1" s="452"/>
      <c r="AA1" s="452"/>
      <c r="AB1" s="452"/>
      <c r="AC1" s="452"/>
      <c r="AD1" s="452"/>
      <c r="AE1" s="452"/>
      <c r="AF1" s="452"/>
    </row>
    <row r="2" spans="2:45" ht="15.75" x14ac:dyDescent="0.25">
      <c r="B2" s="696" t="s">
        <v>413</v>
      </c>
      <c r="C2" s="696"/>
      <c r="D2" s="696"/>
      <c r="E2" s="696"/>
      <c r="G2" s="696" t="s">
        <v>420</v>
      </c>
      <c r="H2" s="696"/>
      <c r="I2" s="696"/>
      <c r="K2" s="696" t="s">
        <v>402</v>
      </c>
      <c r="L2" s="696"/>
      <c r="M2" s="696"/>
      <c r="O2" s="697" t="s">
        <v>420</v>
      </c>
      <c r="P2" s="698"/>
      <c r="Q2" s="698"/>
      <c r="R2" s="699"/>
      <c r="W2" s="452"/>
      <c r="X2" s="452"/>
      <c r="Y2" s="452"/>
      <c r="Z2" s="452"/>
      <c r="AA2" s="452"/>
      <c r="AB2" s="452"/>
      <c r="AC2" s="452"/>
      <c r="AD2" s="452"/>
      <c r="AE2" s="452"/>
      <c r="AF2" s="452"/>
    </row>
    <row r="3" spans="2:45" x14ac:dyDescent="0.25">
      <c r="W3" s="452"/>
      <c r="X3" s="452"/>
      <c r="Y3" s="452"/>
      <c r="Z3" s="452"/>
      <c r="AA3" s="452"/>
      <c r="AB3" s="452"/>
      <c r="AC3" s="452"/>
      <c r="AD3" s="452"/>
      <c r="AE3" s="452"/>
      <c r="AF3" s="452"/>
    </row>
    <row r="4" spans="2:45" ht="15" customHeight="1" x14ac:dyDescent="0.25">
      <c r="C4" s="1" t="s">
        <v>4</v>
      </c>
      <c r="D4" s="2">
        <v>3</v>
      </c>
      <c r="G4" s="503" t="s">
        <v>116</v>
      </c>
      <c r="H4" s="92">
        <v>1.109</v>
      </c>
      <c r="K4" s="512" t="s">
        <v>111</v>
      </c>
      <c r="L4" s="74" t="str">
        <f ca="1">+IF(#REF!&gt;0,"SI","NO")</f>
        <v>NO</v>
      </c>
      <c r="O4" s="24"/>
      <c r="P4" s="1" t="s">
        <v>299</v>
      </c>
      <c r="Q4" s="514">
        <v>0.9</v>
      </c>
      <c r="W4" s="452"/>
      <c r="X4" s="452"/>
      <c r="Y4" s="452"/>
      <c r="Z4" s="452"/>
      <c r="AA4" s="452"/>
      <c r="AB4" s="452"/>
      <c r="AC4" s="452"/>
      <c r="AD4" s="452"/>
      <c r="AE4" s="452"/>
      <c r="AF4" s="452"/>
    </row>
    <row r="5" spans="2:45" x14ac:dyDescent="0.25">
      <c r="C5" s="1" t="s">
        <v>65</v>
      </c>
      <c r="D5" s="41">
        <v>0.5</v>
      </c>
      <c r="G5" s="1" t="s">
        <v>407</v>
      </c>
      <c r="H5" s="91">
        <f>42700/3600</f>
        <v>11.861111111111111</v>
      </c>
      <c r="I5" t="s">
        <v>114</v>
      </c>
      <c r="K5" s="512" t="s">
        <v>112</v>
      </c>
      <c r="L5" s="74" t="str">
        <f ca="1">+IF(#REF!&gt;0,"SI","NO")</f>
        <v>NO</v>
      </c>
      <c r="P5" s="54" t="s">
        <v>301</v>
      </c>
      <c r="Q5" s="515">
        <v>3</v>
      </c>
      <c r="W5" s="452"/>
      <c r="X5" s="452"/>
      <c r="Y5" s="452"/>
      <c r="Z5" s="452"/>
      <c r="AA5" s="452"/>
      <c r="AB5" s="452"/>
      <c r="AC5" s="452"/>
      <c r="AD5" s="452"/>
      <c r="AE5" s="452"/>
      <c r="AF5" s="452"/>
    </row>
    <row r="6" spans="2:45" x14ac:dyDescent="0.25">
      <c r="C6" s="1" t="s">
        <v>430</v>
      </c>
      <c r="D6" s="41">
        <v>1</v>
      </c>
      <c r="G6" s="54" t="s">
        <v>408</v>
      </c>
      <c r="H6" s="92">
        <v>0.84499999999999997</v>
      </c>
      <c r="I6" t="s">
        <v>113</v>
      </c>
      <c r="K6" s="512" t="s">
        <v>531</v>
      </c>
      <c r="L6" s="661" t="str">
        <f ca="1">+IF(#REF!&gt;0,"SI","NO")</f>
        <v>NO</v>
      </c>
      <c r="P6" s="1" t="s">
        <v>300</v>
      </c>
      <c r="Q6" s="513">
        <f>8760*(1-Disponibilidad_CHP)</f>
        <v>875.99999999999977</v>
      </c>
      <c r="R6" t="s">
        <v>118</v>
      </c>
      <c r="W6" s="452"/>
      <c r="X6" s="452"/>
      <c r="Y6" s="452"/>
      <c r="Z6" s="452"/>
      <c r="AA6" s="452"/>
      <c r="AB6" s="452"/>
      <c r="AC6" s="452"/>
      <c r="AD6" s="452"/>
      <c r="AE6" s="452"/>
      <c r="AF6" s="452"/>
    </row>
    <row r="7" spans="2:45" ht="18.75" x14ac:dyDescent="0.25">
      <c r="C7" s="1" t="s">
        <v>67</v>
      </c>
      <c r="D7" s="4">
        <v>3.5000000000000003E-2</v>
      </c>
      <c r="G7" s="54" t="s">
        <v>407</v>
      </c>
      <c r="H7" s="91">
        <f>+PCI_DO_kWh_kg*H6</f>
        <v>10.022638888888888</v>
      </c>
      <c r="I7" t="s">
        <v>140</v>
      </c>
      <c r="O7" s="501"/>
      <c r="P7" s="1" t="s">
        <v>306</v>
      </c>
      <c r="Q7" s="516">
        <f>+INT(Q6/Q5/24)</f>
        <v>12</v>
      </c>
      <c r="R7" t="s">
        <v>302</v>
      </c>
      <c r="W7" s="452"/>
      <c r="X7" s="452"/>
      <c r="Y7" s="452"/>
      <c r="Z7" s="452"/>
      <c r="AA7" s="452"/>
      <c r="AB7" s="452"/>
      <c r="AC7" s="452"/>
      <c r="AD7" s="452"/>
      <c r="AE7" s="452"/>
      <c r="AF7" s="452"/>
    </row>
    <row r="8" spans="2:45" ht="18.75" customHeight="1" x14ac:dyDescent="0.25">
      <c r="C8" s="54" t="s">
        <v>73</v>
      </c>
      <c r="D8" s="114">
        <f>+Parametrización!D8</f>
        <v>901</v>
      </c>
      <c r="E8" t="s">
        <v>0</v>
      </c>
      <c r="G8" s="54" t="s">
        <v>409</v>
      </c>
      <c r="H8" s="91">
        <v>10.6</v>
      </c>
      <c r="I8" t="s">
        <v>140</v>
      </c>
      <c r="O8" s="501"/>
      <c r="W8" s="452"/>
      <c r="X8" s="452"/>
      <c r="Y8" s="452"/>
      <c r="Z8" s="452"/>
      <c r="AA8" s="452"/>
      <c r="AB8" s="452"/>
      <c r="AC8" s="452"/>
      <c r="AD8" s="452"/>
      <c r="AE8" s="452"/>
      <c r="AF8" s="452"/>
      <c r="AG8" s="501"/>
      <c r="AH8" s="501"/>
      <c r="AI8" s="501"/>
      <c r="AJ8" s="501"/>
    </row>
    <row r="9" spans="2:45" ht="15" customHeight="1" x14ac:dyDescent="0.25">
      <c r="C9" s="1" t="s">
        <v>72</v>
      </c>
      <c r="D9" s="114">
        <f>+Potencia_bruta_motor_GN*(1-Autoconsumo_cogeneración)</f>
        <v>869.46499999999992</v>
      </c>
      <c r="E9" t="s">
        <v>0</v>
      </c>
      <c r="G9" s="54"/>
      <c r="H9" s="54"/>
      <c r="I9" s="54"/>
      <c r="P9" s="121" t="s">
        <v>533</v>
      </c>
      <c r="W9" s="452"/>
      <c r="X9" s="452"/>
      <c r="Y9" s="452"/>
      <c r="Z9" s="452"/>
      <c r="AA9" s="452"/>
      <c r="AB9" s="452"/>
      <c r="AC9" s="452"/>
      <c r="AD9" s="452"/>
      <c r="AE9" s="452"/>
      <c r="AF9" s="452"/>
      <c r="AG9" s="501"/>
      <c r="AH9" s="501"/>
      <c r="AI9" s="501"/>
      <c r="AJ9" s="501"/>
    </row>
    <row r="10" spans="2:45" ht="18.75" x14ac:dyDescent="0.35">
      <c r="C10" s="3" t="s">
        <v>5</v>
      </c>
      <c r="D10" s="395">
        <f>+Potencia_bruta_motor_GN/D12</f>
        <v>0.40023098791755501</v>
      </c>
      <c r="K10" s="696" t="s">
        <v>415</v>
      </c>
      <c r="L10" s="696"/>
      <c r="M10" s="696"/>
      <c r="O10" s="54" t="s">
        <v>303</v>
      </c>
      <c r="P10" s="293">
        <v>42401</v>
      </c>
      <c r="Q10" s="294">
        <f>+P10+$Q$7-1</f>
        <v>42412</v>
      </c>
      <c r="R10" t="str">
        <f>+IF(-_xlfn.DAYS(P10,Q10)+1=$Q$7,"OK","ERROR")</f>
        <v>OK</v>
      </c>
      <c r="W10" s="452"/>
      <c r="X10" s="452"/>
      <c r="Y10" s="452"/>
      <c r="Z10" s="452"/>
      <c r="AA10" s="452"/>
      <c r="AB10" s="452"/>
      <c r="AC10" s="452"/>
      <c r="AD10" s="452"/>
      <c r="AE10" s="452"/>
      <c r="AF10" s="452"/>
      <c r="AG10" s="501"/>
      <c r="AH10" s="501"/>
      <c r="AI10" s="501"/>
      <c r="AJ10" s="501"/>
      <c r="AL10" s="381"/>
      <c r="AP10" s="24"/>
      <c r="AQ10" s="24"/>
      <c r="AR10" s="24"/>
      <c r="AS10" s="24"/>
    </row>
    <row r="11" spans="2:45" ht="18.75" x14ac:dyDescent="0.35">
      <c r="C11" s="3" t="s">
        <v>6</v>
      </c>
      <c r="D11" s="395">
        <f>+D9/D12</f>
        <v>0.38622290334044057</v>
      </c>
      <c r="G11" s="1" t="s">
        <v>432</v>
      </c>
      <c r="H11" s="91">
        <v>12.93</v>
      </c>
      <c r="I11" t="s">
        <v>114</v>
      </c>
      <c r="O11" s="54" t="s">
        <v>304</v>
      </c>
      <c r="P11" s="293">
        <v>42522</v>
      </c>
      <c r="Q11" s="294">
        <f>+P11+$Q$7-1</f>
        <v>42533</v>
      </c>
      <c r="R11" t="str">
        <f>+IF(-_xlfn.DAYS(P11,Q11)+1=$Q$7,"OK","ERROR")</f>
        <v>OK</v>
      </c>
      <c r="W11" s="452"/>
      <c r="X11" s="452"/>
      <c r="Y11" s="452"/>
      <c r="Z11" s="452"/>
      <c r="AA11" s="452"/>
      <c r="AB11" s="452"/>
      <c r="AC11" s="452"/>
      <c r="AD11" s="452"/>
      <c r="AE11" s="452"/>
      <c r="AF11" s="452"/>
      <c r="AG11" s="501"/>
      <c r="AH11" s="501"/>
      <c r="AI11" s="501"/>
      <c r="AJ11" s="501"/>
      <c r="AL11" s="452"/>
      <c r="AM11" s="452"/>
      <c r="AN11" s="452"/>
      <c r="AO11" s="452"/>
      <c r="AP11" s="452"/>
      <c r="AQ11" s="452"/>
      <c r="AR11" s="452"/>
      <c r="AS11" s="452"/>
    </row>
    <row r="12" spans="2:45" ht="15" customHeight="1" x14ac:dyDescent="0.25">
      <c r="C12" s="1" t="s">
        <v>414</v>
      </c>
      <c r="D12" s="114">
        <f>+Parametrización!E8</f>
        <v>2251.2000000000003</v>
      </c>
      <c r="E12" t="s">
        <v>10</v>
      </c>
      <c r="G12" s="54" t="s">
        <v>433</v>
      </c>
      <c r="H12" s="92">
        <v>0.51300000000000001</v>
      </c>
      <c r="I12" t="s">
        <v>113</v>
      </c>
      <c r="K12" s="574" t="s">
        <v>122</v>
      </c>
      <c r="L12" s="2">
        <v>1</v>
      </c>
      <c r="O12" s="54" t="s">
        <v>305</v>
      </c>
      <c r="P12" s="293">
        <v>42644</v>
      </c>
      <c r="Q12" s="294">
        <f>+P12+$Q$7-1</f>
        <v>42655</v>
      </c>
      <c r="R12" t="str">
        <f>+IF(-_xlfn.DAYS(P12,Q12)+1=$Q$7,"OK","ERROR")</f>
        <v>OK</v>
      </c>
      <c r="W12" s="452"/>
      <c r="X12" s="452"/>
      <c r="Y12" s="452"/>
      <c r="Z12" s="452"/>
      <c r="AA12" s="452"/>
      <c r="AB12" s="452"/>
      <c r="AC12" s="452"/>
      <c r="AD12" s="452"/>
      <c r="AE12" s="452"/>
      <c r="AF12" s="452"/>
      <c r="AG12" s="501"/>
      <c r="AH12" s="501"/>
      <c r="AI12" s="501"/>
      <c r="AJ12" s="501"/>
      <c r="AL12" s="452"/>
      <c r="AM12" s="452"/>
      <c r="AN12" s="452"/>
      <c r="AO12" s="452"/>
      <c r="AP12" s="452"/>
      <c r="AQ12" s="452"/>
      <c r="AR12" s="452"/>
      <c r="AS12" s="452"/>
    </row>
    <row r="13" spans="2:45" ht="15" customHeight="1" x14ac:dyDescent="0.25">
      <c r="C13" s="1" t="s">
        <v>2</v>
      </c>
      <c r="D13" s="114">
        <f>+Parametrización!F31</f>
        <v>524</v>
      </c>
      <c r="E13" t="s">
        <v>3</v>
      </c>
      <c r="G13" s="54" t="s">
        <v>432</v>
      </c>
      <c r="H13" s="91">
        <f>+PCI_GLP_kWh_kg*Densidad_GLP</f>
        <v>6.6330900000000002</v>
      </c>
      <c r="I13" t="s">
        <v>140</v>
      </c>
      <c r="K13" s="575" t="s">
        <v>121</v>
      </c>
      <c r="L13" s="382">
        <f ca="1">+IF(#REF!="FASE 1",2*800,3*800)</f>
        <v>2400</v>
      </c>
      <c r="M13" t="s">
        <v>3</v>
      </c>
      <c r="O13" s="501"/>
      <c r="P13" s="501"/>
      <c r="Q13" s="501"/>
      <c r="R13" s="501"/>
      <c r="W13" s="452"/>
      <c r="X13" s="452"/>
      <c r="Y13" s="452"/>
      <c r="Z13" s="452"/>
      <c r="AA13" s="452"/>
      <c r="AB13" s="452"/>
      <c r="AC13" s="452"/>
      <c r="AD13" s="452"/>
      <c r="AE13" s="452"/>
      <c r="AF13" s="452"/>
      <c r="AG13" s="501"/>
      <c r="AH13" s="501"/>
      <c r="AI13" s="501"/>
      <c r="AJ13" s="501"/>
      <c r="AL13" s="452"/>
      <c r="AM13" s="452"/>
      <c r="AN13" s="452"/>
      <c r="AO13" s="452"/>
      <c r="AP13" s="452"/>
      <c r="AQ13" s="452"/>
      <c r="AR13" s="452"/>
      <c r="AS13" s="452"/>
    </row>
    <row r="14" spans="2:45" ht="15" customHeight="1" x14ac:dyDescent="0.25">
      <c r="C14" s="54" t="s">
        <v>123</v>
      </c>
      <c r="D14" s="91">
        <v>0.21</v>
      </c>
      <c r="E14" t="s">
        <v>403</v>
      </c>
      <c r="K14" s="54" t="s">
        <v>120</v>
      </c>
      <c r="L14" s="41">
        <v>0.9</v>
      </c>
      <c r="O14" s="125"/>
      <c r="P14" s="121" t="s">
        <v>534</v>
      </c>
      <c r="W14" s="452"/>
      <c r="X14" s="452"/>
      <c r="Y14" s="452"/>
      <c r="Z14" s="452"/>
      <c r="AA14" s="452"/>
      <c r="AB14" s="452"/>
      <c r="AC14" s="452"/>
      <c r="AD14" s="452"/>
      <c r="AE14" s="452"/>
      <c r="AF14" s="452"/>
      <c r="AG14" s="501"/>
      <c r="AH14" s="501"/>
      <c r="AI14" s="501"/>
      <c r="AJ14" s="501"/>
      <c r="AL14" s="452"/>
      <c r="AM14" s="452"/>
      <c r="AN14" s="452"/>
      <c r="AO14" s="452"/>
      <c r="AP14" s="452"/>
      <c r="AQ14" s="452"/>
      <c r="AR14" s="452"/>
      <c r="AS14" s="452"/>
    </row>
    <row r="15" spans="2:45" ht="15" customHeight="1" x14ac:dyDescent="0.25">
      <c r="O15" s="54" t="s">
        <v>303</v>
      </c>
      <c r="P15" s="293">
        <f>IF(num_motores_GAS&gt;=2,Q10+1,"ERROR")</f>
        <v>42413</v>
      </c>
      <c r="Q15" s="294">
        <f>IF(num_motores_GAS&gt;=2,P15+$Q$7-1,Q10)</f>
        <v>42424</v>
      </c>
      <c r="R15" t="str">
        <f>+IF(-_xlfn.DAYS(P15,Q15)+1=$Q$7,"OK","ERROR")</f>
        <v>OK</v>
      </c>
      <c r="W15" s="452"/>
      <c r="X15" s="452"/>
      <c r="Y15" s="452"/>
      <c r="Z15" s="452"/>
      <c r="AA15" s="452"/>
      <c r="AB15" s="452"/>
      <c r="AC15" s="452"/>
      <c r="AD15" s="452"/>
      <c r="AE15" s="452"/>
      <c r="AF15" s="452"/>
      <c r="AG15" s="501"/>
      <c r="AH15" s="501"/>
      <c r="AI15" s="501"/>
      <c r="AJ15" s="501"/>
      <c r="AL15" s="452"/>
      <c r="AM15" s="452"/>
      <c r="AN15" s="452"/>
      <c r="AO15" s="452"/>
      <c r="AP15" s="452"/>
      <c r="AQ15" s="452"/>
      <c r="AR15" s="452"/>
      <c r="AS15" s="452"/>
    </row>
    <row r="16" spans="2:45" ht="15.75" customHeight="1" x14ac:dyDescent="0.25">
      <c r="O16" s="54" t="s">
        <v>304</v>
      </c>
      <c r="P16" s="293">
        <f>IF(num_motores_GAS&gt;=2,Q11+1,"ERROR")</f>
        <v>42534</v>
      </c>
      <c r="Q16" s="294">
        <f>IF(num_motores_GAS&gt;=2,P16+$Q$7-1,Q11)</f>
        <v>42545</v>
      </c>
      <c r="R16" t="str">
        <f>+IF(-_xlfn.DAYS(P16,Q16)+1=$Q$7,"OK","ERROR")</f>
        <v>OK</v>
      </c>
      <c r="W16" s="452"/>
      <c r="X16" s="452"/>
      <c r="Y16" s="452"/>
      <c r="Z16" s="452"/>
      <c r="AA16" s="452"/>
      <c r="AB16" s="452"/>
      <c r="AC16" s="452"/>
      <c r="AD16" s="452"/>
      <c r="AE16" s="452"/>
      <c r="AF16" s="452"/>
      <c r="AG16" s="501"/>
      <c r="AH16" s="501"/>
      <c r="AI16" s="501"/>
      <c r="AJ16" s="501"/>
      <c r="AL16" s="452"/>
      <c r="AM16" s="452"/>
      <c r="AN16" s="452"/>
      <c r="AO16" s="452"/>
      <c r="AP16" s="452"/>
      <c r="AQ16" s="452"/>
      <c r="AR16" s="452"/>
      <c r="AS16" s="452"/>
    </row>
    <row r="17" spans="1:45" ht="15" customHeight="1" x14ac:dyDescent="0.25">
      <c r="B17" s="696" t="s">
        <v>445</v>
      </c>
      <c r="C17" s="696"/>
      <c r="D17" s="696"/>
      <c r="E17" s="696"/>
      <c r="G17" s="696" t="s">
        <v>442</v>
      </c>
      <c r="H17" s="696"/>
      <c r="I17" s="696"/>
      <c r="K17" s="696" t="s">
        <v>443</v>
      </c>
      <c r="L17" s="696"/>
      <c r="M17" s="696"/>
      <c r="N17" s="501"/>
      <c r="O17" s="54" t="s">
        <v>305</v>
      </c>
      <c r="P17" s="293">
        <f>IF(num_motores_GAS&gt;=2,Q12+1,"ERROR")</f>
        <v>42656</v>
      </c>
      <c r="Q17" s="294">
        <f>IF(num_motores_GAS&gt;=2,P17+$Q$7-1,Q12)</f>
        <v>42667</v>
      </c>
      <c r="R17" t="str">
        <f>+IF(-_xlfn.DAYS(P17,Q17)+1=$Q$7,"OK","ERROR")</f>
        <v>OK</v>
      </c>
      <c r="W17" s="452"/>
      <c r="X17" s="452"/>
      <c r="Y17" s="452"/>
      <c r="Z17" s="452"/>
      <c r="AA17" s="452"/>
      <c r="AB17" s="452"/>
      <c r="AC17" s="452"/>
      <c r="AD17" s="452"/>
      <c r="AE17" s="452"/>
      <c r="AF17" s="452"/>
      <c r="AG17" s="501"/>
      <c r="AH17" s="501"/>
      <c r="AI17" s="501"/>
      <c r="AJ17" s="501"/>
      <c r="AL17" s="452"/>
      <c r="AM17" s="452"/>
      <c r="AN17" s="452"/>
      <c r="AO17" s="452"/>
      <c r="AP17" s="452"/>
      <c r="AQ17" s="452"/>
      <c r="AR17" s="452"/>
      <c r="AS17" s="452"/>
    </row>
    <row r="18" spans="1:45" ht="15" customHeight="1" x14ac:dyDescent="0.25">
      <c r="W18" s="452"/>
      <c r="X18" s="452"/>
      <c r="Y18" s="452"/>
      <c r="Z18" s="452"/>
      <c r="AA18" s="452"/>
      <c r="AF18" s="501"/>
      <c r="AG18" s="501"/>
      <c r="AH18" s="501"/>
      <c r="AI18" s="501"/>
      <c r="AJ18" s="501"/>
      <c r="AL18" s="452"/>
      <c r="AM18" s="452"/>
      <c r="AN18" s="452"/>
      <c r="AO18" s="452"/>
      <c r="AP18" s="452"/>
      <c r="AQ18" s="452"/>
      <c r="AR18" s="452"/>
      <c r="AS18" s="452"/>
    </row>
    <row r="19" spans="1:45" ht="15" customHeight="1" x14ac:dyDescent="0.25">
      <c r="C19" s="1" t="s">
        <v>4</v>
      </c>
      <c r="D19" s="2">
        <f ca="1">+IF(#REF!="FASE 1",2,4)</f>
        <v>4</v>
      </c>
      <c r="G19" s="1" t="s">
        <v>75</v>
      </c>
      <c r="H19" s="114" t="s">
        <v>387</v>
      </c>
      <c r="I19" t="s">
        <v>74</v>
      </c>
      <c r="K19" s="54" t="s">
        <v>120</v>
      </c>
      <c r="L19" s="41">
        <v>0.95</v>
      </c>
      <c r="O19" s="501"/>
      <c r="P19" s="501"/>
      <c r="Q19" s="501"/>
      <c r="R19" s="501"/>
      <c r="W19" s="452"/>
      <c r="X19" s="452"/>
      <c r="Y19" s="452"/>
      <c r="Z19" s="452"/>
      <c r="AA19" s="452"/>
      <c r="AB19" s="501"/>
      <c r="AC19" s="501"/>
      <c r="AD19" s="501"/>
      <c r="AE19" s="501"/>
      <c r="AF19" s="501"/>
      <c r="AG19" s="501"/>
      <c r="AH19" s="501"/>
      <c r="AI19" s="501"/>
      <c r="AJ19" s="501"/>
      <c r="AL19" s="452"/>
      <c r="AM19" s="452"/>
      <c r="AN19" s="452"/>
      <c r="AO19" s="452"/>
      <c r="AP19" s="452"/>
      <c r="AQ19" s="452"/>
      <c r="AR19" s="452"/>
      <c r="AS19" s="452"/>
    </row>
    <row r="20" spans="1:45" ht="15" customHeight="1" x14ac:dyDescent="0.25">
      <c r="C20" s="1" t="s">
        <v>65</v>
      </c>
      <c r="D20" s="41">
        <v>0</v>
      </c>
      <c r="G20" s="1" t="s">
        <v>71</v>
      </c>
      <c r="H20" s="51">
        <v>12</v>
      </c>
      <c r="O20" s="125"/>
      <c r="P20" s="121" t="s">
        <v>534</v>
      </c>
      <c r="W20" s="452"/>
      <c r="X20" s="452"/>
      <c r="Y20" s="452"/>
      <c r="Z20" s="452"/>
      <c r="AA20" s="452"/>
      <c r="AB20" s="501"/>
      <c r="AC20" s="501"/>
      <c r="AD20" s="501"/>
      <c r="AE20" s="501"/>
      <c r="AF20" s="501"/>
      <c r="AG20" s="501"/>
      <c r="AH20" s="501"/>
      <c r="AI20" s="501"/>
      <c r="AJ20" s="501"/>
      <c r="AL20" s="452"/>
      <c r="AM20" s="452"/>
      <c r="AN20" s="452"/>
      <c r="AO20" s="452"/>
      <c r="AP20" s="452"/>
      <c r="AQ20" s="452"/>
      <c r="AR20" s="452"/>
      <c r="AS20" s="452"/>
    </row>
    <row r="21" spans="1:45" ht="15.75" customHeight="1" x14ac:dyDescent="0.25">
      <c r="C21" s="70" t="s">
        <v>162</v>
      </c>
      <c r="D21" s="395">
        <f>Potencia_neta_motor_DO/D25</f>
        <v>0.37418755501563994</v>
      </c>
      <c r="O21" s="54" t="s">
        <v>303</v>
      </c>
      <c r="P21" s="293">
        <f>IF(num_motores_GAS&gt;=2,Q15+1,"ERROR")</f>
        <v>42425</v>
      </c>
      <c r="Q21" s="294">
        <f>IF(num_motores_GAS&gt;=2,P21+$Q$7-1,Q15)</f>
        <v>42436</v>
      </c>
      <c r="R21" t="str">
        <f>+IF(-_xlfn.DAYS(P21,Q21)+1=$Q$7,"OK","ERROR")</f>
        <v>OK</v>
      </c>
      <c r="W21" s="452"/>
      <c r="X21" s="452"/>
      <c r="Y21" s="452"/>
      <c r="Z21" s="452"/>
      <c r="AA21" s="452"/>
      <c r="AB21" s="501"/>
      <c r="AC21" s="501"/>
      <c r="AD21" s="501"/>
      <c r="AE21" s="501"/>
      <c r="AF21" s="501"/>
      <c r="AG21" s="501"/>
      <c r="AH21" s="501"/>
      <c r="AI21" s="501"/>
      <c r="AJ21" s="501"/>
      <c r="AL21" s="452"/>
      <c r="AM21" s="452"/>
      <c r="AN21" s="452"/>
      <c r="AO21" s="452"/>
      <c r="AP21" s="452"/>
      <c r="AQ21" s="452"/>
      <c r="AR21" s="452"/>
      <c r="AS21" s="452"/>
    </row>
    <row r="22" spans="1:45" ht="15.75" customHeight="1" x14ac:dyDescent="0.25">
      <c r="C22" s="1" t="s">
        <v>1</v>
      </c>
      <c r="D22" s="4">
        <v>0</v>
      </c>
      <c r="G22" s="697" t="s">
        <v>515</v>
      </c>
      <c r="H22" s="698"/>
      <c r="I22" s="699"/>
      <c r="K22" s="696" t="s">
        <v>530</v>
      </c>
      <c r="L22" s="696"/>
      <c r="M22" s="696"/>
      <c r="O22" s="54" t="s">
        <v>304</v>
      </c>
      <c r="P22" s="293">
        <f>IF(num_motores_GAS&gt;=2,Q16+1,"ERROR")</f>
        <v>42546</v>
      </c>
      <c r="Q22" s="294">
        <f>IF(num_motores_GAS&gt;=2,P22+$Q$7-1,Q16)</f>
        <v>42557</v>
      </c>
      <c r="R22" t="str">
        <f>+IF(-_xlfn.DAYS(P22,Q22)+1=$Q$7,"OK","ERROR")</f>
        <v>OK</v>
      </c>
      <c r="W22" s="452"/>
      <c r="X22" s="452"/>
      <c r="Y22" s="452"/>
      <c r="Z22" s="452"/>
      <c r="AA22" s="452"/>
      <c r="AD22" s="501"/>
      <c r="AE22" s="501"/>
      <c r="AF22" s="501"/>
      <c r="AG22" s="501"/>
      <c r="AH22" s="501"/>
      <c r="AI22" s="501"/>
      <c r="AJ22" s="501"/>
      <c r="AL22" s="452"/>
      <c r="AM22" s="452"/>
      <c r="AN22" s="452"/>
      <c r="AO22" s="452"/>
      <c r="AP22" s="452"/>
      <c r="AQ22" s="452"/>
      <c r="AR22" s="452"/>
      <c r="AS22" s="452"/>
    </row>
    <row r="23" spans="1:45" ht="15" customHeight="1" x14ac:dyDescent="0.25">
      <c r="C23" s="1" t="s">
        <v>73</v>
      </c>
      <c r="D23" s="114">
        <f>+Parametrización!W30</f>
        <v>1056</v>
      </c>
      <c r="E23" t="s">
        <v>0</v>
      </c>
      <c r="O23" s="54" t="s">
        <v>305</v>
      </c>
      <c r="P23" s="293">
        <f>IF(num_motores_GAS&gt;=2,Q17+1,"ERROR")</f>
        <v>42668</v>
      </c>
      <c r="Q23" s="294">
        <f>IF(num_motores_GAS&gt;=2,P23+$Q$7-1,Q17)</f>
        <v>42679</v>
      </c>
      <c r="R23" t="str">
        <f>+IF(-_xlfn.DAYS(P23,Q23)+1=$Q$7,"OK","ERROR")</f>
        <v>OK</v>
      </c>
      <c r="W23" s="452"/>
      <c r="X23" s="452"/>
      <c r="Y23" s="452"/>
      <c r="Z23" s="452"/>
      <c r="AA23" s="452"/>
      <c r="AD23" s="501"/>
      <c r="AE23" s="501"/>
      <c r="AF23" s="501"/>
      <c r="AG23" s="501"/>
      <c r="AH23" s="501"/>
      <c r="AI23" s="501"/>
      <c r="AJ23" s="501"/>
      <c r="AL23" s="452"/>
      <c r="AM23" s="452"/>
      <c r="AN23" s="452"/>
      <c r="AO23" s="452"/>
      <c r="AP23" s="452"/>
      <c r="AQ23" s="452"/>
      <c r="AR23" s="452"/>
      <c r="AS23" s="452"/>
    </row>
    <row r="24" spans="1:45" ht="15" customHeight="1" x14ac:dyDescent="0.25">
      <c r="C24" s="1" t="s">
        <v>72</v>
      </c>
      <c r="D24" s="114">
        <f>D23*(1-D22)</f>
        <v>1056</v>
      </c>
      <c r="E24" t="s">
        <v>0</v>
      </c>
      <c r="G24" s="54" t="s">
        <v>448</v>
      </c>
      <c r="H24" s="114">
        <v>1300</v>
      </c>
      <c r="I24" t="s">
        <v>74</v>
      </c>
      <c r="K24" s="574" t="s">
        <v>122</v>
      </c>
      <c r="L24" s="2">
        <v>1</v>
      </c>
      <c r="Q24" s="452"/>
      <c r="R24" s="452"/>
      <c r="S24" s="452"/>
      <c r="T24" s="452"/>
      <c r="U24" s="452"/>
      <c r="V24" s="452"/>
      <c r="W24" s="452"/>
      <c r="X24" s="452"/>
      <c r="Y24" s="452"/>
      <c r="Z24" s="452"/>
      <c r="AA24" s="452"/>
      <c r="AD24" s="501"/>
      <c r="AE24" s="501"/>
      <c r="AF24" s="501"/>
      <c r="AG24" s="501"/>
      <c r="AH24" s="501"/>
      <c r="AI24" s="501"/>
      <c r="AJ24" s="501"/>
      <c r="AL24" s="452"/>
      <c r="AM24" s="452"/>
      <c r="AN24" s="452"/>
      <c r="AO24" s="452"/>
      <c r="AP24" s="452"/>
      <c r="AQ24" s="452"/>
      <c r="AR24" s="452"/>
      <c r="AS24" s="452"/>
    </row>
    <row r="25" spans="1:45" ht="15" customHeight="1" x14ac:dyDescent="0.25">
      <c r="C25" s="1" t="s">
        <v>127</v>
      </c>
      <c r="D25" s="114">
        <f>Parametrización!Y30</f>
        <v>2822.1141666666663</v>
      </c>
      <c r="E25" t="s">
        <v>10</v>
      </c>
      <c r="G25" s="54" t="s">
        <v>449</v>
      </c>
      <c r="H25" s="114">
        <v>1300</v>
      </c>
      <c r="I25" t="s">
        <v>74</v>
      </c>
      <c r="K25" s="575" t="s">
        <v>121</v>
      </c>
      <c r="L25" s="382">
        <v>1800</v>
      </c>
      <c r="M25" t="s">
        <v>3</v>
      </c>
      <c r="Q25" s="452"/>
      <c r="R25" s="452"/>
      <c r="S25" s="452"/>
      <c r="T25" s="452"/>
      <c r="U25" s="452"/>
      <c r="V25" s="452"/>
      <c r="W25" s="452"/>
      <c r="X25" s="452"/>
      <c r="Y25" s="452"/>
      <c r="Z25" s="452"/>
      <c r="AA25" s="452"/>
      <c r="AB25" s="501"/>
      <c r="AC25" s="501"/>
      <c r="AD25" s="501"/>
      <c r="AE25" s="501"/>
      <c r="AF25" s="501"/>
      <c r="AG25" s="501"/>
      <c r="AH25" s="501"/>
      <c r="AI25" s="501"/>
      <c r="AJ25" s="501"/>
      <c r="AL25" s="452"/>
      <c r="AM25" s="452"/>
      <c r="AN25" s="452"/>
      <c r="AO25" s="452"/>
      <c r="AP25" s="452"/>
      <c r="AQ25" s="452"/>
      <c r="AR25" s="452"/>
      <c r="AS25" s="452"/>
    </row>
    <row r="26" spans="1:45" ht="15" customHeight="1" x14ac:dyDescent="0.25">
      <c r="C26" s="503" t="s">
        <v>404</v>
      </c>
      <c r="D26" s="2">
        <v>0.1</v>
      </c>
      <c r="E26" t="s">
        <v>0</v>
      </c>
      <c r="G26" s="54" t="s">
        <v>449</v>
      </c>
      <c r="H26" s="114">
        <f ca="1">+IF(#REF!="FASE 1",0,1300)</f>
        <v>1300</v>
      </c>
      <c r="I26" t="s">
        <v>74</v>
      </c>
      <c r="K26" s="54" t="s">
        <v>529</v>
      </c>
      <c r="L26" s="41">
        <v>0.9</v>
      </c>
      <c r="Q26" s="452"/>
      <c r="R26" s="452"/>
      <c r="S26" s="452"/>
      <c r="T26" s="452"/>
      <c r="U26" s="452"/>
      <c r="V26" s="452"/>
      <c r="W26" s="452"/>
      <c r="X26" s="452"/>
      <c r="Y26" s="452"/>
      <c r="Z26" s="452"/>
      <c r="AA26" s="452"/>
      <c r="AB26" s="501"/>
      <c r="AC26" s="501"/>
      <c r="AD26" s="501"/>
      <c r="AE26" s="501"/>
      <c r="AF26" s="501"/>
      <c r="AG26" s="501"/>
      <c r="AH26" s="501"/>
      <c r="AI26" s="501"/>
      <c r="AJ26" s="501"/>
      <c r="AL26" s="452"/>
      <c r="AM26" s="452"/>
      <c r="AN26" s="452"/>
      <c r="AO26" s="452"/>
      <c r="AP26" s="452"/>
      <c r="AQ26" s="452"/>
      <c r="AR26" s="452"/>
      <c r="AS26" s="452"/>
    </row>
    <row r="27" spans="1:45" ht="15.75" customHeight="1" x14ac:dyDescent="0.25">
      <c r="A27" s="450"/>
      <c r="B27" s="465"/>
      <c r="C27" s="465"/>
      <c r="D27" s="465"/>
      <c r="E27" s="465"/>
      <c r="G27" s="54" t="s">
        <v>76</v>
      </c>
      <c r="H27" s="41">
        <v>0.2</v>
      </c>
      <c r="Q27" s="452"/>
      <c r="R27" s="452"/>
      <c r="S27" s="452"/>
      <c r="T27" s="452"/>
      <c r="U27" s="452"/>
      <c r="V27" s="452"/>
      <c r="W27" s="452"/>
      <c r="X27" s="452"/>
      <c r="Y27" s="452"/>
      <c r="Z27" s="452"/>
      <c r="AA27" s="452"/>
      <c r="AB27" s="501"/>
      <c r="AC27" s="501"/>
      <c r="AD27" s="501"/>
      <c r="AE27" s="501"/>
      <c r="AF27" s="501"/>
      <c r="AG27" s="501"/>
      <c r="AH27" s="501"/>
      <c r="AI27" s="501"/>
      <c r="AJ27" s="501"/>
      <c r="AL27" s="452"/>
      <c r="AM27" s="452"/>
      <c r="AN27" s="452"/>
      <c r="AO27" s="452"/>
      <c r="AP27" s="452"/>
      <c r="AQ27" s="452"/>
      <c r="AR27" s="452"/>
      <c r="AS27" s="452"/>
    </row>
    <row r="28" spans="1:45" ht="15" customHeight="1" x14ac:dyDescent="0.25">
      <c r="A28" s="450"/>
      <c r="B28" s="696" t="s">
        <v>532</v>
      </c>
      <c r="C28" s="696"/>
      <c r="D28" s="696"/>
      <c r="E28" s="696"/>
      <c r="F28" s="464"/>
      <c r="G28" s="54" t="s">
        <v>71</v>
      </c>
      <c r="H28" s="51">
        <v>4.5</v>
      </c>
      <c r="J28" s="501"/>
      <c r="AB28" s="501"/>
      <c r="AC28" s="501"/>
      <c r="AD28" s="501"/>
      <c r="AE28" s="501"/>
      <c r="AF28" s="501"/>
      <c r="AG28" s="501"/>
      <c r="AH28" s="501"/>
      <c r="AI28" s="501"/>
      <c r="AJ28" s="501"/>
      <c r="AL28" s="452"/>
      <c r="AM28" s="452"/>
      <c r="AN28" s="452"/>
      <c r="AO28" s="452"/>
      <c r="AP28" s="452"/>
      <c r="AQ28" s="452"/>
      <c r="AR28" s="452"/>
      <c r="AS28" s="452"/>
    </row>
    <row r="29" spans="1:45" ht="15" customHeight="1" x14ac:dyDescent="0.25">
      <c r="A29" s="450"/>
      <c r="F29" s="464"/>
      <c r="J29" s="501"/>
      <c r="AB29" s="501"/>
      <c r="AC29" s="501"/>
      <c r="AD29" s="501"/>
      <c r="AE29" s="501"/>
      <c r="AF29" s="501"/>
      <c r="AG29" s="501"/>
      <c r="AH29" s="501"/>
      <c r="AI29" s="501"/>
      <c r="AJ29" s="501"/>
      <c r="AL29" s="452"/>
      <c r="AM29" s="452"/>
      <c r="AN29" s="452"/>
      <c r="AO29" s="452"/>
      <c r="AP29" s="452"/>
      <c r="AQ29" s="452"/>
      <c r="AR29" s="452"/>
      <c r="AS29" s="452"/>
    </row>
    <row r="30" spans="1:45" ht="15" customHeight="1" x14ac:dyDescent="0.25">
      <c r="C30" s="54" t="s">
        <v>73</v>
      </c>
      <c r="D30" s="114">
        <f>+Parametrización!AC22</f>
        <v>2004</v>
      </c>
      <c r="E30" t="s">
        <v>0</v>
      </c>
      <c r="F30" s="464"/>
      <c r="J30" s="501"/>
      <c r="AB30" s="501"/>
      <c r="AC30" s="501"/>
      <c r="AD30" s="501"/>
      <c r="AE30" s="501"/>
      <c r="AF30" s="501"/>
      <c r="AG30" s="501"/>
      <c r="AH30" s="501"/>
      <c r="AI30" s="501"/>
      <c r="AJ30" s="501"/>
      <c r="AL30" s="452"/>
      <c r="AM30" s="452"/>
      <c r="AN30" s="452"/>
      <c r="AO30" s="452"/>
      <c r="AP30" s="452"/>
      <c r="AQ30" s="452"/>
      <c r="AR30" s="452"/>
      <c r="AS30" s="452"/>
    </row>
    <row r="31" spans="1:45" ht="15" customHeight="1" x14ac:dyDescent="0.25">
      <c r="C31" s="1" t="s">
        <v>72</v>
      </c>
      <c r="D31" s="114">
        <f>+D30*(1-Autoconsumo_cogeneración)</f>
        <v>1933.86</v>
      </c>
      <c r="E31" t="s">
        <v>0</v>
      </c>
      <c r="F31" s="464"/>
      <c r="J31" s="501"/>
      <c r="AB31" s="501"/>
      <c r="AC31" s="501"/>
      <c r="AD31" s="501"/>
      <c r="AE31" s="501"/>
      <c r="AF31" s="501"/>
      <c r="AG31" s="501"/>
      <c r="AH31" s="501"/>
      <c r="AI31" s="501"/>
      <c r="AJ31" s="501"/>
      <c r="AL31" s="452"/>
      <c r="AM31" s="452"/>
      <c r="AN31" s="452"/>
      <c r="AO31" s="452"/>
      <c r="AP31" s="452"/>
      <c r="AQ31" s="452"/>
      <c r="AR31" s="452"/>
      <c r="AS31" s="452"/>
    </row>
    <row r="32" spans="1:45" ht="15" customHeight="1" x14ac:dyDescent="0.25">
      <c r="C32" s="1"/>
      <c r="F32" s="464"/>
      <c r="J32" s="501"/>
      <c r="AB32" s="501"/>
      <c r="AC32" s="501"/>
      <c r="AD32" s="501"/>
      <c r="AE32" s="501"/>
      <c r="AF32" s="501"/>
      <c r="AG32" s="501"/>
      <c r="AH32" s="501"/>
      <c r="AI32" s="501"/>
      <c r="AJ32" s="501"/>
      <c r="AL32" s="452"/>
      <c r="AM32" s="452"/>
      <c r="AN32" s="452"/>
      <c r="AO32" s="452"/>
      <c r="AP32" s="452"/>
      <c r="AQ32" s="452"/>
      <c r="AR32" s="452"/>
      <c r="AS32" s="452"/>
    </row>
    <row r="33" spans="1:45" ht="15.75" customHeight="1" x14ac:dyDescent="0.25">
      <c r="F33" s="464"/>
      <c r="J33" s="501"/>
      <c r="AB33" s="501"/>
      <c r="AC33" s="501"/>
      <c r="AD33" s="501"/>
      <c r="AE33" s="501"/>
      <c r="AF33" s="501"/>
      <c r="AG33" s="501"/>
      <c r="AH33" s="501"/>
      <c r="AI33" s="501"/>
      <c r="AJ33" s="501"/>
      <c r="AL33" s="452"/>
      <c r="AM33" s="452"/>
      <c r="AN33" s="452"/>
      <c r="AO33" s="452"/>
      <c r="AP33" s="452"/>
      <c r="AQ33" s="452"/>
      <c r="AR33" s="452"/>
      <c r="AS33" s="452"/>
    </row>
    <row r="34" spans="1:45" ht="15" customHeight="1" x14ac:dyDescent="0.25">
      <c r="F34" s="126"/>
      <c r="M34" s="501"/>
      <c r="N34" s="501"/>
      <c r="AB34" s="501"/>
      <c r="AC34" s="501"/>
      <c r="AD34" s="501"/>
      <c r="AE34" s="501"/>
      <c r="AF34" s="501"/>
      <c r="AG34" s="501"/>
      <c r="AH34" s="501"/>
      <c r="AI34" s="501"/>
      <c r="AJ34" s="501"/>
      <c r="AL34" s="452"/>
      <c r="AM34" s="452"/>
      <c r="AN34" s="452"/>
      <c r="AO34" s="452"/>
      <c r="AP34" s="452"/>
      <c r="AQ34" s="452"/>
      <c r="AR34" s="452"/>
      <c r="AS34" s="452"/>
    </row>
    <row r="35" spans="1:45" ht="15" customHeight="1" x14ac:dyDescent="0.25">
      <c r="J35" s="501"/>
      <c r="K35" s="501"/>
      <c r="M35" s="501"/>
      <c r="N35" s="501"/>
      <c r="AB35" s="501"/>
      <c r="AC35" s="501"/>
      <c r="AD35" s="501"/>
      <c r="AE35" s="501"/>
      <c r="AF35" s="501"/>
      <c r="AG35" s="501"/>
      <c r="AH35" s="501"/>
      <c r="AI35" s="501"/>
      <c r="AJ35" s="501"/>
      <c r="AL35" s="452"/>
      <c r="AM35" s="452"/>
      <c r="AN35" s="452"/>
      <c r="AO35" s="452"/>
      <c r="AP35" s="452"/>
      <c r="AQ35" s="452"/>
      <c r="AR35" s="452"/>
      <c r="AS35" s="452"/>
    </row>
    <row r="36" spans="1:45" x14ac:dyDescent="0.25">
      <c r="AL36" s="452"/>
      <c r="AM36" s="452"/>
      <c r="AN36" s="452"/>
      <c r="AO36" s="452"/>
      <c r="AP36" s="452"/>
      <c r="AQ36" s="452"/>
      <c r="AR36" s="452"/>
      <c r="AS36" s="452"/>
    </row>
    <row r="39" spans="1:45" ht="15" customHeight="1" x14ac:dyDescent="0.25">
      <c r="A39" s="464"/>
      <c r="G39" s="453"/>
      <c r="H39" s="453"/>
      <c r="I39" s="453"/>
    </row>
    <row r="40" spans="1:45" ht="15" customHeight="1" x14ac:dyDescent="0.25">
      <c r="A40" s="464"/>
      <c r="G40" s="453"/>
      <c r="H40" s="453"/>
      <c r="I40" s="453"/>
    </row>
    <row r="41" spans="1:45" ht="15" customHeight="1" x14ac:dyDescent="0.25">
      <c r="A41" s="464"/>
      <c r="I41" s="453"/>
    </row>
    <row r="42" spans="1:45" ht="15" customHeight="1" x14ac:dyDescent="0.25">
      <c r="A42" s="464"/>
      <c r="I42" s="453"/>
    </row>
    <row r="43" spans="1:45" ht="15" customHeight="1" x14ac:dyDescent="0.25">
      <c r="A43" s="464"/>
      <c r="G43" s="453"/>
      <c r="H43" s="453"/>
      <c r="I43" s="453"/>
    </row>
    <row r="44" spans="1:45" x14ac:dyDescent="0.25">
      <c r="A44" s="464"/>
    </row>
    <row r="45" spans="1:45" x14ac:dyDescent="0.25">
      <c r="A45" s="126"/>
    </row>
    <row r="46" spans="1:45" x14ac:dyDescent="0.25">
      <c r="A46" s="126"/>
    </row>
    <row r="47" spans="1:45" x14ac:dyDescent="0.25">
      <c r="A47" s="126"/>
    </row>
    <row r="48" spans="1:45" ht="18.75" x14ac:dyDescent="0.25">
      <c r="A48" s="126"/>
      <c r="S48" s="501"/>
      <c r="T48" s="501"/>
      <c r="U48" s="501"/>
      <c r="V48" s="501"/>
      <c r="W48" s="501"/>
      <c r="X48" s="501"/>
      <c r="Y48" s="501"/>
    </row>
    <row r="49" spans="1:25" ht="18.75" x14ac:dyDescent="0.25">
      <c r="A49" s="126"/>
      <c r="S49" s="501"/>
      <c r="T49" s="501"/>
      <c r="U49" s="501"/>
      <c r="V49" s="501"/>
      <c r="W49" s="501"/>
      <c r="X49" s="501"/>
      <c r="Y49" s="501"/>
    </row>
    <row r="50" spans="1:25" ht="18.75" x14ac:dyDescent="0.25">
      <c r="S50" s="501"/>
      <c r="T50" s="501"/>
      <c r="U50" s="501"/>
      <c r="V50" s="501"/>
      <c r="W50" s="501"/>
      <c r="X50" s="501"/>
      <c r="Y50" s="501"/>
    </row>
    <row r="51" spans="1:25" ht="18.75" x14ac:dyDescent="0.25">
      <c r="S51" s="501"/>
      <c r="T51" s="501"/>
      <c r="U51" s="501"/>
      <c r="V51" s="501"/>
      <c r="W51" s="501"/>
      <c r="X51" s="501"/>
      <c r="Y51" s="501"/>
    </row>
    <row r="52" spans="1:25" ht="18.75" x14ac:dyDescent="0.25">
      <c r="S52" s="501"/>
      <c r="T52" s="501"/>
      <c r="U52" s="501"/>
      <c r="V52" s="501"/>
      <c r="W52" s="501"/>
      <c r="X52" s="501"/>
      <c r="Y52" s="501"/>
    </row>
    <row r="53" spans="1:25" ht="18.75" x14ac:dyDescent="0.25">
      <c r="S53" s="501"/>
      <c r="T53" s="501"/>
      <c r="U53" s="501"/>
      <c r="V53" s="501"/>
      <c r="W53" s="501"/>
      <c r="X53" s="501"/>
      <c r="Y53" s="501"/>
    </row>
    <row r="54" spans="1:25" ht="18.75" x14ac:dyDescent="0.25">
      <c r="S54" s="501"/>
      <c r="T54" s="501"/>
      <c r="U54" s="501"/>
      <c r="V54" s="501"/>
      <c r="W54" s="501"/>
      <c r="X54" s="501"/>
      <c r="Y54" s="501"/>
    </row>
    <row r="55" spans="1:25" ht="18.75" x14ac:dyDescent="0.25">
      <c r="S55" s="501"/>
      <c r="T55" s="501"/>
      <c r="U55" s="501"/>
      <c r="V55" s="501"/>
      <c r="W55" s="501"/>
      <c r="X55" s="501"/>
      <c r="Y55" s="501"/>
    </row>
    <row r="56" spans="1:25" ht="18.75" x14ac:dyDescent="0.25">
      <c r="S56" s="501"/>
      <c r="T56" s="501"/>
      <c r="U56" s="501"/>
      <c r="V56" s="501"/>
      <c r="W56" s="501"/>
      <c r="X56" s="501"/>
      <c r="Y56" s="501"/>
    </row>
  </sheetData>
  <mergeCells count="11">
    <mergeCell ref="B28:E28"/>
    <mergeCell ref="O2:R2"/>
    <mergeCell ref="G22:I22"/>
    <mergeCell ref="B2:E2"/>
    <mergeCell ref="B17:E17"/>
    <mergeCell ref="G2:I2"/>
    <mergeCell ref="K2:M2"/>
    <mergeCell ref="K10:M10"/>
    <mergeCell ref="G17:I17"/>
    <mergeCell ref="K17:M17"/>
    <mergeCell ref="K22:M22"/>
  </mergeCells>
  <conditionalFormatting sqref="L4:L5">
    <cfRule type="containsText" dxfId="9" priority="34" operator="containsText" text="SI">
      <formula>NOT(ISERROR(SEARCH("SI",L4)))</formula>
    </cfRule>
    <cfRule type="containsText" dxfId="8" priority="35" operator="containsText" text="NO">
      <formula>NOT(ISERROR(SEARCH("NO",L4)))</formula>
    </cfRule>
  </conditionalFormatting>
  <conditionalFormatting sqref="Q21">
    <cfRule type="cellIs" dxfId="7" priority="10" operator="equal">
      <formula>$Q$15</formula>
    </cfRule>
  </conditionalFormatting>
  <conditionalFormatting sqref="Q22">
    <cfRule type="cellIs" dxfId="6" priority="9" operator="equal">
      <formula>$Q$16</formula>
    </cfRule>
  </conditionalFormatting>
  <conditionalFormatting sqref="Q23">
    <cfRule type="cellIs" dxfId="5" priority="8" operator="equal">
      <formula>$Q$17</formula>
    </cfRule>
  </conditionalFormatting>
  <conditionalFormatting sqref="Q15">
    <cfRule type="cellIs" dxfId="4" priority="7" operator="equal">
      <formula>$Q$10</formula>
    </cfRule>
  </conditionalFormatting>
  <conditionalFormatting sqref="Q16">
    <cfRule type="cellIs" dxfId="3" priority="6" operator="equal">
      <formula>$Q$11</formula>
    </cfRule>
  </conditionalFormatting>
  <conditionalFormatting sqref="Q17">
    <cfRule type="cellIs" dxfId="2" priority="5" operator="equal">
      <formula>$Q$12</formula>
    </cfRule>
  </conditionalFormatting>
  <conditionalFormatting sqref="L6">
    <cfRule type="containsText" dxfId="1" priority="1" operator="containsText" text="SI">
      <formula>NOT(ISERROR(SEARCH("SI",L6)))</formula>
    </cfRule>
    <cfRule type="containsText" dxfId="0" priority="2" operator="containsText" text="NO">
      <formula>NOT(ISERROR(SEARCH("NO",L6)))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4:Z12"/>
  <sheetViews>
    <sheetView workbookViewId="0">
      <selection activeCell="I10" sqref="I10"/>
    </sheetView>
  </sheetViews>
  <sheetFormatPr baseColWidth="10" defaultRowHeight="15" outlineLevelRow="1" x14ac:dyDescent="0.25"/>
  <cols>
    <col min="4" max="4" width="18.85546875" bestFit="1" customWidth="1"/>
    <col min="5" max="5" width="6.140625" bestFit="1" customWidth="1"/>
    <col min="6" max="6" width="5.140625" bestFit="1" customWidth="1"/>
    <col min="7" max="7" width="5" customWidth="1"/>
    <col min="8" max="8" width="14.85546875" bestFit="1" customWidth="1"/>
    <col min="9" max="9" width="6.140625" bestFit="1" customWidth="1"/>
    <col min="10" max="10" width="4.7109375" bestFit="1" customWidth="1"/>
    <col min="12" max="12" width="18.85546875" bestFit="1" customWidth="1"/>
    <col min="13" max="13" width="6.140625" bestFit="1" customWidth="1"/>
    <col min="14" max="14" width="5.140625" bestFit="1" customWidth="1"/>
    <col min="15" max="15" width="5" customWidth="1"/>
    <col min="16" max="16" width="14.85546875" bestFit="1" customWidth="1"/>
    <col min="17" max="17" width="6.140625" bestFit="1" customWidth="1"/>
    <col min="18" max="18" width="4.7109375" bestFit="1" customWidth="1"/>
    <col min="20" max="20" width="18.85546875" bestFit="1" customWidth="1"/>
    <col min="21" max="21" width="11.28515625" bestFit="1" customWidth="1"/>
    <col min="22" max="22" width="5.140625" bestFit="1" customWidth="1"/>
    <col min="23" max="23" width="5" customWidth="1"/>
    <col min="24" max="24" width="14.85546875" bestFit="1" customWidth="1"/>
    <col min="25" max="25" width="6.140625" bestFit="1" customWidth="1"/>
    <col min="26" max="26" width="4.7109375" bestFit="1" customWidth="1"/>
  </cols>
  <sheetData>
    <row r="4" spans="3:26" ht="16.5" x14ac:dyDescent="0.3">
      <c r="C4" s="383" t="s">
        <v>392</v>
      </c>
      <c r="L4" s="383" t="s">
        <v>393</v>
      </c>
      <c r="T4" s="383" t="s">
        <v>394</v>
      </c>
    </row>
    <row r="5" spans="3:26" ht="15.75" x14ac:dyDescent="0.25">
      <c r="D5" s="701" t="s">
        <v>220</v>
      </c>
      <c r="E5" s="701"/>
      <c r="F5" s="701"/>
      <c r="G5" s="384"/>
      <c r="H5" s="700" t="s">
        <v>51</v>
      </c>
      <c r="I5" s="700"/>
      <c r="J5" s="700"/>
      <c r="K5" s="384"/>
      <c r="L5" s="701" t="s">
        <v>220</v>
      </c>
      <c r="M5" s="701"/>
      <c r="N5" s="701"/>
      <c r="O5" s="384"/>
      <c r="P5" s="700" t="s">
        <v>51</v>
      </c>
      <c r="Q5" s="700"/>
      <c r="R5" s="700"/>
      <c r="S5" s="384"/>
      <c r="T5" s="701" t="s">
        <v>220</v>
      </c>
      <c r="U5" s="701"/>
      <c r="V5" s="701"/>
      <c r="W5" s="384"/>
      <c r="X5" s="700" t="s">
        <v>51</v>
      </c>
      <c r="Y5" s="700"/>
      <c r="Z5" s="700"/>
    </row>
    <row r="6" spans="3:26" ht="15.75" hidden="1" outlineLevel="1" x14ac:dyDescent="0.25">
      <c r="D6" s="384" t="s">
        <v>390</v>
      </c>
      <c r="E6" s="385">
        <v>726</v>
      </c>
      <c r="F6" s="384" t="s">
        <v>0</v>
      </c>
      <c r="G6" s="384"/>
      <c r="H6" s="388" t="s">
        <v>390</v>
      </c>
      <c r="I6" s="389">
        <v>1300</v>
      </c>
      <c r="J6" s="388" t="s">
        <v>74</v>
      </c>
      <c r="K6" s="384"/>
      <c r="L6" s="384" t="s">
        <v>390</v>
      </c>
      <c r="M6" s="385">
        <v>1065</v>
      </c>
      <c r="N6" s="384" t="s">
        <v>0</v>
      </c>
      <c r="O6" s="384"/>
      <c r="P6" s="384" t="s">
        <v>390</v>
      </c>
      <c r="Q6" s="385">
        <v>3510</v>
      </c>
      <c r="R6" s="384" t="s">
        <v>74</v>
      </c>
      <c r="S6" s="384"/>
      <c r="T6" s="384" t="s">
        <v>390</v>
      </c>
      <c r="U6" s="385">
        <v>1852</v>
      </c>
      <c r="V6" s="384" t="s">
        <v>0</v>
      </c>
      <c r="W6" s="384"/>
      <c r="X6" s="384" t="s">
        <v>390</v>
      </c>
      <c r="Y6" s="385">
        <f>+Q6</f>
        <v>3510</v>
      </c>
      <c r="Z6" s="384" t="s">
        <v>74</v>
      </c>
    </row>
    <row r="7" spans="3:26" ht="15.75" hidden="1" outlineLevel="1" x14ac:dyDescent="0.25">
      <c r="D7" s="384" t="s">
        <v>391</v>
      </c>
      <c r="E7" s="385">
        <v>429</v>
      </c>
      <c r="F7" s="384" t="s">
        <v>0</v>
      </c>
      <c r="G7" s="384"/>
      <c r="H7" s="388" t="s">
        <v>391</v>
      </c>
      <c r="I7" s="389">
        <v>902</v>
      </c>
      <c r="J7" s="388" t="s">
        <v>74</v>
      </c>
      <c r="K7" s="384"/>
      <c r="L7" s="384" t="s">
        <v>391</v>
      </c>
      <c r="M7" s="385">
        <v>758</v>
      </c>
      <c r="N7" s="384" t="s">
        <v>0</v>
      </c>
      <c r="O7" s="384"/>
      <c r="P7" s="384" t="s">
        <v>391</v>
      </c>
      <c r="Q7" s="385">
        <v>2435</v>
      </c>
      <c r="R7" s="384" t="s">
        <v>74</v>
      </c>
      <c r="S7" s="384"/>
      <c r="T7" s="384" t="s">
        <v>391</v>
      </c>
      <c r="U7" s="385">
        <v>1246</v>
      </c>
      <c r="V7" s="384" t="s">
        <v>0</v>
      </c>
      <c r="W7" s="384"/>
      <c r="X7" s="384" t="s">
        <v>391</v>
      </c>
      <c r="Y7" s="385">
        <f>+Q7</f>
        <v>2435</v>
      </c>
      <c r="Z7" s="384" t="s">
        <v>74</v>
      </c>
    </row>
    <row r="8" spans="3:26" ht="15.75" collapsed="1" x14ac:dyDescent="0.25">
      <c r="D8" s="386" t="s">
        <v>396</v>
      </c>
      <c r="E8" s="387">
        <v>300</v>
      </c>
      <c r="F8" s="386" t="s">
        <v>142</v>
      </c>
      <c r="G8" s="384"/>
      <c r="H8" s="388" t="s">
        <v>77</v>
      </c>
      <c r="I8" s="389">
        <v>2</v>
      </c>
      <c r="J8" s="388"/>
      <c r="K8" s="384"/>
      <c r="L8" s="386" t="s">
        <v>396</v>
      </c>
      <c r="M8" s="387">
        <v>300</v>
      </c>
      <c r="N8" s="386" t="s">
        <v>142</v>
      </c>
      <c r="O8" s="384"/>
      <c r="P8" s="388" t="s">
        <v>77</v>
      </c>
      <c r="Q8" s="389">
        <v>4</v>
      </c>
      <c r="R8" s="388"/>
      <c r="S8" s="384"/>
      <c r="T8" s="386" t="s">
        <v>396</v>
      </c>
      <c r="U8" s="387">
        <v>300</v>
      </c>
      <c r="V8" s="386" t="s">
        <v>142</v>
      </c>
      <c r="W8" s="384"/>
      <c r="X8" s="388" t="s">
        <v>77</v>
      </c>
      <c r="Y8" s="389">
        <f>+Q8</f>
        <v>4</v>
      </c>
      <c r="Z8" s="388"/>
    </row>
    <row r="9" spans="3:26" ht="15.75" x14ac:dyDescent="0.25">
      <c r="D9" s="386" t="s">
        <v>4</v>
      </c>
      <c r="E9" s="387">
        <v>3</v>
      </c>
      <c r="F9" s="386"/>
      <c r="G9" s="384"/>
      <c r="H9" s="388" t="s">
        <v>388</v>
      </c>
      <c r="I9" s="389">
        <v>1300</v>
      </c>
      <c r="J9" s="388" t="s">
        <v>74</v>
      </c>
      <c r="K9" s="384"/>
      <c r="L9" s="386" t="s">
        <v>4</v>
      </c>
      <c r="M9" s="387">
        <v>3</v>
      </c>
      <c r="N9" s="386"/>
      <c r="O9" s="384"/>
      <c r="P9" s="388" t="s">
        <v>388</v>
      </c>
      <c r="Q9" s="389">
        <v>1300</v>
      </c>
      <c r="R9" s="388" t="s">
        <v>74</v>
      </c>
      <c r="S9" s="384"/>
      <c r="T9" s="386" t="s">
        <v>4</v>
      </c>
      <c r="U9" s="390" t="s">
        <v>398</v>
      </c>
      <c r="V9" s="386"/>
      <c r="W9" s="384"/>
      <c r="X9" s="388" t="s">
        <v>388</v>
      </c>
      <c r="Y9" s="389">
        <f>+Q9</f>
        <v>1300</v>
      </c>
      <c r="Z9" s="388" t="s">
        <v>74</v>
      </c>
    </row>
    <row r="10" spans="3:26" ht="15.75" x14ac:dyDescent="0.25">
      <c r="D10" s="386" t="s">
        <v>389</v>
      </c>
      <c r="E10" s="387">
        <v>1100</v>
      </c>
      <c r="F10" s="386" t="s">
        <v>0</v>
      </c>
      <c r="G10" s="384"/>
      <c r="H10" s="388" t="s">
        <v>395</v>
      </c>
      <c r="I10" s="389">
        <f>+I9*I8</f>
        <v>2600</v>
      </c>
      <c r="J10" s="388" t="s">
        <v>74</v>
      </c>
      <c r="K10" s="384"/>
      <c r="L10" s="386" t="s">
        <v>389</v>
      </c>
      <c r="M10" s="387">
        <v>1100</v>
      </c>
      <c r="N10" s="386" t="s">
        <v>0</v>
      </c>
      <c r="O10" s="384"/>
      <c r="P10" s="388" t="s">
        <v>395</v>
      </c>
      <c r="Q10" s="389">
        <f>+Q9*Q8</f>
        <v>5200</v>
      </c>
      <c r="R10" s="388" t="s">
        <v>74</v>
      </c>
      <c r="S10" s="384"/>
      <c r="T10" s="386" t="s">
        <v>389</v>
      </c>
      <c r="U10" s="387">
        <v>1100</v>
      </c>
      <c r="V10" s="386" t="s">
        <v>0</v>
      </c>
      <c r="W10" s="384"/>
      <c r="X10" s="388" t="s">
        <v>395</v>
      </c>
      <c r="Y10" s="389">
        <f>+Q10</f>
        <v>5200</v>
      </c>
      <c r="Z10" s="388" t="s">
        <v>74</v>
      </c>
    </row>
    <row r="11" spans="3:26" ht="15.75" x14ac:dyDescent="0.25">
      <c r="D11" s="386" t="s">
        <v>395</v>
      </c>
      <c r="E11" s="387">
        <f>+E10*E9</f>
        <v>3300</v>
      </c>
      <c r="F11" s="386" t="s">
        <v>0</v>
      </c>
      <c r="G11" s="384"/>
      <c r="K11" s="384"/>
      <c r="L11" s="386" t="s">
        <v>395</v>
      </c>
      <c r="M11" s="387">
        <f>+M10*M9</f>
        <v>3300</v>
      </c>
      <c r="N11" s="386" t="s">
        <v>0</v>
      </c>
      <c r="O11" s="384"/>
      <c r="S11" s="384"/>
      <c r="T11" s="386" t="s">
        <v>395</v>
      </c>
      <c r="U11" s="387" t="s">
        <v>397</v>
      </c>
      <c r="V11" s="386" t="s">
        <v>0</v>
      </c>
      <c r="W11" s="384"/>
    </row>
    <row r="12" spans="3:26" ht="15.75" x14ac:dyDescent="0.25">
      <c r="D12" s="384"/>
      <c r="E12" s="384"/>
      <c r="F12" s="384"/>
      <c r="G12" s="384"/>
      <c r="H12" s="384"/>
      <c r="I12" s="384"/>
      <c r="J12" s="384"/>
      <c r="K12" s="384"/>
      <c r="L12" s="384"/>
      <c r="M12" s="384"/>
      <c r="N12" s="384"/>
      <c r="O12" s="384"/>
      <c r="P12" s="384"/>
      <c r="Q12" s="384"/>
      <c r="R12" s="384"/>
      <c r="S12" s="384"/>
      <c r="T12" s="384"/>
      <c r="U12" s="384"/>
      <c r="V12" s="384"/>
      <c r="W12" s="384"/>
      <c r="X12" s="384"/>
      <c r="Y12" s="384"/>
      <c r="Z12" s="384"/>
    </row>
  </sheetData>
  <mergeCells count="6">
    <mergeCell ref="X5:Z5"/>
    <mergeCell ref="D5:F5"/>
    <mergeCell ref="L5:N5"/>
    <mergeCell ref="T5:V5"/>
    <mergeCell ref="P5:R5"/>
    <mergeCell ref="H5:J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V261"/>
  <sheetViews>
    <sheetView topLeftCell="A13" zoomScaleNormal="100" workbookViewId="0">
      <selection activeCell="B167" sqref="B167"/>
    </sheetView>
  </sheetViews>
  <sheetFormatPr baseColWidth="10" defaultRowHeight="12.75" x14ac:dyDescent="0.2"/>
  <cols>
    <col min="1" max="1" width="24.140625" style="172" customWidth="1"/>
    <col min="2" max="2" width="12.140625" style="172" customWidth="1"/>
    <col min="3" max="7" width="11.42578125" style="172"/>
    <col min="8" max="8" width="11.7109375" style="172" customWidth="1"/>
    <col min="9" max="9" width="11.42578125" style="172"/>
    <col min="10" max="11" width="11.7109375" style="172" customWidth="1"/>
    <col min="12" max="13" width="11.42578125" style="172"/>
    <col min="14" max="14" width="12.85546875" style="172" customWidth="1"/>
    <col min="15" max="15" width="11.42578125" style="172"/>
    <col min="16" max="16" width="6.5703125" style="172" customWidth="1"/>
    <col min="17" max="17" width="19.5703125" style="172" customWidth="1"/>
    <col min="18" max="20" width="11.42578125" style="172"/>
    <col min="21" max="21" width="4.85546875" style="172" customWidth="1"/>
    <col min="22" max="16384" width="11.42578125" style="172"/>
  </cols>
  <sheetData>
    <row r="1" spans="1:21" ht="16.5" thickBot="1" x14ac:dyDescent="0.3">
      <c r="P1" s="173"/>
      <c r="Q1" s="173"/>
      <c r="R1" s="173"/>
      <c r="S1" s="173"/>
      <c r="T1" s="173"/>
    </row>
    <row r="2" spans="1:21" ht="16.5" thickTop="1" x14ac:dyDescent="0.25">
      <c r="A2" s="174" t="s">
        <v>167</v>
      </c>
      <c r="B2" s="174"/>
      <c r="C2" s="174"/>
      <c r="D2" s="174"/>
      <c r="E2" s="175"/>
      <c r="F2" s="175"/>
      <c r="P2" s="176"/>
      <c r="Q2" s="177" t="s">
        <v>168</v>
      </c>
      <c r="R2" s="178"/>
      <c r="S2" s="178"/>
      <c r="T2" s="178"/>
      <c r="U2" s="179"/>
    </row>
    <row r="3" spans="1:21" x14ac:dyDescent="0.2">
      <c r="P3" s="180"/>
      <c r="Q3" s="181"/>
      <c r="R3" s="182"/>
      <c r="S3" s="182"/>
      <c r="T3" s="182"/>
      <c r="U3" s="183"/>
    </row>
    <row r="4" spans="1:21" x14ac:dyDescent="0.2">
      <c r="P4" s="180"/>
      <c r="Q4" s="181"/>
      <c r="R4" s="182"/>
      <c r="S4" s="182"/>
      <c r="T4" s="182"/>
      <c r="U4" s="183"/>
    </row>
    <row r="5" spans="1:21" x14ac:dyDescent="0.2">
      <c r="A5" s="184" t="s">
        <v>146</v>
      </c>
      <c r="P5" s="176"/>
      <c r="Q5" s="185" t="s">
        <v>169</v>
      </c>
      <c r="R5" s="186"/>
      <c r="S5" s="186"/>
      <c r="T5" s="186"/>
      <c r="U5" s="187"/>
    </row>
    <row r="6" spans="1:21" x14ac:dyDescent="0.2">
      <c r="A6" s="188" t="s">
        <v>170</v>
      </c>
      <c r="B6" s="284" t="e">
        <f ca="1">R34</f>
        <v>#REF!</v>
      </c>
      <c r="P6" s="119"/>
      <c r="Q6" s="181"/>
      <c r="R6" s="182"/>
      <c r="S6" s="182"/>
      <c r="T6" s="182"/>
      <c r="U6" s="183"/>
    </row>
    <row r="7" spans="1:21" x14ac:dyDescent="0.2">
      <c r="A7" s="188" t="s">
        <v>171</v>
      </c>
      <c r="B7" s="284" t="e">
        <f ca="1">R32</f>
        <v>#REF!</v>
      </c>
      <c r="P7" s="119"/>
      <c r="Q7" s="190" t="s">
        <v>172</v>
      </c>
      <c r="R7" s="287">
        <f ca="1">+#REF!/1000</f>
        <v>1.3594608763027978E-4</v>
      </c>
      <c r="S7" s="182" t="s">
        <v>139</v>
      </c>
      <c r="T7" s="182"/>
      <c r="U7" s="183"/>
    </row>
    <row r="8" spans="1:21" x14ac:dyDescent="0.2">
      <c r="A8" s="188" t="s">
        <v>173</v>
      </c>
      <c r="B8" s="284" t="e">
        <f ca="1">R37</f>
        <v>#REF!</v>
      </c>
      <c r="P8" s="119"/>
      <c r="Q8" s="190"/>
      <c r="R8" s="182"/>
      <c r="S8" s="182"/>
      <c r="T8" s="182"/>
      <c r="U8" s="183"/>
    </row>
    <row r="9" spans="1:21" x14ac:dyDescent="0.2">
      <c r="P9" s="119"/>
      <c r="Q9" s="190" t="s">
        <v>285</v>
      </c>
      <c r="R9" s="288">
        <f ca="1">#REF!</f>
        <v>12.78</v>
      </c>
      <c r="S9" s="182" t="s">
        <v>137</v>
      </c>
      <c r="T9" s="182"/>
      <c r="U9" s="183"/>
    </row>
    <row r="10" spans="1:21" x14ac:dyDescent="0.2">
      <c r="A10" s="184" t="s">
        <v>174</v>
      </c>
      <c r="P10" s="119"/>
      <c r="Q10" s="190"/>
      <c r="R10" s="182"/>
      <c r="S10" s="182"/>
      <c r="T10" s="182"/>
      <c r="U10" s="183"/>
    </row>
    <row r="11" spans="1:21" ht="15" x14ac:dyDescent="0.25">
      <c r="A11" s="188" t="s">
        <v>175</v>
      </c>
      <c r="B11" s="284" t="e">
        <f>R45</f>
        <v>#REF!</v>
      </c>
      <c r="P11" s="119"/>
      <c r="Q11" s="190" t="s">
        <v>286</v>
      </c>
      <c r="R11" s="289">
        <f>'Parámetros Planta'!D11</f>
        <v>0.38622290334044057</v>
      </c>
      <c r="S11" s="182"/>
      <c r="T11" s="182"/>
      <c r="U11" s="183"/>
    </row>
    <row r="12" spans="1:21" x14ac:dyDescent="0.2">
      <c r="A12" s="188" t="s">
        <v>173</v>
      </c>
      <c r="B12" s="285">
        <f>R43</f>
        <v>5.0000000000000001E-3</v>
      </c>
      <c r="P12" s="119"/>
      <c r="Q12" s="190" t="s">
        <v>176</v>
      </c>
      <c r="R12" s="327">
        <v>0.8</v>
      </c>
      <c r="S12" s="182"/>
      <c r="T12" s="182"/>
      <c r="U12" s="183"/>
    </row>
    <row r="13" spans="1:21" x14ac:dyDescent="0.2">
      <c r="P13" s="119"/>
      <c r="Q13" s="190" t="s">
        <v>178</v>
      </c>
      <c r="R13" s="291" t="e">
        <f ca="1">+#REF!/(#REF!+#REF!)</f>
        <v>#REF!</v>
      </c>
      <c r="S13" s="182"/>
      <c r="T13" s="182"/>
      <c r="U13" s="183"/>
    </row>
    <row r="14" spans="1:21" x14ac:dyDescent="0.2">
      <c r="A14" s="191" t="s">
        <v>177</v>
      </c>
      <c r="P14" s="119"/>
      <c r="Q14" s="181"/>
      <c r="R14" s="182"/>
      <c r="S14" s="182"/>
      <c r="T14" s="182"/>
      <c r="U14" s="183"/>
    </row>
    <row r="15" spans="1:21" ht="15" x14ac:dyDescent="0.25">
      <c r="A15" s="192" t="s">
        <v>179</v>
      </c>
      <c r="B15" s="286">
        <f>R53</f>
        <v>-36.482989427600707</v>
      </c>
      <c r="C15" s="175"/>
      <c r="D15" s="175"/>
      <c r="E15" s="175"/>
      <c r="F15" s="193"/>
      <c r="I15" s="194"/>
      <c r="P15" s="119"/>
      <c r="Q15" s="190" t="s">
        <v>180</v>
      </c>
      <c r="R15" s="287">
        <f ca="1">#REF!</f>
        <v>0.9957495054382246</v>
      </c>
      <c r="S15" s="182" t="s">
        <v>284</v>
      </c>
      <c r="T15" s="182"/>
      <c r="U15" s="183"/>
    </row>
    <row r="16" spans="1:21" ht="15" x14ac:dyDescent="0.25">
      <c r="A16" s="192" t="s">
        <v>173</v>
      </c>
      <c r="B16" s="285">
        <f>R51</f>
        <v>5.0000000000000001E-3</v>
      </c>
      <c r="P16" s="119"/>
      <c r="Q16" s="190" t="s">
        <v>181</v>
      </c>
      <c r="R16" s="290">
        <f>+Densidad_DO</f>
        <v>0.84499999999999997</v>
      </c>
      <c r="S16" s="182" t="s">
        <v>113</v>
      </c>
      <c r="T16" s="182"/>
      <c r="U16" s="183"/>
    </row>
    <row r="17" spans="1:21" x14ac:dyDescent="0.2">
      <c r="P17" s="119"/>
      <c r="Q17" s="190" t="s">
        <v>182</v>
      </c>
      <c r="R17" s="290">
        <f>+PCI_DO_kWh_kg</f>
        <v>11.861111111111111</v>
      </c>
      <c r="S17" s="182" t="s">
        <v>114</v>
      </c>
      <c r="T17" s="182"/>
      <c r="U17" s="183"/>
    </row>
    <row r="18" spans="1:21" ht="15" x14ac:dyDescent="0.25">
      <c r="A18" s="174" t="s">
        <v>296</v>
      </c>
      <c r="B18" s="174"/>
      <c r="C18" s="174"/>
      <c r="D18" s="174"/>
      <c r="E18" s="174"/>
      <c r="F18" s="174"/>
      <c r="G18" s="174"/>
      <c r="H18" s="174"/>
      <c r="I18" s="174"/>
      <c r="J18" s="174"/>
      <c r="K18" s="174"/>
      <c r="L18" s="174"/>
      <c r="M18" s="174"/>
      <c r="P18" s="119"/>
      <c r="Q18" s="190" t="s">
        <v>183</v>
      </c>
      <c r="R18" s="289">
        <f>+rend_CAT</f>
        <v>0.37418755501563994</v>
      </c>
      <c r="S18" s="182"/>
      <c r="T18" s="182"/>
      <c r="U18" s="183"/>
    </row>
    <row r="19" spans="1:21" x14ac:dyDescent="0.2">
      <c r="P19" s="119"/>
      <c r="Q19" s="190" t="s">
        <v>176</v>
      </c>
      <c r="R19" s="327">
        <v>0.8</v>
      </c>
      <c r="S19" s="182"/>
      <c r="T19" s="182"/>
      <c r="U19" s="183"/>
    </row>
    <row r="20" spans="1:21" x14ac:dyDescent="0.2">
      <c r="A20" s="195" t="s">
        <v>184</v>
      </c>
      <c r="B20" s="191"/>
      <c r="C20" s="191">
        <v>1</v>
      </c>
      <c r="D20" s="191">
        <v>2</v>
      </c>
      <c r="E20" s="191">
        <v>3</v>
      </c>
      <c r="F20" s="191">
        <v>4</v>
      </c>
      <c r="G20" s="191">
        <v>5</v>
      </c>
      <c r="H20" s="191">
        <v>6</v>
      </c>
      <c r="I20" s="191">
        <v>7</v>
      </c>
      <c r="J20" s="191">
        <v>8</v>
      </c>
      <c r="K20" s="191">
        <v>9</v>
      </c>
      <c r="L20" s="191">
        <v>10</v>
      </c>
      <c r="M20" s="175"/>
      <c r="P20" s="119"/>
      <c r="Q20" s="190" t="s">
        <v>178</v>
      </c>
      <c r="R20" s="291" t="e">
        <f ca="1">+#REF!/(#REF!+#REF!)</f>
        <v>#REF!</v>
      </c>
      <c r="S20" s="182"/>
      <c r="T20" s="182"/>
      <c r="U20" s="183"/>
    </row>
    <row r="21" spans="1:21" x14ac:dyDescent="0.2">
      <c r="A21" s="196" t="s">
        <v>288</v>
      </c>
      <c r="B21" s="197">
        <f ca="1">#REF!</f>
        <v>12.78</v>
      </c>
      <c r="C21" s="197">
        <f>$B$21*(1+C44)</f>
        <v>14.058</v>
      </c>
      <c r="D21" s="197">
        <f>$B$21*(1+D44)</f>
        <v>12.78</v>
      </c>
      <c r="E21" s="197">
        <f t="shared" ref="E21:L21" si="0">$B$21*(1+E44)</f>
        <v>14.058</v>
      </c>
      <c r="F21" s="197">
        <f t="shared" si="0"/>
        <v>15.335999999999999</v>
      </c>
      <c r="G21" s="197">
        <f t="shared" si="0"/>
        <v>14.058</v>
      </c>
      <c r="H21" s="197">
        <f t="shared" si="0"/>
        <v>15.335999999999999</v>
      </c>
      <c r="I21" s="197">
        <f t="shared" si="0"/>
        <v>16.614000000000001</v>
      </c>
      <c r="J21" s="197">
        <f t="shared" si="0"/>
        <v>15.335999999999999</v>
      </c>
      <c r="K21" s="197">
        <f t="shared" si="0"/>
        <v>16.614000000000001</v>
      </c>
      <c r="L21" s="197">
        <f t="shared" si="0"/>
        <v>19.169999999999998</v>
      </c>
      <c r="M21" s="175"/>
      <c r="P21" s="119"/>
      <c r="Q21" s="181"/>
      <c r="R21" s="182"/>
      <c r="S21" s="182"/>
      <c r="T21" s="198"/>
      <c r="U21" s="183"/>
    </row>
    <row r="22" spans="1:21" x14ac:dyDescent="0.2">
      <c r="A22" s="196" t="s">
        <v>290</v>
      </c>
      <c r="B22" s="197">
        <f ca="1">+#REF!</f>
        <v>0.9957495054382246</v>
      </c>
      <c r="C22" s="197">
        <f>$B$22*(1+C45)</f>
        <v>0.9957495054382246</v>
      </c>
      <c r="D22" s="197">
        <f t="shared" ref="D22:J22" si="1">$B$22*(1+D45)</f>
        <v>1.0953244559820472</v>
      </c>
      <c r="E22" s="197">
        <f t="shared" si="1"/>
        <v>1.0953244559820472</v>
      </c>
      <c r="F22" s="197">
        <f t="shared" si="1"/>
        <v>1.0953244559820472</v>
      </c>
      <c r="G22" s="197">
        <f t="shared" si="1"/>
        <v>1.1948994065258696</v>
      </c>
      <c r="H22" s="197">
        <f>$B$22*(1+H45)</f>
        <v>1.1948994065258696</v>
      </c>
      <c r="I22" s="197">
        <f t="shared" si="1"/>
        <v>1.1948994065258696</v>
      </c>
      <c r="J22" s="197">
        <f t="shared" si="1"/>
        <v>1.2944743570696919</v>
      </c>
      <c r="K22" s="197">
        <f>$B$22*(1+K45)</f>
        <v>1.2944743570696919</v>
      </c>
      <c r="L22" s="197">
        <f>$B$22*(1+L45)</f>
        <v>1.4936242581573369</v>
      </c>
      <c r="M22" s="175"/>
      <c r="P22" s="119"/>
      <c r="Q22" s="190" t="s">
        <v>81</v>
      </c>
      <c r="R22" s="182"/>
      <c r="S22" s="182"/>
      <c r="T22" s="182"/>
      <c r="U22" s="183"/>
    </row>
    <row r="23" spans="1:21" x14ac:dyDescent="0.2">
      <c r="A23" s="199"/>
      <c r="B23" s="200"/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175"/>
      <c r="P23" s="119"/>
      <c r="Q23" s="190" t="s">
        <v>188</v>
      </c>
      <c r="R23" s="290">
        <f>(1/(293.071*R11))</f>
        <v>8.8346455391728421E-3</v>
      </c>
      <c r="S23" s="182" t="s">
        <v>283</v>
      </c>
      <c r="T23" s="182"/>
      <c r="U23" s="183"/>
    </row>
    <row r="24" spans="1:21" x14ac:dyDescent="0.2">
      <c r="A24" s="196" t="s">
        <v>187</v>
      </c>
      <c r="B24" s="201" t="e">
        <f ca="1">$B$8+($B$6*B21)+($B$7*B22)</f>
        <v>#REF!</v>
      </c>
      <c r="C24" s="201" t="e">
        <f t="shared" ref="C24:K24" ca="1" si="2">$B$8+($B$6*C21)+($B$7*C22)</f>
        <v>#REF!</v>
      </c>
      <c r="D24" s="201" t="e">
        <f t="shared" ca="1" si="2"/>
        <v>#REF!</v>
      </c>
      <c r="E24" s="201" t="e">
        <f t="shared" ca="1" si="2"/>
        <v>#REF!</v>
      </c>
      <c r="F24" s="201" t="e">
        <f t="shared" ca="1" si="2"/>
        <v>#REF!</v>
      </c>
      <c r="G24" s="201" t="e">
        <f t="shared" ca="1" si="2"/>
        <v>#REF!</v>
      </c>
      <c r="H24" s="201" t="e">
        <f t="shared" ca="1" si="2"/>
        <v>#REF!</v>
      </c>
      <c r="I24" s="201" t="e">
        <f t="shared" ca="1" si="2"/>
        <v>#REF!</v>
      </c>
      <c r="J24" s="201" t="e">
        <f t="shared" ca="1" si="2"/>
        <v>#REF!</v>
      </c>
      <c r="K24" s="201" t="e">
        <f t="shared" ca="1" si="2"/>
        <v>#REF!</v>
      </c>
      <c r="L24" s="201" t="e">
        <f ca="1">$B$8+($B$6*L21)+($B$7*L22)</f>
        <v>#REF!</v>
      </c>
      <c r="M24" s="175"/>
      <c r="P24" s="119"/>
      <c r="Q24" s="190" t="s">
        <v>191</v>
      </c>
      <c r="R24" s="290" t="e">
        <f ca="1">(R23/R12)*R13</f>
        <v>#REF!</v>
      </c>
      <c r="S24" s="182"/>
      <c r="T24" s="182"/>
      <c r="U24" s="183"/>
    </row>
    <row r="25" spans="1:21" x14ac:dyDescent="0.2">
      <c r="A25" s="196" t="s">
        <v>190</v>
      </c>
      <c r="B25" s="201" t="e">
        <f>$B$12+($B$11*B21)</f>
        <v>#REF!</v>
      </c>
      <c r="C25" s="201" t="e">
        <f t="shared" ref="C25:L25" si="3">$B$12+($B$11*C21)</f>
        <v>#REF!</v>
      </c>
      <c r="D25" s="201" t="e">
        <f t="shared" si="3"/>
        <v>#REF!</v>
      </c>
      <c r="E25" s="201" t="e">
        <f t="shared" si="3"/>
        <v>#REF!</v>
      </c>
      <c r="F25" s="201" t="e">
        <f t="shared" si="3"/>
        <v>#REF!</v>
      </c>
      <c r="G25" s="201" t="e">
        <f t="shared" si="3"/>
        <v>#REF!</v>
      </c>
      <c r="H25" s="201" t="e">
        <f t="shared" si="3"/>
        <v>#REF!</v>
      </c>
      <c r="I25" s="201" t="e">
        <f t="shared" si="3"/>
        <v>#REF!</v>
      </c>
      <c r="J25" s="201" t="e">
        <f t="shared" si="3"/>
        <v>#REF!</v>
      </c>
      <c r="K25" s="201" t="e">
        <f t="shared" si="3"/>
        <v>#REF!</v>
      </c>
      <c r="L25" s="201" t="e">
        <f t="shared" si="3"/>
        <v>#REF!</v>
      </c>
      <c r="M25" s="175"/>
      <c r="P25" s="119"/>
      <c r="Q25" s="181"/>
      <c r="R25" s="182"/>
      <c r="S25" s="182"/>
      <c r="T25" s="182"/>
      <c r="U25" s="183"/>
    </row>
    <row r="26" spans="1:21" x14ac:dyDescent="0.2">
      <c r="A26" s="196" t="s">
        <v>192</v>
      </c>
      <c r="B26" s="201" t="e">
        <f ca="1">$B$16+($B$15*B24)</f>
        <v>#REF!</v>
      </c>
      <c r="C26" s="201" t="e">
        <f t="shared" ref="C26:L26" ca="1" si="4">$B$16+($B$15*C24)</f>
        <v>#REF!</v>
      </c>
      <c r="D26" s="201" t="e">
        <f t="shared" ca="1" si="4"/>
        <v>#REF!</v>
      </c>
      <c r="E26" s="201" t="e">
        <f t="shared" ca="1" si="4"/>
        <v>#REF!</v>
      </c>
      <c r="F26" s="201" t="e">
        <f t="shared" ca="1" si="4"/>
        <v>#REF!</v>
      </c>
      <c r="G26" s="201" t="e">
        <f t="shared" ca="1" si="4"/>
        <v>#REF!</v>
      </c>
      <c r="H26" s="201" t="e">
        <f t="shared" ca="1" si="4"/>
        <v>#REF!</v>
      </c>
      <c r="I26" s="201" t="e">
        <f t="shared" ca="1" si="4"/>
        <v>#REF!</v>
      </c>
      <c r="J26" s="201" t="e">
        <f t="shared" ca="1" si="4"/>
        <v>#REF!</v>
      </c>
      <c r="K26" s="201" t="e">
        <f t="shared" ca="1" si="4"/>
        <v>#REF!</v>
      </c>
      <c r="L26" s="201" t="e">
        <f t="shared" ca="1" si="4"/>
        <v>#REF!</v>
      </c>
      <c r="M26" s="175"/>
      <c r="N26" s="202"/>
      <c r="O26" s="202"/>
      <c r="P26" s="119"/>
      <c r="Q26" s="203" t="s">
        <v>193</v>
      </c>
      <c r="R26" s="502" t="e">
        <f ca="1">+IF(#REF!&gt;#REF!,#REF!,#REF!)/#REF!*Fórmulas!R45</f>
        <v>#REF!</v>
      </c>
      <c r="S26" s="182" t="s">
        <v>194</v>
      </c>
      <c r="T26" s="182"/>
      <c r="U26" s="183"/>
    </row>
    <row r="27" spans="1:21" x14ac:dyDescent="0.2">
      <c r="A27" s="175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175"/>
      <c r="P27" s="119"/>
      <c r="Q27" s="190" t="s">
        <v>196</v>
      </c>
      <c r="R27" s="290" t="e">
        <f ca="1">(R26/R12)*R13</f>
        <v>#REF!</v>
      </c>
      <c r="S27" s="182"/>
      <c r="T27" s="182"/>
      <c r="U27" s="183"/>
    </row>
    <row r="28" spans="1:21" x14ac:dyDescent="0.2">
      <c r="A28" s="199" t="s">
        <v>298</v>
      </c>
      <c r="B28" s="205">
        <f ca="1">+IF(#REF!="SI",Termino_Fijo_I,0)+IF(#REF!="SI",Termino_Fijo_II,0)+IF(#REF!="SI",Termino_Fijo_III,0)</f>
        <v>1104897.9518814073</v>
      </c>
      <c r="C28" s="205">
        <f>+B28</f>
        <v>1104897.9518814073</v>
      </c>
      <c r="D28" s="205">
        <f t="shared" ref="D28:L28" si="5">+C28</f>
        <v>1104897.9518814073</v>
      </c>
      <c r="E28" s="205">
        <f t="shared" si="5"/>
        <v>1104897.9518814073</v>
      </c>
      <c r="F28" s="205">
        <f t="shared" si="5"/>
        <v>1104897.9518814073</v>
      </c>
      <c r="G28" s="205">
        <f t="shared" si="5"/>
        <v>1104897.9518814073</v>
      </c>
      <c r="H28" s="205">
        <f t="shared" si="5"/>
        <v>1104897.9518814073</v>
      </c>
      <c r="I28" s="205">
        <f t="shared" si="5"/>
        <v>1104897.9518814073</v>
      </c>
      <c r="J28" s="205">
        <f t="shared" si="5"/>
        <v>1104897.9518814073</v>
      </c>
      <c r="K28" s="205">
        <f t="shared" si="5"/>
        <v>1104897.9518814073</v>
      </c>
      <c r="L28" s="205">
        <f t="shared" si="5"/>
        <v>1104897.9518814073</v>
      </c>
      <c r="M28" s="175"/>
      <c r="P28" s="119"/>
      <c r="Q28" s="190"/>
      <c r="R28" s="290"/>
      <c r="S28" s="182"/>
      <c r="T28" s="182"/>
      <c r="U28" s="183"/>
    </row>
    <row r="29" spans="1:21" x14ac:dyDescent="0.2">
      <c r="A29" s="196" t="s">
        <v>195</v>
      </c>
      <c r="B29" s="205" t="e">
        <f ca="1">B24*#REF!*1000</f>
        <v>#REF!</v>
      </c>
      <c r="C29" s="205" t="e">
        <f ca="1">C24*#REF!*1000</f>
        <v>#REF!</v>
      </c>
      <c r="D29" s="205" t="e">
        <f ca="1">D24*#REF!*1000</f>
        <v>#REF!</v>
      </c>
      <c r="E29" s="205" t="e">
        <f ca="1">E24*#REF!*1000</f>
        <v>#REF!</v>
      </c>
      <c r="F29" s="205" t="e">
        <f ca="1">F24*#REF!*1000</f>
        <v>#REF!</v>
      </c>
      <c r="G29" s="205" t="e">
        <f ca="1">G24*#REF!*1000</f>
        <v>#REF!</v>
      </c>
      <c r="H29" s="205" t="e">
        <f ca="1">H24*#REF!*1000</f>
        <v>#REF!</v>
      </c>
      <c r="I29" s="205" t="e">
        <f ca="1">I24*#REF!*1000</f>
        <v>#REF!</v>
      </c>
      <c r="J29" s="205" t="e">
        <f ca="1">J24*#REF!*1000</f>
        <v>#REF!</v>
      </c>
      <c r="K29" s="205" t="e">
        <f ca="1">K24*#REF!*1000</f>
        <v>#REF!</v>
      </c>
      <c r="L29" s="205" t="e">
        <f ca="1">L24*#REF!*1000</f>
        <v>#REF!</v>
      </c>
      <c r="M29" s="175"/>
      <c r="P29" s="119"/>
      <c r="Q29" s="181"/>
      <c r="R29" s="182"/>
      <c r="S29" s="182"/>
      <c r="T29" s="182"/>
      <c r="U29" s="183"/>
    </row>
    <row r="30" spans="1:21" x14ac:dyDescent="0.2">
      <c r="A30" s="196" t="s">
        <v>197</v>
      </c>
      <c r="B30" s="206" t="e">
        <f ca="1">B25*#REF!*1000</f>
        <v>#REF!</v>
      </c>
      <c r="C30" s="206" t="e">
        <f ca="1">C25*#REF!*1000</f>
        <v>#REF!</v>
      </c>
      <c r="D30" s="206" t="e">
        <f ca="1">D25*#REF!*1000</f>
        <v>#REF!</v>
      </c>
      <c r="E30" s="206" t="e">
        <f ca="1">E25*#REF!*1000</f>
        <v>#REF!</v>
      </c>
      <c r="F30" s="206" t="e">
        <f ca="1">F25*#REF!*1000</f>
        <v>#REF!</v>
      </c>
      <c r="G30" s="206" t="e">
        <f ca="1">G25*#REF!*1000</f>
        <v>#REF!</v>
      </c>
      <c r="H30" s="206" t="e">
        <f ca="1">H25*#REF!*1000</f>
        <v>#REF!</v>
      </c>
      <c r="I30" s="206" t="e">
        <f ca="1">I25*#REF!*1000</f>
        <v>#REF!</v>
      </c>
      <c r="J30" s="206" t="e">
        <f ca="1">J25*#REF!*1000</f>
        <v>#REF!</v>
      </c>
      <c r="K30" s="206" t="e">
        <f ca="1">K25*#REF!*1000</f>
        <v>#REF!</v>
      </c>
      <c r="L30" s="206" t="e">
        <f ca="1">L25*#REF!*1000</f>
        <v>#REF!</v>
      </c>
      <c r="M30" s="175"/>
      <c r="P30" s="119"/>
      <c r="Q30" s="190" t="s">
        <v>199</v>
      </c>
      <c r="R30" s="182"/>
      <c r="S30" s="182"/>
      <c r="T30" s="182"/>
      <c r="U30" s="183"/>
    </row>
    <row r="31" spans="1:21" x14ac:dyDescent="0.2">
      <c r="A31" s="196" t="s">
        <v>198</v>
      </c>
      <c r="B31" s="206" t="e">
        <f ca="1">B26*#REF!*1000</f>
        <v>#REF!</v>
      </c>
      <c r="C31" s="206" t="e">
        <f ca="1">C26*#REF!*1000</f>
        <v>#REF!</v>
      </c>
      <c r="D31" s="206" t="e">
        <f ca="1">D26*#REF!*1000</f>
        <v>#REF!</v>
      </c>
      <c r="E31" s="206" t="e">
        <f ca="1">E26*#REF!*1000</f>
        <v>#REF!</v>
      </c>
      <c r="F31" s="206" t="e">
        <f ca="1">F26*#REF!*1000</f>
        <v>#REF!</v>
      </c>
      <c r="G31" s="206" t="e">
        <f ca="1">G26*#REF!*1000</f>
        <v>#REF!</v>
      </c>
      <c r="H31" s="206" t="e">
        <f ca="1">H26*#REF!*1000</f>
        <v>#REF!</v>
      </c>
      <c r="I31" s="206" t="e">
        <f ca="1">I26*#REF!*1000</f>
        <v>#REF!</v>
      </c>
      <c r="J31" s="206" t="e">
        <f ca="1">J26*#REF!*1000</f>
        <v>#REF!</v>
      </c>
      <c r="K31" s="206" t="e">
        <f ca="1">K26*#REF!*1000</f>
        <v>#REF!</v>
      </c>
      <c r="L31" s="206" t="e">
        <f ca="1">L26*#REF!*1000</f>
        <v>#REF!</v>
      </c>
      <c r="M31" s="175"/>
      <c r="P31" s="119"/>
      <c r="Q31" s="190" t="s">
        <v>201</v>
      </c>
      <c r="R31" s="290">
        <f>(1/(R16*R17*R18))</f>
        <v>0.26664201183431951</v>
      </c>
      <c r="S31" s="182" t="s">
        <v>189</v>
      </c>
      <c r="T31" s="182"/>
      <c r="U31" s="183"/>
    </row>
    <row r="32" spans="1:21" x14ac:dyDescent="0.2">
      <c r="A32" s="195" t="s">
        <v>200</v>
      </c>
      <c r="B32" s="207" t="e">
        <f ca="1">+SUM(B28:B31)</f>
        <v>#REF!</v>
      </c>
      <c r="C32" s="207" t="e">
        <f t="shared" ref="C32:L32" ca="1" si="6">+SUM(C28:C31)</f>
        <v>#REF!</v>
      </c>
      <c r="D32" s="207" t="e">
        <f t="shared" ca="1" si="6"/>
        <v>#REF!</v>
      </c>
      <c r="E32" s="207" t="e">
        <f t="shared" ca="1" si="6"/>
        <v>#REF!</v>
      </c>
      <c r="F32" s="207" t="e">
        <f t="shared" ca="1" si="6"/>
        <v>#REF!</v>
      </c>
      <c r="G32" s="207" t="e">
        <f t="shared" ca="1" si="6"/>
        <v>#REF!</v>
      </c>
      <c r="H32" s="207" t="e">
        <f t="shared" ca="1" si="6"/>
        <v>#REF!</v>
      </c>
      <c r="I32" s="207" t="e">
        <f t="shared" ca="1" si="6"/>
        <v>#REF!</v>
      </c>
      <c r="J32" s="207" t="e">
        <f t="shared" ca="1" si="6"/>
        <v>#REF!</v>
      </c>
      <c r="K32" s="207" t="e">
        <f t="shared" ca="1" si="6"/>
        <v>#REF!</v>
      </c>
      <c r="L32" s="207" t="e">
        <f t="shared" ca="1" si="6"/>
        <v>#REF!</v>
      </c>
      <c r="M32" s="175"/>
      <c r="P32" s="119"/>
      <c r="Q32" s="190" t="s">
        <v>171</v>
      </c>
      <c r="R32" s="290" t="e">
        <f ca="1">(R31/R19)*R20</f>
        <v>#REF!</v>
      </c>
      <c r="S32" s="182"/>
      <c r="T32" s="182"/>
      <c r="U32" s="183"/>
    </row>
    <row r="33" spans="1:21" x14ac:dyDescent="0.2">
      <c r="A33" s="199"/>
      <c r="B33" s="200"/>
      <c r="C33" s="200"/>
      <c r="D33" s="200"/>
      <c r="E33" s="200"/>
      <c r="F33" s="200"/>
      <c r="G33" s="200"/>
      <c r="H33" s="200"/>
      <c r="I33" s="200"/>
      <c r="J33" s="200"/>
      <c r="K33" s="200"/>
      <c r="L33" s="200"/>
      <c r="M33" s="175"/>
      <c r="P33" s="176"/>
      <c r="Q33" s="181"/>
      <c r="R33" s="182"/>
      <c r="S33" s="182"/>
      <c r="T33" s="182"/>
      <c r="U33" s="183"/>
    </row>
    <row r="34" spans="1:21" x14ac:dyDescent="0.2">
      <c r="A34" s="196" t="s">
        <v>291</v>
      </c>
      <c r="B34" s="206">
        <f ca="1">#REF!*1.109*1000/293.071*Fórmulas!B21</f>
        <v>1690138.289013017</v>
      </c>
      <c r="C34" s="206">
        <f ca="1">#REF!*1.109*1000/293.071*Fórmulas!C21</f>
        <v>1859152.1179143186</v>
      </c>
      <c r="D34" s="206">
        <f ca="1">#REF!*1.109*1000/293.071*Fórmulas!D21</f>
        <v>1690138.289013017</v>
      </c>
      <c r="E34" s="206">
        <f ca="1">#REF!*1.109*1000/293.071*Fórmulas!E21</f>
        <v>1859152.1179143186</v>
      </c>
      <c r="F34" s="206">
        <f ca="1">#REF!*1.109*1000/293.071*Fórmulas!F21</f>
        <v>2028165.9468156202</v>
      </c>
      <c r="G34" s="206">
        <f ca="1">#REF!*1.109*1000/293.071*Fórmulas!G21</f>
        <v>1859152.1179143186</v>
      </c>
      <c r="H34" s="206">
        <f ca="1">#REF!*1.109*1000/293.071*Fórmulas!H21</f>
        <v>2028165.9468156202</v>
      </c>
      <c r="I34" s="206">
        <f ca="1">#REF!*1.109*1000/293.071*Fórmulas!I21</f>
        <v>2197179.7757169222</v>
      </c>
      <c r="J34" s="206">
        <f ca="1">#REF!*1.109*1000/293.071*Fórmulas!J21</f>
        <v>2028165.9468156202</v>
      </c>
      <c r="K34" s="206">
        <f ca="1">#REF!*1.109*1000/293.071*Fórmulas!K21</f>
        <v>2197179.7757169222</v>
      </c>
      <c r="L34" s="206">
        <f ca="1">#REF!*1.109*1000/293.071*Fórmulas!L21</f>
        <v>2535207.4335195255</v>
      </c>
      <c r="M34" s="175"/>
      <c r="P34" s="169"/>
      <c r="Q34" s="190" t="s">
        <v>170</v>
      </c>
      <c r="R34" s="290" t="e">
        <f ca="1">R24-R27</f>
        <v>#REF!</v>
      </c>
      <c r="S34" s="182"/>
      <c r="T34" s="182"/>
      <c r="U34" s="183"/>
    </row>
    <row r="35" spans="1:21" x14ac:dyDescent="0.2">
      <c r="A35" s="196" t="s">
        <v>203</v>
      </c>
      <c r="B35" s="278">
        <f ca="1">+#REF!*1000/PCI_DO_kWh_L*Fórmulas!B22</f>
        <v>5531.4654554768158</v>
      </c>
      <c r="C35" s="206">
        <f ca="1">+#REF!*1000/PCI_DO_kWh_L*Fórmulas!C22</f>
        <v>5531.4654554768158</v>
      </c>
      <c r="D35" s="206">
        <f ca="1">+#REF!*1000/PCI_DO_kWh_L*Fórmulas!D22</f>
        <v>6084.6120010244977</v>
      </c>
      <c r="E35" s="206">
        <f ca="1">+#REF!*1000/PCI_DO_kWh_L*Fórmulas!E22</f>
        <v>6084.6120010244977</v>
      </c>
      <c r="F35" s="206">
        <f ca="1">+#REF!*1000/PCI_DO_kWh_L*Fórmulas!F22</f>
        <v>6084.6120010244977</v>
      </c>
      <c r="G35" s="206">
        <f ca="1">+#REF!*1000/PCI_DO_kWh_L*Fórmulas!G22</f>
        <v>6637.7585465721786</v>
      </c>
      <c r="H35" s="206">
        <f ca="1">+#REF!*1000/PCI_DO_kWh_L*Fórmulas!H22</f>
        <v>6637.7585465721786</v>
      </c>
      <c r="I35" s="206">
        <f ca="1">+#REF!*1000/PCI_DO_kWh_L*Fórmulas!I22</f>
        <v>6637.7585465721786</v>
      </c>
      <c r="J35" s="206">
        <f ca="1">+#REF!*1000/PCI_DO_kWh_L*Fórmulas!J22</f>
        <v>7190.9050921198595</v>
      </c>
      <c r="K35" s="206">
        <f ca="1">+#REF!*1000/PCI_DO_kWh_L*Fórmulas!K22</f>
        <v>7190.9050921198595</v>
      </c>
      <c r="L35" s="206">
        <f ca="1">+#REF!*1000/PCI_DO_kWh_L*Fórmulas!L22</f>
        <v>8297.1981832152233</v>
      </c>
      <c r="M35" s="175"/>
      <c r="P35" s="176"/>
      <c r="Q35" s="181"/>
      <c r="R35" s="182"/>
      <c r="S35" s="182"/>
      <c r="T35" s="182"/>
      <c r="U35" s="183"/>
    </row>
    <row r="36" spans="1:21" x14ac:dyDescent="0.2">
      <c r="A36" s="196" t="s">
        <v>295</v>
      </c>
      <c r="B36" s="278">
        <f ca="1">+#REF!</f>
        <v>10088.425793326531</v>
      </c>
      <c r="C36" s="206">
        <f ca="1">+$B$36</f>
        <v>10088.425793326531</v>
      </c>
      <c r="D36" s="206">
        <f t="shared" ref="D36:L36" ca="1" si="7">+$B$36</f>
        <v>10088.425793326531</v>
      </c>
      <c r="E36" s="206">
        <f t="shared" ca="1" si="7"/>
        <v>10088.425793326531</v>
      </c>
      <c r="F36" s="206">
        <f t="shared" ca="1" si="7"/>
        <v>10088.425793326531</v>
      </c>
      <c r="G36" s="206">
        <f t="shared" ca="1" si="7"/>
        <v>10088.425793326531</v>
      </c>
      <c r="H36" s="206">
        <f t="shared" ca="1" si="7"/>
        <v>10088.425793326531</v>
      </c>
      <c r="I36" s="206">
        <f t="shared" ca="1" si="7"/>
        <v>10088.425793326531</v>
      </c>
      <c r="J36" s="206">
        <f t="shared" ca="1" si="7"/>
        <v>10088.425793326531</v>
      </c>
      <c r="K36" s="206">
        <f t="shared" ca="1" si="7"/>
        <v>10088.425793326531</v>
      </c>
      <c r="L36" s="206">
        <f t="shared" ca="1" si="7"/>
        <v>10088.425793326531</v>
      </c>
      <c r="M36" s="175"/>
      <c r="P36" s="176"/>
      <c r="Q36" s="190" t="s">
        <v>206</v>
      </c>
      <c r="R36" s="290" t="e">
        <f ca="1">(R24*R9)-(R27*R9)+(R32*R15)</f>
        <v>#REF!</v>
      </c>
      <c r="S36" s="120" t="s">
        <v>287</v>
      </c>
      <c r="T36" s="182"/>
      <c r="U36" s="183"/>
    </row>
    <row r="37" spans="1:21" x14ac:dyDescent="0.2">
      <c r="A37" s="196" t="s">
        <v>204</v>
      </c>
      <c r="B37" s="206">
        <f ca="1">+#REF!</f>
        <v>246800</v>
      </c>
      <c r="C37" s="206">
        <f>+$B$37</f>
        <v>246800</v>
      </c>
      <c r="D37" s="206">
        <f t="shared" ref="D37:L37" si="8">+$B$37</f>
        <v>246800</v>
      </c>
      <c r="E37" s="206">
        <f t="shared" si="8"/>
        <v>246800</v>
      </c>
      <c r="F37" s="206">
        <f t="shared" si="8"/>
        <v>246800</v>
      </c>
      <c r="G37" s="206">
        <f t="shared" si="8"/>
        <v>246800</v>
      </c>
      <c r="H37" s="206">
        <f t="shared" si="8"/>
        <v>246800</v>
      </c>
      <c r="I37" s="206">
        <f t="shared" si="8"/>
        <v>246800</v>
      </c>
      <c r="J37" s="206">
        <f t="shared" si="8"/>
        <v>246800</v>
      </c>
      <c r="K37" s="206">
        <f t="shared" si="8"/>
        <v>246800</v>
      </c>
      <c r="L37" s="206">
        <f t="shared" si="8"/>
        <v>246800</v>
      </c>
      <c r="M37" s="175"/>
      <c r="P37" s="176"/>
      <c r="Q37" s="190" t="s">
        <v>173</v>
      </c>
      <c r="R37" s="290" t="e">
        <f ca="1">R7-R36</f>
        <v>#REF!</v>
      </c>
      <c r="S37" s="182"/>
      <c r="T37" s="182"/>
      <c r="U37" s="183"/>
    </row>
    <row r="38" spans="1:21" x14ac:dyDescent="0.2">
      <c r="A38" s="196" t="s">
        <v>205</v>
      </c>
      <c r="B38" s="279">
        <f ca="1">+#REF!+#REF!</f>
        <v>439117</v>
      </c>
      <c r="C38" s="206">
        <f ca="1">+$B$38</f>
        <v>439117</v>
      </c>
      <c r="D38" s="206">
        <f t="shared" ref="D38:L38" ca="1" si="9">+$B$38</f>
        <v>439117</v>
      </c>
      <c r="E38" s="206">
        <f t="shared" ca="1" si="9"/>
        <v>439117</v>
      </c>
      <c r="F38" s="206">
        <f t="shared" ca="1" si="9"/>
        <v>439117</v>
      </c>
      <c r="G38" s="206">
        <f t="shared" ca="1" si="9"/>
        <v>439117</v>
      </c>
      <c r="H38" s="206">
        <f t="shared" ca="1" si="9"/>
        <v>439117</v>
      </c>
      <c r="I38" s="206">
        <f t="shared" ca="1" si="9"/>
        <v>439117</v>
      </c>
      <c r="J38" s="206">
        <f t="shared" ca="1" si="9"/>
        <v>439117</v>
      </c>
      <c r="K38" s="206">
        <f t="shared" ca="1" si="9"/>
        <v>439117</v>
      </c>
      <c r="L38" s="206">
        <f t="shared" ca="1" si="9"/>
        <v>439117</v>
      </c>
      <c r="M38" s="175"/>
      <c r="P38" s="176"/>
      <c r="Q38" s="181"/>
      <c r="R38" s="182"/>
      <c r="S38" s="182"/>
      <c r="T38" s="182"/>
      <c r="U38" s="183"/>
    </row>
    <row r="39" spans="1:21" x14ac:dyDescent="0.2">
      <c r="A39" s="196" t="s">
        <v>207</v>
      </c>
      <c r="B39" s="206">
        <f ca="1">+#REF!</f>
        <v>77718.401064595251</v>
      </c>
      <c r="C39" s="206">
        <f>+$B$39</f>
        <v>77718.401064595251</v>
      </c>
      <c r="D39" s="206">
        <f t="shared" ref="D39:L39" si="10">+$B$39</f>
        <v>77718.401064595251</v>
      </c>
      <c r="E39" s="206">
        <f t="shared" si="10"/>
        <v>77718.401064595251</v>
      </c>
      <c r="F39" s="206">
        <f t="shared" si="10"/>
        <v>77718.401064595251</v>
      </c>
      <c r="G39" s="206">
        <f t="shared" si="10"/>
        <v>77718.401064595251</v>
      </c>
      <c r="H39" s="206">
        <f t="shared" si="10"/>
        <v>77718.401064595251</v>
      </c>
      <c r="I39" s="206">
        <f t="shared" si="10"/>
        <v>77718.401064595251</v>
      </c>
      <c r="J39" s="206">
        <f t="shared" si="10"/>
        <v>77718.401064595251</v>
      </c>
      <c r="K39" s="206">
        <f t="shared" si="10"/>
        <v>77718.401064595251</v>
      </c>
      <c r="L39" s="206">
        <f t="shared" si="10"/>
        <v>77718.401064595251</v>
      </c>
      <c r="M39" s="175"/>
      <c r="P39" s="176"/>
      <c r="Q39" s="185" t="s">
        <v>212</v>
      </c>
      <c r="R39" s="186"/>
      <c r="S39" s="186"/>
      <c r="T39" s="186"/>
      <c r="U39" s="187"/>
    </row>
    <row r="40" spans="1:21" x14ac:dyDescent="0.2">
      <c r="A40" s="195" t="s">
        <v>208</v>
      </c>
      <c r="B40" s="207">
        <f ca="1">SUM(B34:B39)</f>
        <v>2469393.5813264158</v>
      </c>
      <c r="C40" s="207">
        <f t="shared" ref="C40:L40" ca="1" si="11">SUM(C34:C39)</f>
        <v>2638407.4102277169</v>
      </c>
      <c r="D40" s="207">
        <f t="shared" ca="1" si="11"/>
        <v>2469946.7278719628</v>
      </c>
      <c r="E40" s="207">
        <f t="shared" ca="1" si="11"/>
        <v>2638960.5567732649</v>
      </c>
      <c r="F40" s="207">
        <f t="shared" ca="1" si="11"/>
        <v>2807974.385674566</v>
      </c>
      <c r="G40" s="207">
        <f t="shared" ca="1" si="11"/>
        <v>2639513.7033188124</v>
      </c>
      <c r="H40" s="207">
        <f t="shared" ca="1" si="11"/>
        <v>2808527.532220114</v>
      </c>
      <c r="I40" s="207">
        <f ca="1">SUM(I34:I39)</f>
        <v>2977541.3611214161</v>
      </c>
      <c r="J40" s="207">
        <f t="shared" ca="1" si="11"/>
        <v>2809080.678765662</v>
      </c>
      <c r="K40" s="207">
        <f t="shared" ca="1" si="11"/>
        <v>2978094.5076669636</v>
      </c>
      <c r="L40" s="207">
        <f t="shared" ca="1" si="11"/>
        <v>3317228.4585606623</v>
      </c>
      <c r="M40" s="175"/>
      <c r="P40" s="176"/>
      <c r="Q40" s="181"/>
      <c r="R40" s="182"/>
      <c r="S40" s="182"/>
      <c r="T40" s="182"/>
      <c r="U40" s="183"/>
    </row>
    <row r="41" spans="1:21" x14ac:dyDescent="0.2">
      <c r="A41" s="199"/>
      <c r="B41" s="175"/>
      <c r="C41" s="175"/>
      <c r="D41" s="175"/>
      <c r="E41" s="175"/>
      <c r="F41" s="175"/>
      <c r="G41" s="175"/>
      <c r="H41" s="175"/>
      <c r="I41" s="175"/>
      <c r="J41" s="175"/>
      <c r="K41" s="175"/>
      <c r="L41" s="175"/>
      <c r="M41" s="175"/>
      <c r="P41" s="180"/>
      <c r="Q41" s="190" t="s">
        <v>213</v>
      </c>
      <c r="R41" s="287" t="e">
        <f ca="1">+#REF!/1000</f>
        <v>#REF!</v>
      </c>
      <c r="S41" s="120" t="s">
        <v>214</v>
      </c>
      <c r="T41" s="182"/>
      <c r="U41" s="183"/>
    </row>
    <row r="42" spans="1:21" x14ac:dyDescent="0.2">
      <c r="A42" s="195" t="s">
        <v>130</v>
      </c>
      <c r="B42" s="207" t="e">
        <f ca="1">B32-B40</f>
        <v>#REF!</v>
      </c>
      <c r="C42" s="207" t="e">
        <f t="shared" ref="C42:K42" ca="1" si="12">C32-C40</f>
        <v>#REF!</v>
      </c>
      <c r="D42" s="207" t="e">
        <f t="shared" ca="1" si="12"/>
        <v>#REF!</v>
      </c>
      <c r="E42" s="207" t="e">
        <f t="shared" ca="1" si="12"/>
        <v>#REF!</v>
      </c>
      <c r="F42" s="207" t="e">
        <f ca="1">F32-F40</f>
        <v>#REF!</v>
      </c>
      <c r="G42" s="207" t="e">
        <f t="shared" ca="1" si="12"/>
        <v>#REF!</v>
      </c>
      <c r="H42" s="207" t="e">
        <f t="shared" ca="1" si="12"/>
        <v>#REF!</v>
      </c>
      <c r="I42" s="207" t="e">
        <f t="shared" ca="1" si="12"/>
        <v>#REF!</v>
      </c>
      <c r="J42" s="207" t="e">
        <f ca="1">J32-J40</f>
        <v>#REF!</v>
      </c>
      <c r="K42" s="207" t="e">
        <f t="shared" ca="1" si="12"/>
        <v>#REF!</v>
      </c>
      <c r="L42" s="207" t="e">
        <f ca="1">L32-L40</f>
        <v>#REF!</v>
      </c>
      <c r="M42" s="175"/>
      <c r="P42" s="176"/>
      <c r="Q42" s="190"/>
      <c r="R42" s="182"/>
      <c r="S42" s="182"/>
      <c r="T42" s="182"/>
      <c r="U42" s="183"/>
    </row>
    <row r="43" spans="1:21" x14ac:dyDescent="0.2">
      <c r="M43" s="208"/>
      <c r="N43" s="208"/>
      <c r="O43" s="208"/>
      <c r="P43" s="208"/>
      <c r="Q43" s="190" t="s">
        <v>173</v>
      </c>
      <c r="R43" s="326">
        <v>5.0000000000000001E-3</v>
      </c>
      <c r="S43" s="182"/>
      <c r="T43" s="182"/>
      <c r="U43" s="183"/>
    </row>
    <row r="44" spans="1:21" x14ac:dyDescent="0.2">
      <c r="A44" s="209" t="s">
        <v>289</v>
      </c>
      <c r="B44" s="175"/>
      <c r="C44" s="210">
        <v>0.1</v>
      </c>
      <c r="D44" s="210">
        <v>0</v>
      </c>
      <c r="E44" s="210">
        <v>0.1</v>
      </c>
      <c r="F44" s="210">
        <v>0.2</v>
      </c>
      <c r="G44" s="210">
        <v>0.1</v>
      </c>
      <c r="H44" s="210">
        <v>0.2</v>
      </c>
      <c r="I44" s="210">
        <v>0.3</v>
      </c>
      <c r="J44" s="210">
        <v>0.2</v>
      </c>
      <c r="K44" s="210">
        <v>0.3</v>
      </c>
      <c r="L44" s="210">
        <v>0.5</v>
      </c>
      <c r="M44" s="208"/>
      <c r="N44" s="208"/>
      <c r="O44" s="208"/>
      <c r="P44" s="208"/>
      <c r="Q44" s="190"/>
      <c r="R44" s="182"/>
      <c r="S44" s="182"/>
      <c r="T44" s="182"/>
      <c r="U44" s="183"/>
    </row>
    <row r="45" spans="1:21" x14ac:dyDescent="0.2">
      <c r="A45" s="209" t="s">
        <v>210</v>
      </c>
      <c r="B45" s="175"/>
      <c r="C45" s="212">
        <v>0</v>
      </c>
      <c r="D45" s="210">
        <v>0.1</v>
      </c>
      <c r="E45" s="210">
        <v>0.1</v>
      </c>
      <c r="F45" s="210">
        <v>0.1</v>
      </c>
      <c r="G45" s="210">
        <v>0.2</v>
      </c>
      <c r="H45" s="210">
        <v>0.2</v>
      </c>
      <c r="I45" s="210">
        <v>0.2</v>
      </c>
      <c r="J45" s="210">
        <v>0.3</v>
      </c>
      <c r="K45" s="210">
        <v>0.3</v>
      </c>
      <c r="L45" s="210">
        <v>0.5</v>
      </c>
      <c r="M45" s="208"/>
      <c r="N45" s="208"/>
      <c r="O45" s="208"/>
      <c r="P45" s="208"/>
      <c r="Q45" s="190" t="s">
        <v>175</v>
      </c>
      <c r="R45" s="292" t="e">
        <f>(R41-R43)/R9</f>
        <v>#REF!</v>
      </c>
      <c r="S45" s="182"/>
      <c r="T45" s="182"/>
      <c r="U45" s="183"/>
    </row>
    <row r="46" spans="1:21" x14ac:dyDescent="0.2">
      <c r="A46" s="209" t="s">
        <v>211</v>
      </c>
      <c r="B46" s="175"/>
      <c r="C46" s="213" t="e">
        <f t="shared" ref="C46:J46" ca="1" si="13">(C42-$B$42)/$B$42</f>
        <v>#REF!</v>
      </c>
      <c r="D46" s="213" t="e">
        <f t="shared" ca="1" si="13"/>
        <v>#REF!</v>
      </c>
      <c r="E46" s="213" t="e">
        <f t="shared" ca="1" si="13"/>
        <v>#REF!</v>
      </c>
      <c r="F46" s="213" t="e">
        <f t="shared" ca="1" si="13"/>
        <v>#REF!</v>
      </c>
      <c r="G46" s="213" t="e">
        <f t="shared" ca="1" si="13"/>
        <v>#REF!</v>
      </c>
      <c r="H46" s="213" t="e">
        <f t="shared" ca="1" si="13"/>
        <v>#REF!</v>
      </c>
      <c r="I46" s="213" t="e">
        <f t="shared" ca="1" si="13"/>
        <v>#REF!</v>
      </c>
      <c r="J46" s="213" t="e">
        <f t="shared" ca="1" si="13"/>
        <v>#REF!</v>
      </c>
      <c r="K46" s="213" t="e">
        <f ca="1">(K42-$B$42)/$B$42</f>
        <v>#REF!</v>
      </c>
      <c r="L46" s="213" t="e">
        <f ca="1">(L42-$B$42)/$B$42</f>
        <v>#REF!</v>
      </c>
      <c r="M46" s="175"/>
      <c r="P46" s="119"/>
      <c r="Q46" s="181"/>
      <c r="R46" s="182"/>
      <c r="S46" s="182"/>
      <c r="T46" s="182"/>
      <c r="U46" s="183"/>
    </row>
    <row r="47" spans="1:21" x14ac:dyDescent="0.2">
      <c r="P47" s="119"/>
      <c r="Q47" s="185" t="s">
        <v>215</v>
      </c>
      <c r="R47" s="186"/>
      <c r="S47" s="186"/>
      <c r="T47" s="186"/>
      <c r="U47" s="187"/>
    </row>
    <row r="48" spans="1:21" x14ac:dyDescent="0.2">
      <c r="P48" s="119"/>
      <c r="Q48" s="181"/>
      <c r="R48" s="182"/>
      <c r="S48" s="182"/>
      <c r="T48" s="182"/>
      <c r="U48" s="183"/>
    </row>
    <row r="49" spans="1:21" x14ac:dyDescent="0.2">
      <c r="A49" s="174" t="s">
        <v>297</v>
      </c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P49" s="169"/>
      <c r="Q49" s="190" t="s">
        <v>216</v>
      </c>
      <c r="R49" s="292">
        <f ca="1">+#REF!/1000</f>
        <v>4.0280322260823645E-5</v>
      </c>
      <c r="S49" s="120" t="s">
        <v>217</v>
      </c>
      <c r="T49" s="182"/>
      <c r="U49" s="183"/>
    </row>
    <row r="50" spans="1:21" x14ac:dyDescent="0.2">
      <c r="P50" s="176"/>
      <c r="Q50" s="190"/>
      <c r="R50" s="211"/>
      <c r="S50" s="120"/>
      <c r="T50" s="182"/>
      <c r="U50" s="183"/>
    </row>
    <row r="51" spans="1:21" x14ac:dyDescent="0.2">
      <c r="A51" s="195" t="s">
        <v>184</v>
      </c>
      <c r="B51" s="191"/>
      <c r="C51" s="191">
        <f>+C20</f>
        <v>1</v>
      </c>
      <c r="D51" s="191">
        <f t="shared" ref="D51:L51" si="14">+D20</f>
        <v>2</v>
      </c>
      <c r="E51" s="191">
        <f t="shared" si="14"/>
        <v>3</v>
      </c>
      <c r="F51" s="191">
        <f t="shared" si="14"/>
        <v>4</v>
      </c>
      <c r="G51" s="191">
        <f t="shared" si="14"/>
        <v>5</v>
      </c>
      <c r="H51" s="191">
        <f t="shared" si="14"/>
        <v>6</v>
      </c>
      <c r="I51" s="191">
        <f t="shared" si="14"/>
        <v>7</v>
      </c>
      <c r="J51" s="191">
        <f t="shared" si="14"/>
        <v>8</v>
      </c>
      <c r="K51" s="191">
        <f t="shared" si="14"/>
        <v>9</v>
      </c>
      <c r="L51" s="191">
        <f t="shared" si="14"/>
        <v>10</v>
      </c>
      <c r="M51" s="175"/>
      <c r="P51" s="176"/>
      <c r="Q51" s="190" t="s">
        <v>173</v>
      </c>
      <c r="R51" s="326">
        <v>5.0000000000000001E-3</v>
      </c>
      <c r="S51" s="182"/>
      <c r="T51" s="182"/>
      <c r="U51" s="183"/>
    </row>
    <row r="52" spans="1:21" x14ac:dyDescent="0.2">
      <c r="A52" s="196" t="s">
        <v>185</v>
      </c>
      <c r="B52" s="197">
        <f>B21</f>
        <v>12.78</v>
      </c>
      <c r="C52" s="197">
        <f t="shared" ref="C52:L52" si="15">$B$52*(1+C75)</f>
        <v>11.501999999999999</v>
      </c>
      <c r="D52" s="197">
        <f t="shared" si="15"/>
        <v>12.78</v>
      </c>
      <c r="E52" s="197">
        <f t="shared" si="15"/>
        <v>11.501999999999999</v>
      </c>
      <c r="F52" s="197">
        <f t="shared" si="15"/>
        <v>10.224</v>
      </c>
      <c r="G52" s="197">
        <f t="shared" si="15"/>
        <v>11.501999999999999</v>
      </c>
      <c r="H52" s="197">
        <f t="shared" si="15"/>
        <v>10.224</v>
      </c>
      <c r="I52" s="197">
        <f t="shared" si="15"/>
        <v>8.9459999999999997</v>
      </c>
      <c r="J52" s="197">
        <f t="shared" si="15"/>
        <v>10.224</v>
      </c>
      <c r="K52" s="197">
        <f t="shared" si="15"/>
        <v>8.9459999999999997</v>
      </c>
      <c r="L52" s="197">
        <f t="shared" si="15"/>
        <v>6.39</v>
      </c>
      <c r="P52" s="176"/>
      <c r="Q52" s="190"/>
      <c r="R52" s="214"/>
      <c r="S52" s="182"/>
      <c r="T52" s="182"/>
      <c r="U52" s="183"/>
    </row>
    <row r="53" spans="1:21" x14ac:dyDescent="0.2">
      <c r="A53" s="196" t="s">
        <v>186</v>
      </c>
      <c r="B53" s="197">
        <f>B22</f>
        <v>0.9957495054382246</v>
      </c>
      <c r="C53" s="197">
        <f t="shared" ref="C53:L53" si="16">$B$53*(1+C76)</f>
        <v>0.9957495054382246</v>
      </c>
      <c r="D53" s="197">
        <f t="shared" si="16"/>
        <v>0.89617455489440212</v>
      </c>
      <c r="E53" s="197">
        <f t="shared" si="16"/>
        <v>0.89617455489440212</v>
      </c>
      <c r="F53" s="197">
        <f t="shared" si="16"/>
        <v>0.89617455489440212</v>
      </c>
      <c r="G53" s="197">
        <f t="shared" si="16"/>
        <v>0.79659960435057975</v>
      </c>
      <c r="H53" s="197">
        <f t="shared" si="16"/>
        <v>0.79659960435057975</v>
      </c>
      <c r="I53" s="197">
        <f t="shared" si="16"/>
        <v>0.79659960435057975</v>
      </c>
      <c r="J53" s="197">
        <f t="shared" si="16"/>
        <v>0.69702465380675716</v>
      </c>
      <c r="K53" s="197">
        <f t="shared" si="16"/>
        <v>0.69702465380675716</v>
      </c>
      <c r="L53" s="197">
        <f t="shared" si="16"/>
        <v>0.4978747527191123</v>
      </c>
      <c r="P53" s="176"/>
      <c r="Q53" s="190" t="s">
        <v>179</v>
      </c>
      <c r="R53" s="290">
        <f>(R49-R51)/R7</f>
        <v>-36.482989427600707</v>
      </c>
      <c r="S53" s="182"/>
      <c r="T53" s="182"/>
      <c r="U53" s="183"/>
    </row>
    <row r="54" spans="1:21" x14ac:dyDescent="0.2">
      <c r="A54" s="199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P54" s="176"/>
      <c r="Q54" s="190" t="s">
        <v>218</v>
      </c>
      <c r="R54" s="290">
        <f>1/R53</f>
        <v>-2.7410034530872728E-2</v>
      </c>
      <c r="S54" s="182"/>
      <c r="T54" s="182"/>
      <c r="U54" s="183"/>
    </row>
    <row r="55" spans="1:21" ht="13.5" thickBot="1" x14ac:dyDescent="0.25">
      <c r="A55" s="196" t="s">
        <v>187</v>
      </c>
      <c r="B55" s="201" t="e">
        <f ca="1">$B$8+($B$6*B52)+($B$7*B53)</f>
        <v>#REF!</v>
      </c>
      <c r="C55" s="201" t="e">
        <f t="shared" ref="C55:K55" ca="1" si="17">$B$8+($B$6*C52)+($B$7*C53)</f>
        <v>#REF!</v>
      </c>
      <c r="D55" s="201" t="e">
        <f t="shared" ca="1" si="17"/>
        <v>#REF!</v>
      </c>
      <c r="E55" s="201" t="e">
        <f t="shared" ca="1" si="17"/>
        <v>#REF!</v>
      </c>
      <c r="F55" s="201" t="e">
        <f t="shared" ca="1" si="17"/>
        <v>#REF!</v>
      </c>
      <c r="G55" s="201" t="e">
        <f t="shared" ca="1" si="17"/>
        <v>#REF!</v>
      </c>
      <c r="H55" s="201" t="e">
        <f t="shared" ca="1" si="17"/>
        <v>#REF!</v>
      </c>
      <c r="I55" s="201" t="e">
        <f t="shared" ca="1" si="17"/>
        <v>#REF!</v>
      </c>
      <c r="J55" s="201" t="e">
        <f t="shared" ca="1" si="17"/>
        <v>#REF!</v>
      </c>
      <c r="K55" s="201" t="e">
        <f t="shared" ca="1" si="17"/>
        <v>#REF!</v>
      </c>
      <c r="L55" s="201" t="e">
        <f ca="1">$B$8+($B$6*L52)+($B$7*L53)</f>
        <v>#REF!</v>
      </c>
      <c r="P55" s="180"/>
      <c r="Q55" s="216"/>
      <c r="R55" s="217"/>
      <c r="S55" s="217"/>
      <c r="T55" s="217"/>
      <c r="U55" s="218"/>
    </row>
    <row r="56" spans="1:21" ht="13.5" thickTop="1" x14ac:dyDescent="0.2">
      <c r="A56" s="196" t="s">
        <v>190</v>
      </c>
      <c r="B56" s="201" t="e">
        <f>$B$12+($B$11*B52)</f>
        <v>#REF!</v>
      </c>
      <c r="C56" s="201" t="e">
        <f t="shared" ref="C56:L56" si="18">$B$12+($B$11*C52)</f>
        <v>#REF!</v>
      </c>
      <c r="D56" s="201" t="e">
        <f t="shared" si="18"/>
        <v>#REF!</v>
      </c>
      <c r="E56" s="201" t="e">
        <f t="shared" si="18"/>
        <v>#REF!</v>
      </c>
      <c r="F56" s="201" t="e">
        <f t="shared" si="18"/>
        <v>#REF!</v>
      </c>
      <c r="G56" s="201" t="e">
        <f t="shared" si="18"/>
        <v>#REF!</v>
      </c>
      <c r="H56" s="201" t="e">
        <f t="shared" si="18"/>
        <v>#REF!</v>
      </c>
      <c r="I56" s="201" t="e">
        <f t="shared" si="18"/>
        <v>#REF!</v>
      </c>
      <c r="J56" s="201" t="e">
        <f t="shared" si="18"/>
        <v>#REF!</v>
      </c>
      <c r="K56" s="201" t="e">
        <f t="shared" si="18"/>
        <v>#REF!</v>
      </c>
      <c r="L56" s="201" t="e">
        <f t="shared" si="18"/>
        <v>#REF!</v>
      </c>
      <c r="P56" s="176"/>
    </row>
    <row r="57" spans="1:21" x14ac:dyDescent="0.2">
      <c r="A57" s="196" t="s">
        <v>192</v>
      </c>
      <c r="B57" s="201" t="e">
        <f ca="1">$B$16+($B$15*B55)</f>
        <v>#REF!</v>
      </c>
      <c r="C57" s="201" t="e">
        <f t="shared" ref="C57:L57" ca="1" si="19">$B$16+($B$15*C55)</f>
        <v>#REF!</v>
      </c>
      <c r="D57" s="201" t="e">
        <f t="shared" ca="1" si="19"/>
        <v>#REF!</v>
      </c>
      <c r="E57" s="201" t="e">
        <f t="shared" ca="1" si="19"/>
        <v>#REF!</v>
      </c>
      <c r="F57" s="201" t="e">
        <f t="shared" ca="1" si="19"/>
        <v>#REF!</v>
      </c>
      <c r="G57" s="201" t="e">
        <f t="shared" ca="1" si="19"/>
        <v>#REF!</v>
      </c>
      <c r="H57" s="201" t="e">
        <f ca="1">$B$16+($B$15*H55)</f>
        <v>#REF!</v>
      </c>
      <c r="I57" s="201" t="e">
        <f t="shared" ca="1" si="19"/>
        <v>#REF!</v>
      </c>
      <c r="J57" s="201" t="e">
        <f t="shared" ca="1" si="19"/>
        <v>#REF!</v>
      </c>
      <c r="K57" s="201" t="e">
        <f t="shared" ca="1" si="19"/>
        <v>#REF!</v>
      </c>
      <c r="L57" s="201" t="e">
        <f t="shared" ca="1" si="19"/>
        <v>#REF!</v>
      </c>
      <c r="P57" s="119"/>
    </row>
    <row r="58" spans="1:21" x14ac:dyDescent="0.2">
      <c r="A58" s="175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</row>
    <row r="59" spans="1:21" x14ac:dyDescent="0.2">
      <c r="A59" s="199" t="s">
        <v>298</v>
      </c>
      <c r="B59" s="206">
        <f>+B28</f>
        <v>1104897.9518814073</v>
      </c>
      <c r="C59" s="206">
        <f t="shared" ref="C59:L59" si="20">+C28</f>
        <v>1104897.9518814073</v>
      </c>
      <c r="D59" s="206">
        <f t="shared" si="20"/>
        <v>1104897.9518814073</v>
      </c>
      <c r="E59" s="206">
        <f t="shared" si="20"/>
        <v>1104897.9518814073</v>
      </c>
      <c r="F59" s="206">
        <f t="shared" si="20"/>
        <v>1104897.9518814073</v>
      </c>
      <c r="G59" s="206">
        <f t="shared" si="20"/>
        <v>1104897.9518814073</v>
      </c>
      <c r="H59" s="206">
        <f t="shared" si="20"/>
        <v>1104897.9518814073</v>
      </c>
      <c r="I59" s="206">
        <f t="shared" si="20"/>
        <v>1104897.9518814073</v>
      </c>
      <c r="J59" s="206">
        <f t="shared" si="20"/>
        <v>1104897.9518814073</v>
      </c>
      <c r="K59" s="206">
        <f t="shared" si="20"/>
        <v>1104897.9518814073</v>
      </c>
      <c r="L59" s="206">
        <f t="shared" si="20"/>
        <v>1104897.9518814073</v>
      </c>
    </row>
    <row r="60" spans="1:21" x14ac:dyDescent="0.2">
      <c r="A60" s="196" t="s">
        <v>195</v>
      </c>
      <c r="B60" s="206" t="e">
        <f ca="1">B55*#REF!*1000</f>
        <v>#REF!</v>
      </c>
      <c r="C60" s="206" t="e">
        <f ca="1">C55*#REF!*1000</f>
        <v>#REF!</v>
      </c>
      <c r="D60" s="206" t="e">
        <f ca="1">D55*#REF!*1000</f>
        <v>#REF!</v>
      </c>
      <c r="E60" s="206" t="e">
        <f ca="1">E55*#REF!*1000</f>
        <v>#REF!</v>
      </c>
      <c r="F60" s="206" t="e">
        <f ca="1">F55*#REF!*1000</f>
        <v>#REF!</v>
      </c>
      <c r="G60" s="206" t="e">
        <f ca="1">G55*#REF!*1000</f>
        <v>#REF!</v>
      </c>
      <c r="H60" s="206" t="e">
        <f ca="1">H55*#REF!*1000</f>
        <v>#REF!</v>
      </c>
      <c r="I60" s="206" t="e">
        <f ca="1">I55*#REF!*1000</f>
        <v>#REF!</v>
      </c>
      <c r="J60" s="206" t="e">
        <f ca="1">J55*#REF!*1000</f>
        <v>#REF!</v>
      </c>
      <c r="K60" s="206" t="e">
        <f ca="1">K55*#REF!*1000</f>
        <v>#REF!</v>
      </c>
      <c r="L60" s="206" t="e">
        <f ca="1">L55*#REF!*1000</f>
        <v>#REF!</v>
      </c>
      <c r="P60" s="119"/>
    </row>
    <row r="61" spans="1:21" x14ac:dyDescent="0.2">
      <c r="A61" s="196" t="s">
        <v>197</v>
      </c>
      <c r="B61" s="206" t="e">
        <f ca="1">B56*#REF!*1000</f>
        <v>#REF!</v>
      </c>
      <c r="C61" s="206" t="e">
        <f ca="1">C56*#REF!*1000</f>
        <v>#REF!</v>
      </c>
      <c r="D61" s="206" t="e">
        <f ca="1">D56*#REF!*1000</f>
        <v>#REF!</v>
      </c>
      <c r="E61" s="206" t="e">
        <f ca="1">E56*#REF!*1000</f>
        <v>#REF!</v>
      </c>
      <c r="F61" s="206" t="e">
        <f ca="1">F56*#REF!*1000</f>
        <v>#REF!</v>
      </c>
      <c r="G61" s="206" t="e">
        <f ca="1">G56*#REF!*1000</f>
        <v>#REF!</v>
      </c>
      <c r="H61" s="206" t="e">
        <f ca="1">H56*#REF!*1000</f>
        <v>#REF!</v>
      </c>
      <c r="I61" s="206" t="e">
        <f ca="1">I56*#REF!*1000</f>
        <v>#REF!</v>
      </c>
      <c r="J61" s="206" t="e">
        <f ca="1">J56*#REF!*1000</f>
        <v>#REF!</v>
      </c>
      <c r="K61" s="206" t="e">
        <f ca="1">K56*#REF!*1000</f>
        <v>#REF!</v>
      </c>
      <c r="L61" s="206" t="e">
        <f ca="1">L56*#REF!*1000</f>
        <v>#REF!</v>
      </c>
      <c r="P61" s="119"/>
    </row>
    <row r="62" spans="1:21" x14ac:dyDescent="0.2">
      <c r="A62" s="196" t="s">
        <v>198</v>
      </c>
      <c r="B62" s="206" t="e">
        <f ca="1">B57*#REF!*1000</f>
        <v>#REF!</v>
      </c>
      <c r="C62" s="206" t="e">
        <f ca="1">C57*#REF!*1000</f>
        <v>#REF!</v>
      </c>
      <c r="D62" s="206" t="e">
        <f ca="1">D57*#REF!*1000</f>
        <v>#REF!</v>
      </c>
      <c r="E62" s="206" t="e">
        <f ca="1">E57*#REF!*1000</f>
        <v>#REF!</v>
      </c>
      <c r="F62" s="206" t="e">
        <f ca="1">F57*#REF!*1000</f>
        <v>#REF!</v>
      </c>
      <c r="G62" s="206" t="e">
        <f ca="1">G57*#REF!*1000</f>
        <v>#REF!</v>
      </c>
      <c r="H62" s="206" t="e">
        <f ca="1">H57*#REF!*1000</f>
        <v>#REF!</v>
      </c>
      <c r="I62" s="206" t="e">
        <f ca="1">I57*#REF!*1000</f>
        <v>#REF!</v>
      </c>
      <c r="J62" s="206" t="e">
        <f ca="1">J57*#REF!*1000</f>
        <v>#REF!</v>
      </c>
      <c r="K62" s="206" t="e">
        <f ca="1">K57*#REF!*1000</f>
        <v>#REF!</v>
      </c>
      <c r="L62" s="206" t="e">
        <f ca="1">L57*#REF!*1000</f>
        <v>#REF!</v>
      </c>
      <c r="P62" s="119"/>
    </row>
    <row r="63" spans="1:21" x14ac:dyDescent="0.2">
      <c r="A63" s="195" t="s">
        <v>200</v>
      </c>
      <c r="B63" s="207" t="e">
        <f ca="1">SUM(B59:B62)</f>
        <v>#REF!</v>
      </c>
      <c r="C63" s="207" t="e">
        <f t="shared" ref="C63:L63" ca="1" si="21">SUM(C59:C62)</f>
        <v>#REF!</v>
      </c>
      <c r="D63" s="207" t="e">
        <f t="shared" ca="1" si="21"/>
        <v>#REF!</v>
      </c>
      <c r="E63" s="207" t="e">
        <f t="shared" ca="1" si="21"/>
        <v>#REF!</v>
      </c>
      <c r="F63" s="207" t="e">
        <f t="shared" ca="1" si="21"/>
        <v>#REF!</v>
      </c>
      <c r="G63" s="207" t="e">
        <f t="shared" ca="1" si="21"/>
        <v>#REF!</v>
      </c>
      <c r="H63" s="207" t="e">
        <f t="shared" ca="1" si="21"/>
        <v>#REF!</v>
      </c>
      <c r="I63" s="207" t="e">
        <f t="shared" ca="1" si="21"/>
        <v>#REF!</v>
      </c>
      <c r="J63" s="207" t="e">
        <f t="shared" ca="1" si="21"/>
        <v>#REF!</v>
      </c>
      <c r="K63" s="207" t="e">
        <f t="shared" ca="1" si="21"/>
        <v>#REF!</v>
      </c>
      <c r="L63" s="207" t="e">
        <f t="shared" ca="1" si="21"/>
        <v>#REF!</v>
      </c>
      <c r="P63" s="119"/>
    </row>
    <row r="64" spans="1:21" x14ac:dyDescent="0.2">
      <c r="A64" s="199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P64" s="119"/>
    </row>
    <row r="65" spans="1:16" x14ac:dyDescent="0.2">
      <c r="A65" s="196" t="s">
        <v>291</v>
      </c>
      <c r="B65" s="206">
        <f ca="1">#REF!*1.109*1000/293.071*Fórmulas!B52</f>
        <v>1690138.289013017</v>
      </c>
      <c r="C65" s="206">
        <f ca="1">#REF!*1.109*1000/293.071*Fórmulas!C52</f>
        <v>1521124.4601117151</v>
      </c>
      <c r="D65" s="206">
        <f ca="1">#REF!*1.109*1000/293.071*Fórmulas!D52</f>
        <v>1690138.289013017</v>
      </c>
      <c r="E65" s="206">
        <f ca="1">#REF!*1.109*1000/293.071*Fórmulas!E52</f>
        <v>1521124.4601117151</v>
      </c>
      <c r="F65" s="206">
        <f ca="1">#REF!*1.109*1000/293.071*Fórmulas!F52</f>
        <v>1352110.6312104135</v>
      </c>
      <c r="G65" s="206">
        <f ca="1">#REF!*1.109*1000/293.071*Fórmulas!G52</f>
        <v>1521124.4601117151</v>
      </c>
      <c r="H65" s="206">
        <f ca="1">#REF!*1.109*1000/293.071*Fórmulas!H52</f>
        <v>1352110.6312104135</v>
      </c>
      <c r="I65" s="206">
        <f ca="1">#REF!*1.109*1000/293.071*Fórmulas!I52</f>
        <v>1183096.8023091119</v>
      </c>
      <c r="J65" s="206">
        <f ca="1">#REF!*1.109*1000/293.071*Fórmulas!J52</f>
        <v>1352110.6312104135</v>
      </c>
      <c r="K65" s="206">
        <f ca="1">#REF!*1.109*1000/293.071*Fórmulas!K52</f>
        <v>1183096.8023091119</v>
      </c>
      <c r="L65" s="206">
        <f ca="1">#REF!*1.109*1000/293.071*Fórmulas!L52</f>
        <v>845069.14450650848</v>
      </c>
      <c r="P65" s="169"/>
    </row>
    <row r="66" spans="1:16" x14ac:dyDescent="0.2">
      <c r="A66" s="196" t="s">
        <v>203</v>
      </c>
      <c r="B66" s="206">
        <f ca="1">+#REF!*1000/PCI_DO_kWh_L*Fórmulas!B53</f>
        <v>5531.4654554768158</v>
      </c>
      <c r="C66" s="206">
        <f ca="1">+#REF!*1000/PCI_DO_kWh_L*Fórmulas!C53</f>
        <v>5531.4654554768158</v>
      </c>
      <c r="D66" s="206">
        <f ca="1">+#REF!*1000/PCI_DO_kWh_L*Fórmulas!D53</f>
        <v>4978.318909929134</v>
      </c>
      <c r="E66" s="206">
        <f ca="1">+#REF!*1000/PCI_DO_kWh_L*Fórmulas!E53</f>
        <v>4978.318909929134</v>
      </c>
      <c r="F66" s="206">
        <f ca="1">+#REF!*1000/PCI_DO_kWh_L*Fórmulas!F53</f>
        <v>4978.318909929134</v>
      </c>
      <c r="G66" s="206">
        <f ca="1">+#REF!*1000/PCI_DO_kWh_L*Fórmulas!G53</f>
        <v>4425.172364381453</v>
      </c>
      <c r="H66" s="206">
        <f ca="1">+#REF!*1000/PCI_DO_kWh_L*Fórmulas!H53</f>
        <v>4425.172364381453</v>
      </c>
      <c r="I66" s="206">
        <f ca="1">+#REF!*1000/PCI_DO_kWh_L*Fórmulas!I53</f>
        <v>4425.172364381453</v>
      </c>
      <c r="J66" s="206">
        <f ca="1">+#REF!*1000/PCI_DO_kWh_L*Fórmulas!J53</f>
        <v>3872.0258188337702</v>
      </c>
      <c r="K66" s="206">
        <f ca="1">+#REF!*1000/PCI_DO_kWh_L*Fórmulas!K53</f>
        <v>3872.0258188337702</v>
      </c>
      <c r="L66" s="206">
        <f ca="1">+#REF!*1000/PCI_DO_kWh_L*Fórmulas!L53</f>
        <v>2765.7327277384079</v>
      </c>
      <c r="P66" s="176"/>
    </row>
    <row r="67" spans="1:16" x14ac:dyDescent="0.2">
      <c r="A67" s="196" t="s">
        <v>295</v>
      </c>
      <c r="B67" s="206">
        <f t="shared" ref="B67:L67" ca="1" si="22">+B36</f>
        <v>10088.425793326531</v>
      </c>
      <c r="C67" s="206">
        <f t="shared" ca="1" si="22"/>
        <v>10088.425793326531</v>
      </c>
      <c r="D67" s="206">
        <f t="shared" ca="1" si="22"/>
        <v>10088.425793326531</v>
      </c>
      <c r="E67" s="206">
        <f t="shared" ca="1" si="22"/>
        <v>10088.425793326531</v>
      </c>
      <c r="F67" s="206">
        <f t="shared" ca="1" si="22"/>
        <v>10088.425793326531</v>
      </c>
      <c r="G67" s="206">
        <f t="shared" ca="1" si="22"/>
        <v>10088.425793326531</v>
      </c>
      <c r="H67" s="206">
        <f t="shared" ca="1" si="22"/>
        <v>10088.425793326531</v>
      </c>
      <c r="I67" s="206">
        <f t="shared" ca="1" si="22"/>
        <v>10088.425793326531</v>
      </c>
      <c r="J67" s="206">
        <f t="shared" ca="1" si="22"/>
        <v>10088.425793326531</v>
      </c>
      <c r="K67" s="206">
        <f t="shared" ca="1" si="22"/>
        <v>10088.425793326531</v>
      </c>
      <c r="L67" s="206">
        <f t="shared" ca="1" si="22"/>
        <v>10088.425793326531</v>
      </c>
      <c r="P67" s="176"/>
    </row>
    <row r="68" spans="1:16" x14ac:dyDescent="0.2">
      <c r="A68" s="196" t="s">
        <v>204</v>
      </c>
      <c r="B68" s="206">
        <f>+B37</f>
        <v>246800</v>
      </c>
      <c r="C68" s="206">
        <f t="shared" ref="C68:L68" si="23">+C37</f>
        <v>246800</v>
      </c>
      <c r="D68" s="206">
        <f t="shared" si="23"/>
        <v>246800</v>
      </c>
      <c r="E68" s="206">
        <f t="shared" si="23"/>
        <v>246800</v>
      </c>
      <c r="F68" s="206">
        <f t="shared" si="23"/>
        <v>246800</v>
      </c>
      <c r="G68" s="206">
        <f t="shared" si="23"/>
        <v>246800</v>
      </c>
      <c r="H68" s="206">
        <f t="shared" si="23"/>
        <v>246800</v>
      </c>
      <c r="I68" s="206">
        <f t="shared" si="23"/>
        <v>246800</v>
      </c>
      <c r="J68" s="206">
        <f t="shared" si="23"/>
        <v>246800</v>
      </c>
      <c r="K68" s="206">
        <f t="shared" si="23"/>
        <v>246800</v>
      </c>
      <c r="L68" s="206">
        <f t="shared" si="23"/>
        <v>246800</v>
      </c>
      <c r="P68" s="176"/>
    </row>
    <row r="69" spans="1:16" x14ac:dyDescent="0.2">
      <c r="A69" s="196" t="s">
        <v>205</v>
      </c>
      <c r="B69" s="206">
        <f t="shared" ref="B69:L69" ca="1" si="24">+B38</f>
        <v>439117</v>
      </c>
      <c r="C69" s="206">
        <f t="shared" ca="1" si="24"/>
        <v>439117</v>
      </c>
      <c r="D69" s="206">
        <f t="shared" ca="1" si="24"/>
        <v>439117</v>
      </c>
      <c r="E69" s="206">
        <f t="shared" ca="1" si="24"/>
        <v>439117</v>
      </c>
      <c r="F69" s="206">
        <f t="shared" ca="1" si="24"/>
        <v>439117</v>
      </c>
      <c r="G69" s="206">
        <f t="shared" ca="1" si="24"/>
        <v>439117</v>
      </c>
      <c r="H69" s="206">
        <f t="shared" ca="1" si="24"/>
        <v>439117</v>
      </c>
      <c r="I69" s="206">
        <f t="shared" ca="1" si="24"/>
        <v>439117</v>
      </c>
      <c r="J69" s="206">
        <f t="shared" ca="1" si="24"/>
        <v>439117</v>
      </c>
      <c r="K69" s="206">
        <f t="shared" ca="1" si="24"/>
        <v>439117</v>
      </c>
      <c r="L69" s="206">
        <f t="shared" ca="1" si="24"/>
        <v>439117</v>
      </c>
      <c r="P69" s="176"/>
    </row>
    <row r="70" spans="1:16" x14ac:dyDescent="0.2">
      <c r="A70" s="196" t="s">
        <v>207</v>
      </c>
      <c r="B70" s="206">
        <f t="shared" ref="B70:L70" si="25">+B39</f>
        <v>77718.401064595251</v>
      </c>
      <c r="C70" s="206">
        <f t="shared" si="25"/>
        <v>77718.401064595251</v>
      </c>
      <c r="D70" s="206">
        <f t="shared" si="25"/>
        <v>77718.401064595251</v>
      </c>
      <c r="E70" s="206">
        <f t="shared" si="25"/>
        <v>77718.401064595251</v>
      </c>
      <c r="F70" s="206">
        <f t="shared" si="25"/>
        <v>77718.401064595251</v>
      </c>
      <c r="G70" s="206">
        <f t="shared" si="25"/>
        <v>77718.401064595251</v>
      </c>
      <c r="H70" s="206">
        <f t="shared" si="25"/>
        <v>77718.401064595251</v>
      </c>
      <c r="I70" s="206">
        <f t="shared" si="25"/>
        <v>77718.401064595251</v>
      </c>
      <c r="J70" s="206">
        <f t="shared" si="25"/>
        <v>77718.401064595251</v>
      </c>
      <c r="K70" s="206">
        <f t="shared" si="25"/>
        <v>77718.401064595251</v>
      </c>
      <c r="L70" s="206">
        <f t="shared" si="25"/>
        <v>77718.401064595251</v>
      </c>
      <c r="M70" s="175"/>
      <c r="N70" s="175"/>
      <c r="P70" s="176"/>
    </row>
    <row r="71" spans="1:16" x14ac:dyDescent="0.2">
      <c r="A71" s="195" t="s">
        <v>208</v>
      </c>
      <c r="B71" s="207">
        <f ca="1">SUM(B65:B70)</f>
        <v>2469393.5813264158</v>
      </c>
      <c r="C71" s="207">
        <f t="shared" ref="C71:J71" ca="1" si="26">SUM(C65:C70)</f>
        <v>2300379.7524251137</v>
      </c>
      <c r="D71" s="207">
        <f t="shared" ca="1" si="26"/>
        <v>2468840.4347808678</v>
      </c>
      <c r="E71" s="207">
        <f t="shared" ca="1" si="26"/>
        <v>2299826.6058795657</v>
      </c>
      <c r="F71" s="207">
        <f t="shared" ca="1" si="26"/>
        <v>2130812.7769782646</v>
      </c>
      <c r="G71" s="207">
        <f ca="1">SUM(G65:G70)</f>
        <v>2299273.4593340182</v>
      </c>
      <c r="H71" s="207">
        <f t="shared" ca="1" si="26"/>
        <v>2130259.6304327166</v>
      </c>
      <c r="I71" s="207">
        <f t="shared" ca="1" si="26"/>
        <v>1961245.801531415</v>
      </c>
      <c r="J71" s="207">
        <f t="shared" ca="1" si="26"/>
        <v>2129706.483887169</v>
      </c>
      <c r="K71" s="207">
        <f ca="1">SUM(K65:K70)</f>
        <v>1960692.6549858674</v>
      </c>
      <c r="L71" s="207">
        <f ca="1">SUM(L65:L70)</f>
        <v>1621558.7040921687</v>
      </c>
      <c r="M71" s="175"/>
      <c r="N71" s="175"/>
    </row>
    <row r="72" spans="1:16" x14ac:dyDescent="0.2">
      <c r="A72" s="199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</row>
    <row r="73" spans="1:16" x14ac:dyDescent="0.2">
      <c r="A73" s="195" t="s">
        <v>130</v>
      </c>
      <c r="B73" s="207" t="e">
        <f ca="1">B63-B71</f>
        <v>#REF!</v>
      </c>
      <c r="C73" s="207" t="e">
        <f t="shared" ref="C73:K73" ca="1" si="27">C63-C71</f>
        <v>#REF!</v>
      </c>
      <c r="D73" s="207" t="e">
        <f ca="1">D63-D71</f>
        <v>#REF!</v>
      </c>
      <c r="E73" s="207" t="e">
        <f t="shared" ca="1" si="27"/>
        <v>#REF!</v>
      </c>
      <c r="F73" s="207" t="e">
        <f t="shared" ca="1" si="27"/>
        <v>#REF!</v>
      </c>
      <c r="G73" s="207" t="e">
        <f ca="1">G63-G71</f>
        <v>#REF!</v>
      </c>
      <c r="H73" s="207" t="e">
        <f t="shared" ca="1" si="27"/>
        <v>#REF!</v>
      </c>
      <c r="I73" s="207" t="e">
        <f t="shared" ca="1" si="27"/>
        <v>#REF!</v>
      </c>
      <c r="J73" s="207" t="e">
        <f ca="1">J63-J71</f>
        <v>#REF!</v>
      </c>
      <c r="K73" s="207" t="e">
        <f t="shared" ca="1" si="27"/>
        <v>#REF!</v>
      </c>
      <c r="L73" s="207" t="e">
        <f ca="1">L63-L71</f>
        <v>#REF!</v>
      </c>
      <c r="M73" s="175"/>
      <c r="N73" s="215"/>
    </row>
    <row r="75" spans="1:16" x14ac:dyDescent="0.2">
      <c r="A75" s="209" t="s">
        <v>209</v>
      </c>
      <c r="B75" s="175"/>
      <c r="C75" s="210">
        <v>-0.1</v>
      </c>
      <c r="D75" s="210">
        <v>0</v>
      </c>
      <c r="E75" s="210">
        <v>-0.1</v>
      </c>
      <c r="F75" s="210">
        <v>-0.2</v>
      </c>
      <c r="G75" s="210">
        <v>-0.1</v>
      </c>
      <c r="H75" s="210">
        <v>-0.2</v>
      </c>
      <c r="I75" s="210">
        <v>-0.3</v>
      </c>
      <c r="J75" s="210">
        <v>-0.2</v>
      </c>
      <c r="K75" s="210">
        <v>-0.3</v>
      </c>
      <c r="L75" s="210">
        <v>-0.5</v>
      </c>
      <c r="M75" s="175"/>
      <c r="N75" s="175"/>
    </row>
    <row r="76" spans="1:16" x14ac:dyDescent="0.2">
      <c r="A76" s="209" t="s">
        <v>210</v>
      </c>
      <c r="B76" s="175"/>
      <c r="C76" s="212">
        <v>0</v>
      </c>
      <c r="D76" s="210">
        <v>-0.1</v>
      </c>
      <c r="E76" s="210">
        <v>-0.1</v>
      </c>
      <c r="F76" s="210">
        <v>-0.1</v>
      </c>
      <c r="G76" s="210">
        <v>-0.2</v>
      </c>
      <c r="H76" s="210">
        <v>-0.2</v>
      </c>
      <c r="I76" s="210">
        <v>-0.2</v>
      </c>
      <c r="J76" s="210">
        <v>-0.3</v>
      </c>
      <c r="K76" s="210">
        <v>-0.3</v>
      </c>
      <c r="L76" s="210">
        <v>-0.5</v>
      </c>
      <c r="M76" s="175"/>
      <c r="N76" s="175"/>
    </row>
    <row r="77" spans="1:16" x14ac:dyDescent="0.2">
      <c r="A77" s="209" t="s">
        <v>211</v>
      </c>
      <c r="B77" s="175"/>
      <c r="C77" s="210" t="e">
        <f ca="1">(C73-$B$73)/$B$73</f>
        <v>#REF!</v>
      </c>
      <c r="D77" s="210" t="e">
        <f t="shared" ref="D77:L77" ca="1" si="28">(D73-$B$73)/$B$73</f>
        <v>#REF!</v>
      </c>
      <c r="E77" s="210" t="e">
        <f t="shared" ca="1" si="28"/>
        <v>#REF!</v>
      </c>
      <c r="F77" s="210" t="e">
        <f t="shared" ca="1" si="28"/>
        <v>#REF!</v>
      </c>
      <c r="G77" s="210" t="e">
        <f t="shared" ca="1" si="28"/>
        <v>#REF!</v>
      </c>
      <c r="H77" s="210" t="e">
        <f t="shared" ca="1" si="28"/>
        <v>#REF!</v>
      </c>
      <c r="I77" s="210" t="e">
        <f t="shared" ca="1" si="28"/>
        <v>#REF!</v>
      </c>
      <c r="J77" s="210" t="e">
        <f t="shared" ca="1" si="28"/>
        <v>#REF!</v>
      </c>
      <c r="K77" s="210" t="e">
        <f t="shared" ca="1" si="28"/>
        <v>#REF!</v>
      </c>
      <c r="L77" s="210" t="e">
        <f t="shared" ca="1" si="28"/>
        <v>#REF!</v>
      </c>
      <c r="M77" s="175"/>
      <c r="N77" s="175"/>
    </row>
    <row r="81" spans="1:22" s="204" customFormat="1" x14ac:dyDescent="0.2">
      <c r="A81" s="174" t="s">
        <v>219</v>
      </c>
      <c r="B81" s="174"/>
      <c r="C81" s="174"/>
      <c r="D81" s="219"/>
      <c r="E81" s="220"/>
      <c r="F81" s="220"/>
      <c r="G81" s="220"/>
      <c r="H81" s="220"/>
      <c r="I81" s="220"/>
      <c r="J81" s="220"/>
      <c r="K81" s="220"/>
      <c r="L81" s="220"/>
      <c r="M81" s="220"/>
      <c r="N81" s="220"/>
      <c r="Q81" s="172"/>
      <c r="R81" s="172"/>
      <c r="S81" s="172"/>
      <c r="T81" s="172"/>
      <c r="U81" s="172"/>
      <c r="V81" s="172"/>
    </row>
    <row r="82" spans="1:22" s="204" customFormat="1" x14ac:dyDescent="0.2">
      <c r="A82" s="219"/>
      <c r="B82" s="219"/>
      <c r="C82" s="219"/>
      <c r="D82" s="219"/>
      <c r="E82" s="220"/>
      <c r="F82" s="220"/>
      <c r="G82" s="220"/>
      <c r="H82" s="220"/>
      <c r="I82" s="220"/>
      <c r="J82" s="220"/>
      <c r="K82" s="220"/>
      <c r="L82" s="220"/>
      <c r="M82" s="220"/>
      <c r="N82" s="220"/>
    </row>
    <row r="83" spans="1:22" s="204" customFormat="1" x14ac:dyDescent="0.2">
      <c r="A83" s="221" t="s">
        <v>220</v>
      </c>
      <c r="B83" s="220"/>
      <c r="C83" s="220"/>
      <c r="D83" s="220"/>
      <c r="E83" s="220"/>
      <c r="F83" s="220"/>
      <c r="G83" s="220"/>
      <c r="H83" s="220"/>
      <c r="I83" s="220"/>
      <c r="J83" s="220"/>
      <c r="K83" s="220"/>
      <c r="L83" s="220"/>
      <c r="M83" s="220"/>
      <c r="N83" s="220"/>
    </row>
    <row r="84" spans="1:22" s="204" customFormat="1" x14ac:dyDescent="0.2">
      <c r="A84" s="220"/>
      <c r="B84" s="220"/>
      <c r="C84" s="220"/>
      <c r="D84" s="220"/>
      <c r="E84" s="220"/>
      <c r="F84" s="220"/>
      <c r="G84" s="222" t="s">
        <v>146</v>
      </c>
      <c r="H84" s="172"/>
      <c r="I84" s="172"/>
      <c r="J84" s="172"/>
      <c r="K84" s="172"/>
      <c r="L84" s="172"/>
      <c r="M84" s="220"/>
      <c r="N84" s="220"/>
    </row>
    <row r="85" spans="1:22" s="204" customFormat="1" x14ac:dyDescent="0.2">
      <c r="A85" s="223" t="s">
        <v>172</v>
      </c>
      <c r="B85" s="224" t="e">
        <f ca="1">B24</f>
        <v>#REF!</v>
      </c>
      <c r="C85" s="220"/>
      <c r="D85" s="220"/>
      <c r="E85" s="220"/>
      <c r="F85" s="220"/>
      <c r="G85" s="116" t="s">
        <v>221</v>
      </c>
      <c r="H85" s="172" t="e">
        <f ca="1">$B$8</f>
        <v>#REF!</v>
      </c>
      <c r="I85" s="172" t="e">
        <f t="shared" ref="I85:O85" ca="1" si="29">$B$8</f>
        <v>#REF!</v>
      </c>
      <c r="J85" s="172" t="e">
        <f t="shared" ca="1" si="29"/>
        <v>#REF!</v>
      </c>
      <c r="K85" s="172" t="e">
        <f t="shared" ca="1" si="29"/>
        <v>#REF!</v>
      </c>
      <c r="L85" s="172" t="e">
        <f t="shared" ca="1" si="29"/>
        <v>#REF!</v>
      </c>
      <c r="M85" s="172" t="e">
        <f t="shared" ca="1" si="29"/>
        <v>#REF!</v>
      </c>
      <c r="N85" s="172" t="e">
        <f t="shared" ca="1" si="29"/>
        <v>#REF!</v>
      </c>
      <c r="O85" s="172" t="e">
        <f t="shared" ca="1" si="29"/>
        <v>#REF!</v>
      </c>
    </row>
    <row r="86" spans="1:22" s="204" customFormat="1" x14ac:dyDescent="0.2">
      <c r="A86" s="223" t="s">
        <v>222</v>
      </c>
      <c r="B86" s="224" t="e">
        <f ca="1">L87</f>
        <v>#REF!</v>
      </c>
      <c r="C86" s="220"/>
      <c r="D86" s="220"/>
      <c r="E86" s="220"/>
      <c r="F86" s="220"/>
      <c r="G86" s="116" t="s">
        <v>223</v>
      </c>
      <c r="H86" s="172">
        <v>0.02</v>
      </c>
      <c r="I86" s="172">
        <v>0.03</v>
      </c>
      <c r="J86" s="172">
        <v>3.5000000000000003E-2</v>
      </c>
      <c r="K86" s="172">
        <v>3.6999999999999998E-2</v>
      </c>
      <c r="L86" s="172">
        <v>3.9E-2</v>
      </c>
      <c r="M86" s="204">
        <v>4.2999999999999997E-2</v>
      </c>
      <c r="N86" s="204">
        <v>5.1999999999999998E-2</v>
      </c>
      <c r="O86" s="117">
        <v>6.4000000000000001E-2</v>
      </c>
    </row>
    <row r="87" spans="1:22" s="204" customFormat="1" x14ac:dyDescent="0.2">
      <c r="A87" s="223" t="s">
        <v>224</v>
      </c>
      <c r="B87" s="224" t="e">
        <f ca="1">B85-B86</f>
        <v>#REF!</v>
      </c>
      <c r="C87" s="220"/>
      <c r="D87" s="220"/>
      <c r="E87" s="220"/>
      <c r="F87" s="220"/>
      <c r="G87" s="116" t="s">
        <v>225</v>
      </c>
      <c r="H87" s="172" t="e">
        <f t="shared" ref="H87:O87" ca="1" si="30">H85-H86</f>
        <v>#REF!</v>
      </c>
      <c r="I87" s="172" t="e">
        <f t="shared" ca="1" si="30"/>
        <v>#REF!</v>
      </c>
      <c r="J87" s="172" t="e">
        <f t="shared" ca="1" si="30"/>
        <v>#REF!</v>
      </c>
      <c r="K87" s="116" t="e">
        <f t="shared" ca="1" si="30"/>
        <v>#REF!</v>
      </c>
      <c r="L87" s="295" t="e">
        <f t="shared" ca="1" si="30"/>
        <v>#REF!</v>
      </c>
      <c r="M87" s="116" t="e">
        <f t="shared" ca="1" si="30"/>
        <v>#REF!</v>
      </c>
      <c r="N87" s="116" t="e">
        <f t="shared" ca="1" si="30"/>
        <v>#REF!</v>
      </c>
      <c r="O87" s="116" t="e">
        <f t="shared" ca="1" si="30"/>
        <v>#REF!</v>
      </c>
    </row>
    <row r="88" spans="1:22" s="204" customFormat="1" x14ac:dyDescent="0.2">
      <c r="A88" s="223" t="s">
        <v>226</v>
      </c>
      <c r="B88" s="220">
        <f>L86</f>
        <v>3.9E-2</v>
      </c>
      <c r="C88" s="220"/>
      <c r="D88" s="220"/>
      <c r="E88" s="220"/>
      <c r="F88" s="220"/>
      <c r="G88" s="172"/>
      <c r="H88" s="172"/>
      <c r="I88" s="172"/>
      <c r="J88" s="172"/>
      <c r="K88" s="172"/>
      <c r="L88" s="172"/>
    </row>
    <row r="89" spans="1:22" s="204" customFormat="1" x14ac:dyDescent="0.2">
      <c r="A89" s="220"/>
      <c r="B89" s="220"/>
      <c r="C89" s="220"/>
      <c r="D89" s="220"/>
      <c r="E89" s="220"/>
      <c r="F89" s="220"/>
      <c r="G89" s="222" t="s">
        <v>177</v>
      </c>
      <c r="H89" s="172"/>
      <c r="I89" s="172"/>
      <c r="J89" s="172"/>
      <c r="K89" s="172"/>
      <c r="L89" s="172"/>
    </row>
    <row r="90" spans="1:22" s="204" customFormat="1" x14ac:dyDescent="0.2">
      <c r="A90" s="220"/>
      <c r="B90" s="220"/>
      <c r="C90" s="220"/>
      <c r="D90" s="220"/>
      <c r="E90" s="220"/>
      <c r="F90" s="220"/>
      <c r="G90" s="116" t="s">
        <v>227</v>
      </c>
      <c r="H90" s="172" t="e">
        <f ca="1">$B$16+($B$15*H87)</f>
        <v>#REF!</v>
      </c>
      <c r="I90" s="172" t="e">
        <f t="shared" ref="I90:O90" ca="1" si="31">$B$16+($B$15*I87)</f>
        <v>#REF!</v>
      </c>
      <c r="J90" s="172" t="e">
        <f t="shared" ca="1" si="31"/>
        <v>#REF!</v>
      </c>
      <c r="K90" s="172" t="e">
        <f t="shared" ca="1" si="31"/>
        <v>#REF!</v>
      </c>
      <c r="L90" s="295" t="e">
        <f t="shared" ca="1" si="31"/>
        <v>#REF!</v>
      </c>
      <c r="M90" s="172" t="e">
        <f t="shared" ca="1" si="31"/>
        <v>#REF!</v>
      </c>
      <c r="N90" s="172" t="e">
        <f t="shared" ca="1" si="31"/>
        <v>#REF!</v>
      </c>
      <c r="O90" s="116" t="e">
        <f t="shared" ca="1" si="31"/>
        <v>#REF!</v>
      </c>
    </row>
    <row r="91" spans="1:22" s="204" customFormat="1" x14ac:dyDescent="0.2">
      <c r="A91" s="221" t="s">
        <v>64</v>
      </c>
      <c r="B91" s="220"/>
      <c r="C91" s="220"/>
      <c r="D91" s="220"/>
      <c r="E91" s="220"/>
      <c r="F91" s="220"/>
      <c r="G91" s="172"/>
      <c r="H91" s="172"/>
      <c r="I91" s="172"/>
      <c r="J91" s="172"/>
      <c r="K91" s="172"/>
      <c r="L91" s="172"/>
    </row>
    <row r="92" spans="1:22" s="204" customFormat="1" x14ac:dyDescent="0.2">
      <c r="C92" s="220"/>
      <c r="D92" s="220"/>
      <c r="E92" s="220"/>
      <c r="F92" s="220"/>
      <c r="G92" s="172"/>
      <c r="H92" s="172"/>
      <c r="I92" s="172"/>
      <c r="J92" s="172"/>
      <c r="K92" s="172"/>
      <c r="L92" s="172"/>
    </row>
    <row r="93" spans="1:22" s="204" customFormat="1" x14ac:dyDescent="0.2">
      <c r="A93" s="223" t="s">
        <v>228</v>
      </c>
      <c r="B93" s="224" t="e">
        <f>B25</f>
        <v>#REF!</v>
      </c>
      <c r="C93" s="220"/>
      <c r="D93" s="220"/>
      <c r="E93" s="220"/>
      <c r="F93" s="220"/>
      <c r="G93" s="225" t="s">
        <v>229</v>
      </c>
      <c r="H93" s="208">
        <f ca="1">+#REF!*1000</f>
        <v>11679898.126164498</v>
      </c>
      <c r="I93" s="172" t="s">
        <v>307</v>
      </c>
      <c r="J93" s="172"/>
      <c r="K93" s="172"/>
      <c r="L93" s="172"/>
    </row>
    <row r="94" spans="1:22" s="204" customFormat="1" x14ac:dyDescent="0.2">
      <c r="A94" s="220"/>
      <c r="B94" s="220"/>
      <c r="C94" s="220"/>
      <c r="D94" s="220"/>
      <c r="E94" s="220"/>
      <c r="F94" s="220"/>
      <c r="G94" s="188"/>
      <c r="H94" s="172"/>
      <c r="I94" s="172"/>
      <c r="J94" s="172"/>
      <c r="K94" s="172"/>
      <c r="L94" s="172"/>
    </row>
    <row r="95" spans="1:22" s="204" customFormat="1" x14ac:dyDescent="0.2">
      <c r="A95" s="220"/>
      <c r="B95" s="220"/>
      <c r="C95" s="220"/>
      <c r="D95" s="220"/>
      <c r="E95" s="220"/>
      <c r="F95" s="220"/>
      <c r="G95" s="225" t="s">
        <v>230</v>
      </c>
      <c r="H95" s="208">
        <f ca="1">+#REF!*1000</f>
        <v>16667062.887579286</v>
      </c>
      <c r="I95" s="172" t="s">
        <v>308</v>
      </c>
      <c r="J95" s="172"/>
      <c r="K95" s="172"/>
      <c r="L95" s="172"/>
    </row>
    <row r="96" spans="1:22" s="204" customFormat="1" x14ac:dyDescent="0.2">
      <c r="A96" s="221" t="s">
        <v>51</v>
      </c>
      <c r="B96" s="220"/>
      <c r="C96" s="220"/>
      <c r="D96" s="220"/>
      <c r="E96" s="220"/>
      <c r="F96" s="220"/>
      <c r="G96" s="172"/>
      <c r="H96" s="172"/>
      <c r="I96" s="172"/>
      <c r="J96" s="172"/>
      <c r="K96" s="172"/>
      <c r="L96" s="172"/>
    </row>
    <row r="97" spans="1:15" s="204" customFormat="1" x14ac:dyDescent="0.2">
      <c r="A97" s="220"/>
      <c r="B97" s="220"/>
      <c r="C97" s="220"/>
      <c r="D97" s="220"/>
      <c r="E97" s="220"/>
      <c r="F97" s="220"/>
      <c r="G97" s="172"/>
      <c r="H97" s="172"/>
      <c r="I97" s="172"/>
      <c r="J97" s="172"/>
      <c r="K97" s="172"/>
      <c r="L97" s="172"/>
    </row>
    <row r="98" spans="1:15" s="204" customFormat="1" x14ac:dyDescent="0.2">
      <c r="A98" s="223" t="s">
        <v>231</v>
      </c>
      <c r="B98" s="224" t="e">
        <f ca="1">B26</f>
        <v>#REF!</v>
      </c>
      <c r="C98" s="220"/>
      <c r="D98" s="220"/>
      <c r="E98" s="220"/>
      <c r="F98" s="226"/>
      <c r="G98" s="225" t="s">
        <v>232</v>
      </c>
      <c r="H98" s="227" t="e">
        <f ca="1">H87*$H$93</f>
        <v>#REF!</v>
      </c>
      <c r="I98" s="227" t="e">
        <f t="shared" ref="I98:O98" ca="1" si="32">I87*$H$93</f>
        <v>#REF!</v>
      </c>
      <c r="J98" s="227" t="e">
        <f t="shared" ca="1" si="32"/>
        <v>#REF!</v>
      </c>
      <c r="K98" s="227" t="e">
        <f t="shared" ca="1" si="32"/>
        <v>#REF!</v>
      </c>
      <c r="L98" s="227" t="e">
        <f ca="1">L87*$H$93</f>
        <v>#REF!</v>
      </c>
      <c r="M98" s="227" t="e">
        <f t="shared" ca="1" si="32"/>
        <v>#REF!</v>
      </c>
      <c r="N98" s="227" t="e">
        <f t="shared" ca="1" si="32"/>
        <v>#REF!</v>
      </c>
      <c r="O98" s="227" t="e">
        <f t="shared" ca="1" si="32"/>
        <v>#REF!</v>
      </c>
    </row>
    <row r="99" spans="1:15" s="204" customFormat="1" x14ac:dyDescent="0.2">
      <c r="A99" s="223" t="s">
        <v>233</v>
      </c>
      <c r="B99" s="224" t="e">
        <f ca="1">L90</f>
        <v>#REF!</v>
      </c>
      <c r="C99" s="220"/>
      <c r="D99" s="220"/>
      <c r="E99" s="220"/>
      <c r="F99" s="226"/>
      <c r="G99" s="225" t="s">
        <v>234</v>
      </c>
      <c r="H99" s="227" t="e">
        <f ca="1">H90*$H$95</f>
        <v>#REF!</v>
      </c>
      <c r="I99" s="227" t="e">
        <f t="shared" ref="I99:O99" ca="1" si="33">I90*$H$95</f>
        <v>#REF!</v>
      </c>
      <c r="J99" s="227" t="e">
        <f t="shared" ca="1" si="33"/>
        <v>#REF!</v>
      </c>
      <c r="K99" s="227" t="e">
        <f ca="1">K90*$H$95</f>
        <v>#REF!</v>
      </c>
      <c r="L99" s="227" t="e">
        <f t="shared" ca="1" si="33"/>
        <v>#REF!</v>
      </c>
      <c r="M99" s="227" t="e">
        <f t="shared" ca="1" si="33"/>
        <v>#REF!</v>
      </c>
      <c r="N99" s="227" t="e">
        <f t="shared" ca="1" si="33"/>
        <v>#REF!</v>
      </c>
      <c r="O99" s="227" t="e">
        <f t="shared" ca="1" si="33"/>
        <v>#REF!</v>
      </c>
    </row>
    <row r="100" spans="1:15" s="204" customFormat="1" x14ac:dyDescent="0.2">
      <c r="A100" s="223" t="s">
        <v>235</v>
      </c>
      <c r="B100" s="224" t="e">
        <f ca="1">B98-B99</f>
        <v>#REF!</v>
      </c>
      <c r="C100" s="220"/>
      <c r="D100" s="220"/>
      <c r="E100" s="220"/>
      <c r="F100" s="226"/>
      <c r="G100" s="225" t="s">
        <v>236</v>
      </c>
      <c r="H100" s="227" t="e">
        <f ca="1">H99+H98</f>
        <v>#REF!</v>
      </c>
      <c r="I100" s="227" t="e">
        <f t="shared" ref="I100:O100" ca="1" si="34">I99+I98</f>
        <v>#REF!</v>
      </c>
      <c r="J100" s="227" t="e">
        <f t="shared" ca="1" si="34"/>
        <v>#REF!</v>
      </c>
      <c r="K100" s="227" t="e">
        <f ca="1">K99+K98</f>
        <v>#REF!</v>
      </c>
      <c r="L100" s="227" t="e">
        <f t="shared" ca="1" si="34"/>
        <v>#REF!</v>
      </c>
      <c r="M100" s="227" t="e">
        <f t="shared" ca="1" si="34"/>
        <v>#REF!</v>
      </c>
      <c r="N100" s="227" t="e">
        <f t="shared" ca="1" si="34"/>
        <v>#REF!</v>
      </c>
      <c r="O100" s="227" t="e">
        <f t="shared" ca="1" si="34"/>
        <v>#REF!</v>
      </c>
    </row>
    <row r="101" spans="1:15" s="204" customFormat="1" x14ac:dyDescent="0.2">
      <c r="A101" s="220"/>
      <c r="B101" s="220"/>
      <c r="C101" s="220"/>
      <c r="D101" s="220"/>
      <c r="E101" s="220"/>
      <c r="F101" s="226"/>
      <c r="G101" s="188"/>
      <c r="H101" s="172"/>
      <c r="I101" s="172"/>
      <c r="J101" s="172"/>
      <c r="K101" s="172"/>
      <c r="L101" s="172"/>
    </row>
    <row r="102" spans="1:15" s="204" customFormat="1" x14ac:dyDescent="0.2">
      <c r="A102" s="220"/>
      <c r="B102" s="220"/>
      <c r="C102" s="220"/>
      <c r="D102" s="220"/>
      <c r="E102" s="220"/>
      <c r="F102" s="220"/>
      <c r="G102" s="225" t="s">
        <v>237</v>
      </c>
      <c r="H102" s="208" t="e">
        <f ca="1">NPV($H$103,H100,H100,H100,H100,H100,H100,H100,H100,H100,H100)</f>
        <v>#REF!</v>
      </c>
      <c r="I102" s="208" t="e">
        <f t="shared" ref="I102:O102" ca="1" si="35">NPV($H$103,I100,I100,I100,I100,I100,I100,I100,I100,I100,I100)</f>
        <v>#REF!</v>
      </c>
      <c r="J102" s="208" t="e">
        <f t="shared" ca="1" si="35"/>
        <v>#REF!</v>
      </c>
      <c r="K102" s="208" t="e">
        <f t="shared" ca="1" si="35"/>
        <v>#REF!</v>
      </c>
      <c r="L102" s="208" t="e">
        <f t="shared" ca="1" si="35"/>
        <v>#REF!</v>
      </c>
      <c r="M102" s="208" t="e">
        <f t="shared" ca="1" si="35"/>
        <v>#REF!</v>
      </c>
      <c r="N102" s="208" t="e">
        <f t="shared" ca="1" si="35"/>
        <v>#REF!</v>
      </c>
      <c r="O102" s="208" t="e">
        <f t="shared" ca="1" si="35"/>
        <v>#REF!</v>
      </c>
    </row>
    <row r="103" spans="1:15" s="204" customFormat="1" x14ac:dyDescent="0.2">
      <c r="A103" s="220"/>
      <c r="B103" s="220"/>
      <c r="C103" s="220"/>
      <c r="D103" s="220"/>
      <c r="E103" s="220"/>
      <c r="F103" s="220"/>
      <c r="G103" s="225" t="s">
        <v>238</v>
      </c>
      <c r="H103" s="296">
        <v>7.1900000000000006E-2</v>
      </c>
      <c r="I103" s="172"/>
      <c r="J103" s="172"/>
      <c r="K103" s="172"/>
      <c r="L103" s="172"/>
      <c r="M103" s="220"/>
    </row>
    <row r="104" spans="1:15" s="204" customFormat="1" x14ac:dyDescent="0.2">
      <c r="A104" s="220"/>
      <c r="B104" s="220"/>
      <c r="C104" s="220"/>
      <c r="D104" s="220"/>
      <c r="E104" s="220"/>
      <c r="F104" s="220"/>
      <c r="G104" s="220"/>
      <c r="H104" s="220"/>
      <c r="I104" s="220"/>
      <c r="J104" s="220"/>
      <c r="K104" s="220"/>
      <c r="L104" s="220"/>
      <c r="M104" s="220"/>
    </row>
    <row r="105" spans="1:15" s="204" customFormat="1" x14ac:dyDescent="0.2">
      <c r="A105" s="220"/>
      <c r="B105" s="220"/>
      <c r="C105" s="220"/>
      <c r="D105" s="220"/>
      <c r="E105" s="220"/>
      <c r="F105" s="220"/>
      <c r="G105" s="220"/>
      <c r="H105" s="220"/>
      <c r="I105" s="220"/>
      <c r="J105" s="220"/>
      <c r="K105" s="220"/>
      <c r="L105" s="220"/>
      <c r="M105" s="220"/>
    </row>
    <row r="106" spans="1:15" s="204" customFormat="1" x14ac:dyDescent="0.2">
      <c r="A106" s="220"/>
      <c r="B106" s="220"/>
      <c r="C106" s="220"/>
      <c r="D106" s="220"/>
      <c r="E106" s="220"/>
      <c r="F106" s="220"/>
      <c r="G106" s="220"/>
      <c r="H106" s="220"/>
      <c r="I106" s="220"/>
      <c r="J106" s="220"/>
      <c r="K106" s="220"/>
      <c r="L106" s="220"/>
      <c r="M106" s="220"/>
    </row>
    <row r="107" spans="1:15" s="204" customFormat="1" x14ac:dyDescent="0.2">
      <c r="A107" s="174" t="s">
        <v>239</v>
      </c>
      <c r="B107" s="174"/>
      <c r="C107" s="174"/>
      <c r="D107" s="174"/>
      <c r="E107" s="174"/>
      <c r="F107" s="174"/>
      <c r="G107" s="174"/>
      <c r="H107" s="174"/>
      <c r="I107" s="174"/>
      <c r="J107" s="174"/>
      <c r="K107" s="174"/>
      <c r="L107" s="174"/>
      <c r="M107" s="174"/>
    </row>
    <row r="108" spans="1:15" s="204" customFormat="1" x14ac:dyDescent="0.2"/>
    <row r="109" spans="1:15" s="204" customFormat="1" x14ac:dyDescent="0.2">
      <c r="A109" s="228" t="s">
        <v>184</v>
      </c>
      <c r="B109" s="229">
        <v>1</v>
      </c>
      <c r="C109" s="229">
        <v>2</v>
      </c>
      <c r="D109" s="229">
        <v>3</v>
      </c>
      <c r="E109" s="229">
        <v>4</v>
      </c>
      <c r="F109" s="229">
        <v>5</v>
      </c>
      <c r="G109" s="229">
        <v>6</v>
      </c>
      <c r="H109" s="229">
        <v>7</v>
      </c>
      <c r="I109" s="229">
        <v>8</v>
      </c>
      <c r="J109" s="229">
        <v>9</v>
      </c>
      <c r="K109" s="229">
        <v>10</v>
      </c>
      <c r="L109" s="229">
        <v>11</v>
      </c>
      <c r="M109" s="220"/>
    </row>
    <row r="110" spans="1:15" s="204" customFormat="1" x14ac:dyDescent="0.2">
      <c r="A110" s="223" t="s">
        <v>185</v>
      </c>
      <c r="B110" s="230">
        <f t="shared" ref="B110:L110" si="36">B21</f>
        <v>12.78</v>
      </c>
      <c r="C110" s="230">
        <f t="shared" si="36"/>
        <v>14.058</v>
      </c>
      <c r="D110" s="230">
        <f t="shared" si="36"/>
        <v>12.78</v>
      </c>
      <c r="E110" s="230">
        <f t="shared" si="36"/>
        <v>14.058</v>
      </c>
      <c r="F110" s="230">
        <f t="shared" si="36"/>
        <v>15.335999999999999</v>
      </c>
      <c r="G110" s="230">
        <f t="shared" si="36"/>
        <v>14.058</v>
      </c>
      <c r="H110" s="230">
        <f t="shared" si="36"/>
        <v>15.335999999999999</v>
      </c>
      <c r="I110" s="230">
        <f t="shared" si="36"/>
        <v>16.614000000000001</v>
      </c>
      <c r="J110" s="230">
        <f t="shared" si="36"/>
        <v>15.335999999999999</v>
      </c>
      <c r="K110" s="230">
        <f t="shared" si="36"/>
        <v>16.614000000000001</v>
      </c>
      <c r="L110" s="230">
        <f t="shared" si="36"/>
        <v>19.169999999999998</v>
      </c>
      <c r="M110" s="220"/>
    </row>
    <row r="111" spans="1:15" s="204" customFormat="1" x14ac:dyDescent="0.2">
      <c r="A111" s="223" t="s">
        <v>186</v>
      </c>
      <c r="B111" s="230">
        <f t="shared" ref="B111:L111" si="37">B22</f>
        <v>0.9957495054382246</v>
      </c>
      <c r="C111" s="230">
        <f t="shared" si="37"/>
        <v>0.9957495054382246</v>
      </c>
      <c r="D111" s="230">
        <f t="shared" si="37"/>
        <v>1.0953244559820472</v>
      </c>
      <c r="E111" s="230">
        <f t="shared" si="37"/>
        <v>1.0953244559820472</v>
      </c>
      <c r="F111" s="230">
        <f t="shared" si="37"/>
        <v>1.0953244559820472</v>
      </c>
      <c r="G111" s="230">
        <f t="shared" si="37"/>
        <v>1.1948994065258696</v>
      </c>
      <c r="H111" s="230">
        <f t="shared" si="37"/>
        <v>1.1948994065258696</v>
      </c>
      <c r="I111" s="230">
        <f t="shared" si="37"/>
        <v>1.1948994065258696</v>
      </c>
      <c r="J111" s="230">
        <f t="shared" si="37"/>
        <v>1.2944743570696919</v>
      </c>
      <c r="K111" s="230">
        <f t="shared" si="37"/>
        <v>1.2944743570696919</v>
      </c>
      <c r="L111" s="230">
        <f t="shared" si="37"/>
        <v>1.4936242581573369</v>
      </c>
      <c r="M111" s="220"/>
    </row>
    <row r="112" spans="1:15" s="204" customFormat="1" x14ac:dyDescent="0.2">
      <c r="A112" s="231"/>
      <c r="B112" s="232" t="e">
        <f ca="1">B24-B113</f>
        <v>#REF!</v>
      </c>
      <c r="C112" s="232" t="e">
        <f t="shared" ref="C112:L112" ca="1" si="38">C24-C113</f>
        <v>#REF!</v>
      </c>
      <c r="D112" s="232" t="e">
        <f t="shared" ca="1" si="38"/>
        <v>#REF!</v>
      </c>
      <c r="E112" s="232" t="e">
        <f t="shared" ca="1" si="38"/>
        <v>#REF!</v>
      </c>
      <c r="F112" s="232" t="e">
        <f t="shared" ca="1" si="38"/>
        <v>#REF!</v>
      </c>
      <c r="G112" s="232" t="e">
        <f t="shared" ca="1" si="38"/>
        <v>#REF!</v>
      </c>
      <c r="H112" s="232" t="e">
        <f t="shared" ca="1" si="38"/>
        <v>#REF!</v>
      </c>
      <c r="I112" s="232" t="e">
        <f t="shared" ca="1" si="38"/>
        <v>#REF!</v>
      </c>
      <c r="J112" s="232" t="e">
        <f t="shared" ca="1" si="38"/>
        <v>#REF!</v>
      </c>
      <c r="K112" s="232" t="e">
        <f t="shared" ca="1" si="38"/>
        <v>#REF!</v>
      </c>
      <c r="L112" s="232" t="e">
        <f t="shared" ca="1" si="38"/>
        <v>#REF!</v>
      </c>
      <c r="M112" s="220"/>
    </row>
    <row r="113" spans="1:13" s="204" customFormat="1" x14ac:dyDescent="0.2">
      <c r="A113" s="223" t="s">
        <v>240</v>
      </c>
      <c r="B113" s="233" t="e">
        <f ca="1">B114+B115</f>
        <v>#REF!</v>
      </c>
      <c r="C113" s="233" t="e">
        <f t="shared" ref="C113:L113" ca="1" si="39">C114+C115</f>
        <v>#REF!</v>
      </c>
      <c r="D113" s="233" t="e">
        <f t="shared" ca="1" si="39"/>
        <v>#REF!</v>
      </c>
      <c r="E113" s="233" t="e">
        <f t="shared" ca="1" si="39"/>
        <v>#REF!</v>
      </c>
      <c r="F113" s="233" t="e">
        <f t="shared" ca="1" si="39"/>
        <v>#REF!</v>
      </c>
      <c r="G113" s="233" t="e">
        <f t="shared" ca="1" si="39"/>
        <v>#REF!</v>
      </c>
      <c r="H113" s="233" t="e">
        <f t="shared" ca="1" si="39"/>
        <v>#REF!</v>
      </c>
      <c r="I113" s="233" t="e">
        <f t="shared" ca="1" si="39"/>
        <v>#REF!</v>
      </c>
      <c r="J113" s="233" t="e">
        <f t="shared" ca="1" si="39"/>
        <v>#REF!</v>
      </c>
      <c r="K113" s="233" t="e">
        <f t="shared" ca="1" si="39"/>
        <v>#REF!</v>
      </c>
      <c r="L113" s="233" t="e">
        <f t="shared" ca="1" si="39"/>
        <v>#REF!</v>
      </c>
      <c r="M113" s="220"/>
    </row>
    <row r="114" spans="1:13" s="204" customFormat="1" x14ac:dyDescent="0.2">
      <c r="A114" s="234" t="s">
        <v>241</v>
      </c>
      <c r="B114" s="235" t="e">
        <f ca="1">$B$86</f>
        <v>#REF!</v>
      </c>
      <c r="C114" s="235" t="e">
        <f t="shared" ref="C114:L114" ca="1" si="40">$B$86</f>
        <v>#REF!</v>
      </c>
      <c r="D114" s="235" t="e">
        <f t="shared" ca="1" si="40"/>
        <v>#REF!</v>
      </c>
      <c r="E114" s="235" t="e">
        <f t="shared" ca="1" si="40"/>
        <v>#REF!</v>
      </c>
      <c r="F114" s="235" t="e">
        <f t="shared" ca="1" si="40"/>
        <v>#REF!</v>
      </c>
      <c r="G114" s="235" t="e">
        <f t="shared" ca="1" si="40"/>
        <v>#REF!</v>
      </c>
      <c r="H114" s="235" t="e">
        <f t="shared" ca="1" si="40"/>
        <v>#REF!</v>
      </c>
      <c r="I114" s="235" t="e">
        <f t="shared" ca="1" si="40"/>
        <v>#REF!</v>
      </c>
      <c r="J114" s="235" t="e">
        <f t="shared" ca="1" si="40"/>
        <v>#REF!</v>
      </c>
      <c r="K114" s="235" t="e">
        <f t="shared" ca="1" si="40"/>
        <v>#REF!</v>
      </c>
      <c r="L114" s="235" t="e">
        <f t="shared" ca="1" si="40"/>
        <v>#REF!</v>
      </c>
      <c r="M114" s="220"/>
    </row>
    <row r="115" spans="1:13" s="204" customFormat="1" x14ac:dyDescent="0.2">
      <c r="A115" s="234" t="s">
        <v>242</v>
      </c>
      <c r="B115" s="235" t="e">
        <f ca="1">($B$88+($B$6*B110)+($B$7*B111))</f>
        <v>#REF!</v>
      </c>
      <c r="C115" s="235" t="e">
        <f t="shared" ref="C115:L115" ca="1" si="41">($B$88+($B$6*C110)+($B$7*C111))</f>
        <v>#REF!</v>
      </c>
      <c r="D115" s="235" t="e">
        <f t="shared" ca="1" si="41"/>
        <v>#REF!</v>
      </c>
      <c r="E115" s="235" t="e">
        <f t="shared" ca="1" si="41"/>
        <v>#REF!</v>
      </c>
      <c r="F115" s="235" t="e">
        <f t="shared" ca="1" si="41"/>
        <v>#REF!</v>
      </c>
      <c r="G115" s="235" t="e">
        <f t="shared" ca="1" si="41"/>
        <v>#REF!</v>
      </c>
      <c r="H115" s="235" t="e">
        <f t="shared" ca="1" si="41"/>
        <v>#REF!</v>
      </c>
      <c r="I115" s="235" t="e">
        <f t="shared" ca="1" si="41"/>
        <v>#REF!</v>
      </c>
      <c r="J115" s="235" t="e">
        <f t="shared" ca="1" si="41"/>
        <v>#REF!</v>
      </c>
      <c r="K115" s="235" t="e">
        <f t="shared" ca="1" si="41"/>
        <v>#REF!</v>
      </c>
      <c r="L115" s="235" t="e">
        <f t="shared" ca="1" si="41"/>
        <v>#REF!</v>
      </c>
      <c r="M115" s="220"/>
    </row>
    <row r="116" spans="1:13" s="204" customFormat="1" x14ac:dyDescent="0.2">
      <c r="A116" s="234"/>
      <c r="B116" s="236" t="e">
        <f>B25-B117</f>
        <v>#REF!</v>
      </c>
      <c r="C116" s="236" t="e">
        <f t="shared" ref="C116:L116" si="42">C25-C117</f>
        <v>#REF!</v>
      </c>
      <c r="D116" s="236" t="e">
        <f t="shared" si="42"/>
        <v>#REF!</v>
      </c>
      <c r="E116" s="236" t="e">
        <f t="shared" si="42"/>
        <v>#REF!</v>
      </c>
      <c r="F116" s="236" t="e">
        <f t="shared" si="42"/>
        <v>#REF!</v>
      </c>
      <c r="G116" s="236" t="e">
        <f t="shared" si="42"/>
        <v>#REF!</v>
      </c>
      <c r="H116" s="236" t="e">
        <f t="shared" si="42"/>
        <v>#REF!</v>
      </c>
      <c r="I116" s="236" t="e">
        <f t="shared" si="42"/>
        <v>#REF!</v>
      </c>
      <c r="J116" s="236" t="e">
        <f t="shared" si="42"/>
        <v>#REF!</v>
      </c>
      <c r="K116" s="236" t="e">
        <f t="shared" si="42"/>
        <v>#REF!</v>
      </c>
      <c r="L116" s="236" t="e">
        <f t="shared" si="42"/>
        <v>#REF!</v>
      </c>
      <c r="M116" s="220"/>
    </row>
    <row r="117" spans="1:13" s="204" customFormat="1" x14ac:dyDescent="0.2">
      <c r="A117" s="223" t="s">
        <v>190</v>
      </c>
      <c r="B117" s="233" t="e">
        <f>$B$12+($B$11*B110)</f>
        <v>#REF!</v>
      </c>
      <c r="C117" s="233" t="e">
        <f t="shared" ref="C117:L117" si="43">$B$12+($B$11*C110)</f>
        <v>#REF!</v>
      </c>
      <c r="D117" s="233" t="e">
        <f t="shared" si="43"/>
        <v>#REF!</v>
      </c>
      <c r="E117" s="233" t="e">
        <f t="shared" si="43"/>
        <v>#REF!</v>
      </c>
      <c r="F117" s="233" t="e">
        <f t="shared" si="43"/>
        <v>#REF!</v>
      </c>
      <c r="G117" s="233" t="e">
        <f t="shared" si="43"/>
        <v>#REF!</v>
      </c>
      <c r="H117" s="233" t="e">
        <f t="shared" si="43"/>
        <v>#REF!</v>
      </c>
      <c r="I117" s="233" t="e">
        <f t="shared" si="43"/>
        <v>#REF!</v>
      </c>
      <c r="J117" s="233" t="e">
        <f t="shared" si="43"/>
        <v>#REF!</v>
      </c>
      <c r="K117" s="233" t="e">
        <f t="shared" si="43"/>
        <v>#REF!</v>
      </c>
      <c r="L117" s="233" t="e">
        <f t="shared" si="43"/>
        <v>#REF!</v>
      </c>
      <c r="M117" s="220"/>
    </row>
    <row r="118" spans="1:13" s="204" customFormat="1" x14ac:dyDescent="0.2">
      <c r="A118" s="223"/>
      <c r="B118" s="232" t="e">
        <f ca="1">B26-B119</f>
        <v>#REF!</v>
      </c>
      <c r="C118" s="232" t="e">
        <f t="shared" ref="C118:L118" ca="1" si="44">C26-C119</f>
        <v>#REF!</v>
      </c>
      <c r="D118" s="232" t="e">
        <f t="shared" ca="1" si="44"/>
        <v>#REF!</v>
      </c>
      <c r="E118" s="232" t="e">
        <f t="shared" ca="1" si="44"/>
        <v>#REF!</v>
      </c>
      <c r="F118" s="232" t="e">
        <f t="shared" ca="1" si="44"/>
        <v>#REF!</v>
      </c>
      <c r="G118" s="232" t="e">
        <f t="shared" ca="1" si="44"/>
        <v>#REF!</v>
      </c>
      <c r="H118" s="232" t="e">
        <f t="shared" ca="1" si="44"/>
        <v>#REF!</v>
      </c>
      <c r="I118" s="232" t="e">
        <f t="shared" ca="1" si="44"/>
        <v>#REF!</v>
      </c>
      <c r="J118" s="232" t="e">
        <f t="shared" ca="1" si="44"/>
        <v>#REF!</v>
      </c>
      <c r="K118" s="232" t="e">
        <f t="shared" ca="1" si="44"/>
        <v>#REF!</v>
      </c>
      <c r="L118" s="232" t="e">
        <f t="shared" ca="1" si="44"/>
        <v>#REF!</v>
      </c>
    </row>
    <row r="119" spans="1:13" s="204" customFormat="1" x14ac:dyDescent="0.2">
      <c r="A119" s="223" t="s">
        <v>243</v>
      </c>
      <c r="B119" s="233" t="e">
        <f ca="1">B120+B121</f>
        <v>#REF!</v>
      </c>
      <c r="C119" s="233" t="e">
        <f t="shared" ref="C119:L119" ca="1" si="45">C120+C121</f>
        <v>#REF!</v>
      </c>
      <c r="D119" s="233" t="e">
        <f t="shared" ca="1" si="45"/>
        <v>#REF!</v>
      </c>
      <c r="E119" s="233" t="e">
        <f t="shared" ca="1" si="45"/>
        <v>#REF!</v>
      </c>
      <c r="F119" s="233" t="e">
        <f t="shared" ca="1" si="45"/>
        <v>#REF!</v>
      </c>
      <c r="G119" s="233" t="e">
        <f t="shared" ca="1" si="45"/>
        <v>#REF!</v>
      </c>
      <c r="H119" s="233" t="e">
        <f t="shared" ca="1" si="45"/>
        <v>#REF!</v>
      </c>
      <c r="I119" s="233" t="e">
        <f t="shared" ca="1" si="45"/>
        <v>#REF!</v>
      </c>
      <c r="J119" s="233" t="e">
        <f t="shared" ca="1" si="45"/>
        <v>#REF!</v>
      </c>
      <c r="K119" s="233" t="e">
        <f t="shared" ca="1" si="45"/>
        <v>#REF!</v>
      </c>
      <c r="L119" s="233" t="e">
        <f t="shared" ca="1" si="45"/>
        <v>#REF!</v>
      </c>
    </row>
    <row r="120" spans="1:13" s="204" customFormat="1" x14ac:dyDescent="0.2">
      <c r="A120" s="234" t="s">
        <v>244</v>
      </c>
      <c r="B120" s="235" t="e">
        <f ca="1">$B$16+($B$15*B114)</f>
        <v>#REF!</v>
      </c>
      <c r="C120" s="235" t="e">
        <f t="shared" ref="C120:L120" ca="1" si="46">$B$16+($B$15*C114)</f>
        <v>#REF!</v>
      </c>
      <c r="D120" s="235" t="e">
        <f t="shared" ca="1" si="46"/>
        <v>#REF!</v>
      </c>
      <c r="E120" s="235" t="e">
        <f t="shared" ca="1" si="46"/>
        <v>#REF!</v>
      </c>
      <c r="F120" s="235" t="e">
        <f t="shared" ca="1" si="46"/>
        <v>#REF!</v>
      </c>
      <c r="G120" s="235" t="e">
        <f t="shared" ca="1" si="46"/>
        <v>#REF!</v>
      </c>
      <c r="H120" s="235" t="e">
        <f t="shared" ca="1" si="46"/>
        <v>#REF!</v>
      </c>
      <c r="I120" s="235" t="e">
        <f t="shared" ca="1" si="46"/>
        <v>#REF!</v>
      </c>
      <c r="J120" s="235" t="e">
        <f t="shared" ca="1" si="46"/>
        <v>#REF!</v>
      </c>
      <c r="K120" s="235" t="e">
        <f t="shared" ca="1" si="46"/>
        <v>#REF!</v>
      </c>
      <c r="L120" s="235" t="e">
        <f t="shared" ca="1" si="46"/>
        <v>#REF!</v>
      </c>
    </row>
    <row r="121" spans="1:13" s="204" customFormat="1" x14ac:dyDescent="0.2">
      <c r="A121" s="234" t="s">
        <v>245</v>
      </c>
      <c r="B121" s="235" t="e">
        <f ca="1">$B$15*B115</f>
        <v>#REF!</v>
      </c>
      <c r="C121" s="235" t="e">
        <f t="shared" ref="C121:L121" ca="1" si="47">$B$15*C115</f>
        <v>#REF!</v>
      </c>
      <c r="D121" s="235" t="e">
        <f t="shared" ca="1" si="47"/>
        <v>#REF!</v>
      </c>
      <c r="E121" s="235" t="e">
        <f t="shared" ca="1" si="47"/>
        <v>#REF!</v>
      </c>
      <c r="F121" s="235" t="e">
        <f t="shared" ca="1" si="47"/>
        <v>#REF!</v>
      </c>
      <c r="G121" s="235" t="e">
        <f t="shared" ca="1" si="47"/>
        <v>#REF!</v>
      </c>
      <c r="H121" s="235" t="e">
        <f t="shared" ca="1" si="47"/>
        <v>#REF!</v>
      </c>
      <c r="I121" s="235" t="e">
        <f t="shared" ca="1" si="47"/>
        <v>#REF!</v>
      </c>
      <c r="J121" s="235" t="e">
        <f t="shared" ca="1" si="47"/>
        <v>#REF!</v>
      </c>
      <c r="K121" s="235" t="e">
        <f t="shared" ca="1" si="47"/>
        <v>#REF!</v>
      </c>
      <c r="L121" s="235" t="e">
        <f t="shared" ca="1" si="47"/>
        <v>#REF!</v>
      </c>
    </row>
    <row r="122" spans="1:13" s="204" customFormat="1" x14ac:dyDescent="0.2">
      <c r="A122" s="220"/>
      <c r="B122" s="233"/>
      <c r="C122" s="233"/>
      <c r="D122" s="233"/>
      <c r="E122" s="233"/>
      <c r="F122" s="233"/>
      <c r="G122" s="233"/>
      <c r="H122" s="233"/>
      <c r="I122" s="233"/>
      <c r="J122" s="233"/>
      <c r="K122" s="233"/>
      <c r="L122" s="233"/>
    </row>
    <row r="123" spans="1:13" s="204" customFormat="1" x14ac:dyDescent="0.2">
      <c r="A123" s="223" t="s">
        <v>246</v>
      </c>
      <c r="B123" s="205" t="e">
        <f>B124+B125</f>
        <v>#REF!</v>
      </c>
      <c r="C123" s="205" t="e">
        <f t="shared" ref="C123:L123" si="48">C124+C125</f>
        <v>#REF!</v>
      </c>
      <c r="D123" s="205" t="e">
        <f t="shared" si="48"/>
        <v>#REF!</v>
      </c>
      <c r="E123" s="205" t="e">
        <f t="shared" si="48"/>
        <v>#REF!</v>
      </c>
      <c r="F123" s="205" t="e">
        <f t="shared" si="48"/>
        <v>#REF!</v>
      </c>
      <c r="G123" s="205" t="e">
        <f t="shared" si="48"/>
        <v>#REF!</v>
      </c>
      <c r="H123" s="205" t="e">
        <f t="shared" si="48"/>
        <v>#REF!</v>
      </c>
      <c r="I123" s="205" t="e">
        <f t="shared" si="48"/>
        <v>#REF!</v>
      </c>
      <c r="J123" s="205" t="e">
        <f t="shared" si="48"/>
        <v>#REF!</v>
      </c>
      <c r="K123" s="205" t="e">
        <f t="shared" si="48"/>
        <v>#REF!</v>
      </c>
      <c r="L123" s="205" t="e">
        <f t="shared" si="48"/>
        <v>#REF!</v>
      </c>
    </row>
    <row r="124" spans="1:13" s="204" customFormat="1" x14ac:dyDescent="0.2">
      <c r="A124" s="234" t="s">
        <v>247</v>
      </c>
      <c r="B124" s="237" t="e">
        <v>#REF!</v>
      </c>
      <c r="C124" s="237" t="e">
        <v>#REF!</v>
      </c>
      <c r="D124" s="237" t="e">
        <v>#REF!</v>
      </c>
      <c r="E124" s="237" t="e">
        <v>#REF!</v>
      </c>
      <c r="F124" s="237" t="e">
        <v>#REF!</v>
      </c>
      <c r="G124" s="237" t="e">
        <v>#REF!</v>
      </c>
      <c r="H124" s="237" t="e">
        <v>#REF!</v>
      </c>
      <c r="I124" s="237" t="e">
        <v>#REF!</v>
      </c>
      <c r="J124" s="237" t="e">
        <v>#REF!</v>
      </c>
      <c r="K124" s="237" t="e">
        <v>#REF!</v>
      </c>
      <c r="L124" s="237" t="e">
        <v>#REF!</v>
      </c>
    </row>
    <row r="125" spans="1:13" s="204" customFormat="1" x14ac:dyDescent="0.2">
      <c r="A125" s="234" t="s">
        <v>248</v>
      </c>
      <c r="B125" s="237" t="e">
        <v>#REF!</v>
      </c>
      <c r="C125" s="237" t="e">
        <v>#REF!</v>
      </c>
      <c r="D125" s="237" t="e">
        <v>#REF!</v>
      </c>
      <c r="E125" s="237" t="e">
        <v>#REF!</v>
      </c>
      <c r="F125" s="237" t="e">
        <v>#REF!</v>
      </c>
      <c r="G125" s="237" t="e">
        <v>#REF!</v>
      </c>
      <c r="H125" s="237" t="e">
        <v>#REF!</v>
      </c>
      <c r="I125" s="237" t="e">
        <v>#REF!</v>
      </c>
      <c r="J125" s="237" t="e">
        <v>#REF!</v>
      </c>
      <c r="K125" s="237" t="e">
        <v>#REF!</v>
      </c>
      <c r="L125" s="237" t="e">
        <v>#REF!</v>
      </c>
    </row>
    <row r="126" spans="1:13" s="204" customFormat="1" x14ac:dyDescent="0.2">
      <c r="A126" s="223"/>
      <c r="B126" s="238" t="e">
        <f ca="1">B29-B123</f>
        <v>#REF!</v>
      </c>
      <c r="C126" s="238" t="e">
        <f t="shared" ref="C126:L126" ca="1" si="49">C29-C123</f>
        <v>#REF!</v>
      </c>
      <c r="D126" s="238" t="e">
        <f t="shared" ca="1" si="49"/>
        <v>#REF!</v>
      </c>
      <c r="E126" s="238" t="e">
        <f t="shared" ca="1" si="49"/>
        <v>#REF!</v>
      </c>
      <c r="F126" s="238" t="e">
        <f t="shared" ca="1" si="49"/>
        <v>#REF!</v>
      </c>
      <c r="G126" s="238" t="e">
        <f t="shared" ca="1" si="49"/>
        <v>#REF!</v>
      </c>
      <c r="H126" s="238" t="e">
        <f t="shared" ca="1" si="49"/>
        <v>#REF!</v>
      </c>
      <c r="I126" s="238" t="e">
        <f t="shared" ca="1" si="49"/>
        <v>#REF!</v>
      </c>
      <c r="J126" s="238" t="e">
        <f t="shared" ca="1" si="49"/>
        <v>#REF!</v>
      </c>
      <c r="K126" s="238" t="e">
        <f t="shared" ca="1" si="49"/>
        <v>#REF!</v>
      </c>
      <c r="L126" s="238" t="e">
        <f t="shared" ca="1" si="49"/>
        <v>#REF!</v>
      </c>
    </row>
    <row r="127" spans="1:13" s="204" customFormat="1" x14ac:dyDescent="0.2">
      <c r="A127" s="223" t="s">
        <v>197</v>
      </c>
      <c r="B127" s="205" t="e">
        <f>B30</f>
        <v>#REF!</v>
      </c>
      <c r="C127" s="205" t="e">
        <f t="shared" ref="C127:L127" si="50">C30</f>
        <v>#REF!</v>
      </c>
      <c r="D127" s="205" t="e">
        <f t="shared" si="50"/>
        <v>#REF!</v>
      </c>
      <c r="E127" s="205" t="e">
        <f t="shared" si="50"/>
        <v>#REF!</v>
      </c>
      <c r="F127" s="205" t="e">
        <f t="shared" si="50"/>
        <v>#REF!</v>
      </c>
      <c r="G127" s="205" t="e">
        <f t="shared" si="50"/>
        <v>#REF!</v>
      </c>
      <c r="H127" s="205" t="e">
        <f t="shared" si="50"/>
        <v>#REF!</v>
      </c>
      <c r="I127" s="205" t="e">
        <f t="shared" si="50"/>
        <v>#REF!</v>
      </c>
      <c r="J127" s="205" t="e">
        <f t="shared" si="50"/>
        <v>#REF!</v>
      </c>
      <c r="K127" s="205" t="e">
        <f t="shared" si="50"/>
        <v>#REF!</v>
      </c>
      <c r="L127" s="205" t="e">
        <f t="shared" si="50"/>
        <v>#REF!</v>
      </c>
    </row>
    <row r="128" spans="1:13" s="204" customFormat="1" x14ac:dyDescent="0.2">
      <c r="A128" s="223"/>
      <c r="B128" s="239" t="e">
        <f>B30-B127</f>
        <v>#REF!</v>
      </c>
      <c r="C128" s="239" t="e">
        <f t="shared" ref="C128:L128" si="51">C30-C127</f>
        <v>#REF!</v>
      </c>
      <c r="D128" s="239" t="e">
        <f t="shared" si="51"/>
        <v>#REF!</v>
      </c>
      <c r="E128" s="239" t="e">
        <f t="shared" si="51"/>
        <v>#REF!</v>
      </c>
      <c r="F128" s="239" t="e">
        <f t="shared" si="51"/>
        <v>#REF!</v>
      </c>
      <c r="G128" s="239" t="e">
        <f t="shared" si="51"/>
        <v>#REF!</v>
      </c>
      <c r="H128" s="239" t="e">
        <f t="shared" si="51"/>
        <v>#REF!</v>
      </c>
      <c r="I128" s="239" t="e">
        <f t="shared" si="51"/>
        <v>#REF!</v>
      </c>
      <c r="J128" s="239" t="e">
        <f t="shared" si="51"/>
        <v>#REF!</v>
      </c>
      <c r="K128" s="239" t="e">
        <f t="shared" si="51"/>
        <v>#REF!</v>
      </c>
      <c r="L128" s="239" t="e">
        <f t="shared" si="51"/>
        <v>#REF!</v>
      </c>
    </row>
    <row r="129" spans="1:13" s="204" customFormat="1" x14ac:dyDescent="0.2">
      <c r="A129" s="223" t="s">
        <v>249</v>
      </c>
      <c r="B129" s="205" t="e">
        <f>B130+B131</f>
        <v>#REF!</v>
      </c>
      <c r="C129" s="205" t="e">
        <f t="shared" ref="C129:L129" si="52">C130+C131</f>
        <v>#REF!</v>
      </c>
      <c r="D129" s="205" t="e">
        <f t="shared" si="52"/>
        <v>#REF!</v>
      </c>
      <c r="E129" s="205" t="e">
        <f t="shared" si="52"/>
        <v>#REF!</v>
      </c>
      <c r="F129" s="205" t="e">
        <f t="shared" si="52"/>
        <v>#REF!</v>
      </c>
      <c r="G129" s="205" t="e">
        <f t="shared" si="52"/>
        <v>#REF!</v>
      </c>
      <c r="H129" s="205" t="e">
        <f t="shared" si="52"/>
        <v>#REF!</v>
      </c>
      <c r="I129" s="205" t="e">
        <f t="shared" si="52"/>
        <v>#REF!</v>
      </c>
      <c r="J129" s="205" t="e">
        <f t="shared" si="52"/>
        <v>#REF!</v>
      </c>
      <c r="K129" s="205" t="e">
        <f t="shared" si="52"/>
        <v>#REF!</v>
      </c>
      <c r="L129" s="205" t="e">
        <f t="shared" si="52"/>
        <v>#REF!</v>
      </c>
    </row>
    <row r="130" spans="1:13" s="204" customFormat="1" x14ac:dyDescent="0.2">
      <c r="A130" s="234" t="s">
        <v>250</v>
      </c>
      <c r="B130" s="237" t="e">
        <v>#REF!</v>
      </c>
      <c r="C130" s="237" t="e">
        <v>#REF!</v>
      </c>
      <c r="D130" s="237" t="e">
        <v>#REF!</v>
      </c>
      <c r="E130" s="237" t="e">
        <v>#REF!</v>
      </c>
      <c r="F130" s="237" t="e">
        <v>#REF!</v>
      </c>
      <c r="G130" s="237" t="e">
        <v>#REF!</v>
      </c>
      <c r="H130" s="237" t="e">
        <v>#REF!</v>
      </c>
      <c r="I130" s="237" t="e">
        <v>#REF!</v>
      </c>
      <c r="J130" s="237" t="e">
        <v>#REF!</v>
      </c>
      <c r="K130" s="237" t="e">
        <v>#REF!</v>
      </c>
      <c r="L130" s="237" t="e">
        <v>#REF!</v>
      </c>
    </row>
    <row r="131" spans="1:13" s="204" customFormat="1" x14ac:dyDescent="0.2">
      <c r="A131" s="234" t="s">
        <v>251</v>
      </c>
      <c r="B131" s="237" t="e">
        <v>#REF!</v>
      </c>
      <c r="C131" s="237" t="e">
        <v>#REF!</v>
      </c>
      <c r="D131" s="237" t="e">
        <v>#REF!</v>
      </c>
      <c r="E131" s="237" t="e">
        <v>#REF!</v>
      </c>
      <c r="F131" s="237" t="e">
        <v>#REF!</v>
      </c>
      <c r="G131" s="237" t="e">
        <v>#REF!</v>
      </c>
      <c r="H131" s="237" t="e">
        <v>#REF!</v>
      </c>
      <c r="I131" s="237" t="e">
        <v>#REF!</v>
      </c>
      <c r="J131" s="237" t="e">
        <v>#REF!</v>
      </c>
      <c r="K131" s="237" t="e">
        <v>#REF!</v>
      </c>
      <c r="L131" s="237" t="e">
        <v>#REF!</v>
      </c>
    </row>
    <row r="132" spans="1:13" s="204" customFormat="1" x14ac:dyDescent="0.2">
      <c r="A132" s="223"/>
      <c r="B132" s="238" t="e">
        <f ca="1">B31-B129</f>
        <v>#REF!</v>
      </c>
      <c r="C132" s="238" t="e">
        <f t="shared" ref="C132:L132" ca="1" si="53">C31-C129</f>
        <v>#REF!</v>
      </c>
      <c r="D132" s="238" t="e">
        <f t="shared" ca="1" si="53"/>
        <v>#REF!</v>
      </c>
      <c r="E132" s="238" t="e">
        <f t="shared" ca="1" si="53"/>
        <v>#REF!</v>
      </c>
      <c r="F132" s="238" t="e">
        <f t="shared" ca="1" si="53"/>
        <v>#REF!</v>
      </c>
      <c r="G132" s="238" t="e">
        <f t="shared" ca="1" si="53"/>
        <v>#REF!</v>
      </c>
      <c r="H132" s="238" t="e">
        <f t="shared" ca="1" si="53"/>
        <v>#REF!</v>
      </c>
      <c r="I132" s="238" t="e">
        <f t="shared" ca="1" si="53"/>
        <v>#REF!</v>
      </c>
      <c r="J132" s="238" t="e">
        <f t="shared" ca="1" si="53"/>
        <v>#REF!</v>
      </c>
      <c r="K132" s="238" t="e">
        <f t="shared" ca="1" si="53"/>
        <v>#REF!</v>
      </c>
      <c r="L132" s="238" t="e">
        <f t="shared" ca="1" si="53"/>
        <v>#REF!</v>
      </c>
    </row>
    <row r="133" spans="1:13" s="204" customFormat="1" x14ac:dyDescent="0.2">
      <c r="A133" s="228" t="s">
        <v>200</v>
      </c>
      <c r="B133" s="240" t="e">
        <f>B129+B127+B123</f>
        <v>#REF!</v>
      </c>
      <c r="C133" s="240" t="e">
        <f t="shared" ref="C133:K133" si="54">C129+C127+C123</f>
        <v>#REF!</v>
      </c>
      <c r="D133" s="240" t="e">
        <f t="shared" si="54"/>
        <v>#REF!</v>
      </c>
      <c r="E133" s="240" t="e">
        <f t="shared" si="54"/>
        <v>#REF!</v>
      </c>
      <c r="F133" s="240" t="e">
        <f>F129+F127+F123</f>
        <v>#REF!</v>
      </c>
      <c r="G133" s="240" t="e">
        <f t="shared" si="54"/>
        <v>#REF!</v>
      </c>
      <c r="H133" s="240" t="e">
        <f t="shared" si="54"/>
        <v>#REF!</v>
      </c>
      <c r="I133" s="240" t="e">
        <f>I129+I127+I123</f>
        <v>#REF!</v>
      </c>
      <c r="J133" s="240" t="e">
        <f t="shared" si="54"/>
        <v>#REF!</v>
      </c>
      <c r="K133" s="240" t="e">
        <f t="shared" si="54"/>
        <v>#REF!</v>
      </c>
      <c r="L133" s="240" t="e">
        <f>L129+L127+L123</f>
        <v>#REF!</v>
      </c>
    </row>
    <row r="134" spans="1:13" s="204" customFormat="1" x14ac:dyDescent="0.2">
      <c r="A134" s="231"/>
      <c r="B134" s="241"/>
      <c r="C134" s="241"/>
      <c r="D134" s="241"/>
      <c r="E134" s="241"/>
      <c r="F134" s="241"/>
      <c r="G134" s="241"/>
      <c r="H134" s="241"/>
      <c r="I134" s="241"/>
      <c r="J134" s="241"/>
      <c r="K134" s="241"/>
      <c r="L134" s="241"/>
      <c r="M134" s="220"/>
    </row>
    <row r="135" spans="1:13" s="204" customFormat="1" x14ac:dyDescent="0.2">
      <c r="A135" s="223" t="s">
        <v>202</v>
      </c>
      <c r="B135" s="205">
        <f ca="1">B34</f>
        <v>1690138.289013017</v>
      </c>
      <c r="C135" s="205">
        <f t="shared" ref="C135:L135" ca="1" si="55">C34</f>
        <v>1859152.1179143186</v>
      </c>
      <c r="D135" s="205">
        <f t="shared" ca="1" si="55"/>
        <v>1690138.289013017</v>
      </c>
      <c r="E135" s="205">
        <f t="shared" ca="1" si="55"/>
        <v>1859152.1179143186</v>
      </c>
      <c r="F135" s="205">
        <f t="shared" ca="1" si="55"/>
        <v>2028165.9468156202</v>
      </c>
      <c r="G135" s="205">
        <f t="shared" ca="1" si="55"/>
        <v>1859152.1179143186</v>
      </c>
      <c r="H135" s="205">
        <f t="shared" ca="1" si="55"/>
        <v>2028165.9468156202</v>
      </c>
      <c r="I135" s="205">
        <f t="shared" ca="1" si="55"/>
        <v>2197179.7757169222</v>
      </c>
      <c r="J135" s="205">
        <f t="shared" ca="1" si="55"/>
        <v>2028165.9468156202</v>
      </c>
      <c r="K135" s="205">
        <f t="shared" ca="1" si="55"/>
        <v>2197179.7757169222</v>
      </c>
      <c r="L135" s="205">
        <f t="shared" ca="1" si="55"/>
        <v>2535207.4335195255</v>
      </c>
      <c r="M135" s="220"/>
    </row>
    <row r="136" spans="1:13" s="204" customFormat="1" x14ac:dyDescent="0.2">
      <c r="A136" s="223" t="s">
        <v>203</v>
      </c>
      <c r="B136" s="205">
        <f ca="1">B35</f>
        <v>5531.4654554768158</v>
      </c>
      <c r="C136" s="205">
        <f t="shared" ref="C136:L136" ca="1" si="56">C35</f>
        <v>5531.4654554768158</v>
      </c>
      <c r="D136" s="205">
        <f t="shared" ca="1" si="56"/>
        <v>6084.6120010244977</v>
      </c>
      <c r="E136" s="205">
        <f t="shared" ca="1" si="56"/>
        <v>6084.6120010244977</v>
      </c>
      <c r="F136" s="205">
        <f t="shared" ca="1" si="56"/>
        <v>6084.6120010244977</v>
      </c>
      <c r="G136" s="205">
        <f t="shared" ca="1" si="56"/>
        <v>6637.7585465721786</v>
      </c>
      <c r="H136" s="205">
        <f t="shared" ca="1" si="56"/>
        <v>6637.7585465721786</v>
      </c>
      <c r="I136" s="205">
        <f t="shared" ca="1" si="56"/>
        <v>6637.7585465721786</v>
      </c>
      <c r="J136" s="205">
        <f t="shared" ca="1" si="56"/>
        <v>7190.9050921198595</v>
      </c>
      <c r="K136" s="205">
        <f t="shared" ca="1" si="56"/>
        <v>7190.9050921198595</v>
      </c>
      <c r="L136" s="205">
        <f t="shared" ca="1" si="56"/>
        <v>8297.1981832152233</v>
      </c>
      <c r="M136" s="220"/>
    </row>
    <row r="137" spans="1:13" s="204" customFormat="1" x14ac:dyDescent="0.2">
      <c r="A137" s="223" t="s">
        <v>204</v>
      </c>
      <c r="B137" s="205">
        <f t="shared" ref="B137:L137" si="57">B37</f>
        <v>246800</v>
      </c>
      <c r="C137" s="205">
        <f t="shared" si="57"/>
        <v>246800</v>
      </c>
      <c r="D137" s="205">
        <f t="shared" si="57"/>
        <v>246800</v>
      </c>
      <c r="E137" s="205">
        <f t="shared" si="57"/>
        <v>246800</v>
      </c>
      <c r="F137" s="205">
        <f t="shared" si="57"/>
        <v>246800</v>
      </c>
      <c r="G137" s="205">
        <f t="shared" si="57"/>
        <v>246800</v>
      </c>
      <c r="H137" s="205">
        <f t="shared" si="57"/>
        <v>246800</v>
      </c>
      <c r="I137" s="205">
        <f t="shared" si="57"/>
        <v>246800</v>
      </c>
      <c r="J137" s="205">
        <f t="shared" si="57"/>
        <v>246800</v>
      </c>
      <c r="K137" s="205">
        <f t="shared" si="57"/>
        <v>246800</v>
      </c>
      <c r="L137" s="205">
        <f t="shared" si="57"/>
        <v>246800</v>
      </c>
      <c r="M137" s="220"/>
    </row>
    <row r="138" spans="1:13" s="204" customFormat="1" x14ac:dyDescent="0.2">
      <c r="A138" s="223" t="s">
        <v>205</v>
      </c>
      <c r="B138" s="205">
        <f t="shared" ref="B138:L138" ca="1" si="58">B38</f>
        <v>439117</v>
      </c>
      <c r="C138" s="205">
        <f t="shared" ca="1" si="58"/>
        <v>439117</v>
      </c>
      <c r="D138" s="205">
        <f t="shared" ca="1" si="58"/>
        <v>439117</v>
      </c>
      <c r="E138" s="205">
        <f t="shared" ca="1" si="58"/>
        <v>439117</v>
      </c>
      <c r="F138" s="205">
        <f t="shared" ca="1" si="58"/>
        <v>439117</v>
      </c>
      <c r="G138" s="205">
        <f t="shared" ca="1" si="58"/>
        <v>439117</v>
      </c>
      <c r="H138" s="205">
        <f t="shared" ca="1" si="58"/>
        <v>439117</v>
      </c>
      <c r="I138" s="205">
        <f t="shared" ca="1" si="58"/>
        <v>439117</v>
      </c>
      <c r="J138" s="205">
        <f t="shared" ca="1" si="58"/>
        <v>439117</v>
      </c>
      <c r="K138" s="205">
        <f t="shared" ca="1" si="58"/>
        <v>439117</v>
      </c>
      <c r="L138" s="205">
        <f t="shared" ca="1" si="58"/>
        <v>439117</v>
      </c>
      <c r="M138" s="220"/>
    </row>
    <row r="139" spans="1:13" s="204" customFormat="1" x14ac:dyDescent="0.2">
      <c r="A139" s="223" t="s">
        <v>207</v>
      </c>
      <c r="B139" s="205">
        <f t="shared" ref="B139:L139" si="59">B39</f>
        <v>77718.401064595251</v>
      </c>
      <c r="C139" s="205">
        <f t="shared" si="59"/>
        <v>77718.401064595251</v>
      </c>
      <c r="D139" s="205">
        <f t="shared" si="59"/>
        <v>77718.401064595251</v>
      </c>
      <c r="E139" s="205">
        <f t="shared" si="59"/>
        <v>77718.401064595251</v>
      </c>
      <c r="F139" s="205">
        <f t="shared" si="59"/>
        <v>77718.401064595251</v>
      </c>
      <c r="G139" s="205">
        <f t="shared" si="59"/>
        <v>77718.401064595251</v>
      </c>
      <c r="H139" s="205">
        <f t="shared" si="59"/>
        <v>77718.401064595251</v>
      </c>
      <c r="I139" s="205">
        <f t="shared" si="59"/>
        <v>77718.401064595251</v>
      </c>
      <c r="J139" s="205">
        <f t="shared" si="59"/>
        <v>77718.401064595251</v>
      </c>
      <c r="K139" s="205">
        <f t="shared" si="59"/>
        <v>77718.401064595251</v>
      </c>
      <c r="L139" s="205">
        <f t="shared" si="59"/>
        <v>77718.401064595251</v>
      </c>
      <c r="M139" s="220"/>
    </row>
    <row r="140" spans="1:13" s="204" customFormat="1" x14ac:dyDescent="0.2">
      <c r="A140" s="228" t="s">
        <v>208</v>
      </c>
      <c r="B140" s="240">
        <f ca="1">SUM(B135:B139)</f>
        <v>2459305.1555330893</v>
      </c>
      <c r="C140" s="240">
        <f t="shared" ref="C140:K140" ca="1" si="60">SUM(C135:C139)</f>
        <v>2628318.9844343904</v>
      </c>
      <c r="D140" s="240">
        <f t="shared" ca="1" si="60"/>
        <v>2459858.3020786364</v>
      </c>
      <c r="E140" s="240">
        <f t="shared" ca="1" si="60"/>
        <v>2628872.1309799384</v>
      </c>
      <c r="F140" s="240">
        <f t="shared" ca="1" si="60"/>
        <v>2797885.9598812396</v>
      </c>
      <c r="G140" s="240">
        <f t="shared" ca="1" si="60"/>
        <v>2629425.277525486</v>
      </c>
      <c r="H140" s="240">
        <f ca="1">SUM(H135:H139)</f>
        <v>2798439.1064267876</v>
      </c>
      <c r="I140" s="240">
        <f t="shared" ca="1" si="60"/>
        <v>2967452.9353280896</v>
      </c>
      <c r="J140" s="240">
        <f t="shared" ca="1" si="60"/>
        <v>2798992.2529723356</v>
      </c>
      <c r="K140" s="240">
        <f t="shared" ca="1" si="60"/>
        <v>2968006.0818736372</v>
      </c>
      <c r="L140" s="240">
        <f ca="1">SUM(L135:L139)</f>
        <v>3307140.0327673359</v>
      </c>
      <c r="M140" s="220"/>
    </row>
    <row r="141" spans="1:13" s="204" customFormat="1" x14ac:dyDescent="0.2">
      <c r="A141" s="231"/>
      <c r="B141" s="220"/>
      <c r="C141" s="220"/>
      <c r="D141" s="220"/>
      <c r="E141" s="220"/>
      <c r="F141" s="220"/>
      <c r="G141" s="220"/>
      <c r="H141" s="220"/>
      <c r="I141" s="220"/>
      <c r="J141" s="220"/>
      <c r="K141" s="220"/>
      <c r="L141" s="220"/>
      <c r="M141" s="220"/>
    </row>
    <row r="142" spans="1:13" s="204" customFormat="1" x14ac:dyDescent="0.2">
      <c r="A142" s="228" t="s">
        <v>130</v>
      </c>
      <c r="B142" s="240" t="e">
        <f ca="1">B133-B140</f>
        <v>#REF!</v>
      </c>
      <c r="C142" s="240" t="e">
        <f t="shared" ref="C142:K142" ca="1" si="61">C133-C140</f>
        <v>#REF!</v>
      </c>
      <c r="D142" s="240" t="e">
        <f t="shared" ca="1" si="61"/>
        <v>#REF!</v>
      </c>
      <c r="E142" s="240" t="e">
        <f t="shared" ca="1" si="61"/>
        <v>#REF!</v>
      </c>
      <c r="F142" s="240" t="e">
        <f t="shared" ca="1" si="61"/>
        <v>#REF!</v>
      </c>
      <c r="G142" s="240" t="e">
        <f t="shared" ca="1" si="61"/>
        <v>#REF!</v>
      </c>
      <c r="H142" s="240" t="e">
        <f t="shared" ca="1" si="61"/>
        <v>#REF!</v>
      </c>
      <c r="I142" s="240" t="e">
        <f ca="1">I133-I140</f>
        <v>#REF!</v>
      </c>
      <c r="J142" s="240" t="e">
        <f t="shared" ca="1" si="61"/>
        <v>#REF!</v>
      </c>
      <c r="K142" s="240" t="e">
        <f t="shared" ca="1" si="61"/>
        <v>#REF!</v>
      </c>
      <c r="L142" s="240" t="e">
        <f ca="1">L133-L140</f>
        <v>#REF!</v>
      </c>
      <c r="M142" s="220"/>
    </row>
    <row r="143" spans="1:13" s="204" customFormat="1" x14ac:dyDescent="0.2">
      <c r="B143" s="242" t="e">
        <f ca="1">B42-B142</f>
        <v>#REF!</v>
      </c>
      <c r="C143" s="242" t="e">
        <f t="shared" ref="C143:K143" ca="1" si="62">C42-C142</f>
        <v>#REF!</v>
      </c>
      <c r="D143" s="242" t="e">
        <f t="shared" ca="1" si="62"/>
        <v>#REF!</v>
      </c>
      <c r="E143" s="242" t="e">
        <f t="shared" ca="1" si="62"/>
        <v>#REF!</v>
      </c>
      <c r="F143" s="242" t="e">
        <f t="shared" ca="1" si="62"/>
        <v>#REF!</v>
      </c>
      <c r="G143" s="242" t="e">
        <f t="shared" ca="1" si="62"/>
        <v>#REF!</v>
      </c>
      <c r="H143" s="242" t="e">
        <f t="shared" ca="1" si="62"/>
        <v>#REF!</v>
      </c>
      <c r="I143" s="242" t="e">
        <f t="shared" ca="1" si="62"/>
        <v>#REF!</v>
      </c>
      <c r="J143" s="242" t="e">
        <f t="shared" ca="1" si="62"/>
        <v>#REF!</v>
      </c>
      <c r="K143" s="242" t="e">
        <f t="shared" ca="1" si="62"/>
        <v>#REF!</v>
      </c>
      <c r="L143" s="242" t="e">
        <f ca="1">L42-L142</f>
        <v>#REF!</v>
      </c>
    </row>
    <row r="144" spans="1:13" s="204" customFormat="1" x14ac:dyDescent="0.2">
      <c r="A144" s="243" t="s">
        <v>209</v>
      </c>
      <c r="B144" s="220"/>
      <c r="C144" s="244">
        <f t="shared" ref="C144:L144" si="63">C44</f>
        <v>0.1</v>
      </c>
      <c r="D144" s="244">
        <f t="shared" si="63"/>
        <v>0</v>
      </c>
      <c r="E144" s="244">
        <f t="shared" si="63"/>
        <v>0.1</v>
      </c>
      <c r="F144" s="244">
        <f t="shared" si="63"/>
        <v>0.2</v>
      </c>
      <c r="G144" s="244">
        <f t="shared" si="63"/>
        <v>0.1</v>
      </c>
      <c r="H144" s="244">
        <f t="shared" si="63"/>
        <v>0.2</v>
      </c>
      <c r="I144" s="244">
        <f t="shared" si="63"/>
        <v>0.3</v>
      </c>
      <c r="J144" s="244">
        <f t="shared" si="63"/>
        <v>0.2</v>
      </c>
      <c r="K144" s="244">
        <f t="shared" si="63"/>
        <v>0.3</v>
      </c>
      <c r="L144" s="244">
        <f t="shared" si="63"/>
        <v>0.5</v>
      </c>
      <c r="M144" s="220"/>
    </row>
    <row r="145" spans="1:13" s="204" customFormat="1" x14ac:dyDescent="0.2">
      <c r="A145" s="243" t="s">
        <v>210</v>
      </c>
      <c r="B145" s="220"/>
      <c r="C145" s="244">
        <f t="shared" ref="C145:L145" si="64">C45</f>
        <v>0</v>
      </c>
      <c r="D145" s="244">
        <f t="shared" si="64"/>
        <v>0.1</v>
      </c>
      <c r="E145" s="244">
        <f t="shared" si="64"/>
        <v>0.1</v>
      </c>
      <c r="F145" s="244">
        <f t="shared" si="64"/>
        <v>0.1</v>
      </c>
      <c r="G145" s="244">
        <f t="shared" si="64"/>
        <v>0.2</v>
      </c>
      <c r="H145" s="244">
        <f t="shared" si="64"/>
        <v>0.2</v>
      </c>
      <c r="I145" s="244">
        <f t="shared" si="64"/>
        <v>0.2</v>
      </c>
      <c r="J145" s="244">
        <f t="shared" si="64"/>
        <v>0.3</v>
      </c>
      <c r="K145" s="244">
        <f t="shared" si="64"/>
        <v>0.3</v>
      </c>
      <c r="L145" s="244">
        <f t="shared" si="64"/>
        <v>0.5</v>
      </c>
      <c r="M145" s="220"/>
    </row>
    <row r="146" spans="1:13" s="204" customFormat="1" x14ac:dyDescent="0.2">
      <c r="A146" s="243" t="s">
        <v>211</v>
      </c>
      <c r="B146" s="220"/>
      <c r="C146" s="245" t="e">
        <f ca="1">(C142-$B$142)/$B$142</f>
        <v>#REF!</v>
      </c>
      <c r="D146" s="245" t="e">
        <f t="shared" ref="D146:K146" ca="1" si="65">(D142-$B$142)/$B$142</f>
        <v>#REF!</v>
      </c>
      <c r="E146" s="245" t="e">
        <f t="shared" ca="1" si="65"/>
        <v>#REF!</v>
      </c>
      <c r="F146" s="245" t="e">
        <f t="shared" ca="1" si="65"/>
        <v>#REF!</v>
      </c>
      <c r="G146" s="245" t="e">
        <f t="shared" ca="1" si="65"/>
        <v>#REF!</v>
      </c>
      <c r="H146" s="245" t="e">
        <f t="shared" ca="1" si="65"/>
        <v>#REF!</v>
      </c>
      <c r="I146" s="245" t="e">
        <f t="shared" ca="1" si="65"/>
        <v>#REF!</v>
      </c>
      <c r="J146" s="245" t="e">
        <f t="shared" ca="1" si="65"/>
        <v>#REF!</v>
      </c>
      <c r="K146" s="245" t="e">
        <f t="shared" ca="1" si="65"/>
        <v>#REF!</v>
      </c>
      <c r="L146" s="245" t="e">
        <f ca="1">(L142-$B$142)/$B$142</f>
        <v>#REF!</v>
      </c>
      <c r="M146" s="220"/>
    </row>
    <row r="147" spans="1:13" s="204" customFormat="1" x14ac:dyDescent="0.2"/>
    <row r="148" spans="1:13" s="204" customFormat="1" x14ac:dyDescent="0.2"/>
    <row r="149" spans="1:13" s="204" customFormat="1" x14ac:dyDescent="0.2">
      <c r="A149" s="174" t="s">
        <v>252</v>
      </c>
      <c r="B149" s="174"/>
      <c r="C149" s="174"/>
      <c r="D149" s="174"/>
      <c r="E149" s="174"/>
      <c r="F149" s="174"/>
      <c r="G149" s="174"/>
      <c r="H149" s="174"/>
      <c r="I149" s="174"/>
      <c r="J149" s="174"/>
      <c r="K149" s="174"/>
      <c r="L149" s="174"/>
      <c r="M149" s="174"/>
    </row>
    <row r="150" spans="1:13" s="204" customFormat="1" x14ac:dyDescent="0.2"/>
    <row r="151" spans="1:13" s="204" customFormat="1" x14ac:dyDescent="0.2">
      <c r="A151" s="228" t="s">
        <v>184</v>
      </c>
      <c r="B151" s="229">
        <v>1</v>
      </c>
      <c r="C151" s="229">
        <v>2</v>
      </c>
      <c r="D151" s="229">
        <v>3</v>
      </c>
      <c r="E151" s="229">
        <v>4</v>
      </c>
      <c r="F151" s="229">
        <v>5</v>
      </c>
      <c r="G151" s="229">
        <v>6</v>
      </c>
      <c r="H151" s="229">
        <v>7</v>
      </c>
      <c r="I151" s="229">
        <v>8</v>
      </c>
      <c r="J151" s="229">
        <v>9</v>
      </c>
      <c r="K151" s="229">
        <v>10</v>
      </c>
      <c r="L151" s="229">
        <v>11</v>
      </c>
    </row>
    <row r="152" spans="1:13" s="204" customFormat="1" x14ac:dyDescent="0.2">
      <c r="A152" s="223" t="s">
        <v>185</v>
      </c>
      <c r="B152" s="230">
        <f t="shared" ref="B152:L152" si="66">B52</f>
        <v>12.78</v>
      </c>
      <c r="C152" s="230">
        <f t="shared" si="66"/>
        <v>11.501999999999999</v>
      </c>
      <c r="D152" s="230">
        <f t="shared" si="66"/>
        <v>12.78</v>
      </c>
      <c r="E152" s="230">
        <f t="shared" si="66"/>
        <v>11.501999999999999</v>
      </c>
      <c r="F152" s="230">
        <f t="shared" si="66"/>
        <v>10.224</v>
      </c>
      <c r="G152" s="230">
        <f t="shared" si="66"/>
        <v>11.501999999999999</v>
      </c>
      <c r="H152" s="230">
        <f t="shared" si="66"/>
        <v>10.224</v>
      </c>
      <c r="I152" s="230">
        <f t="shared" si="66"/>
        <v>8.9459999999999997</v>
      </c>
      <c r="J152" s="230">
        <f t="shared" si="66"/>
        <v>10.224</v>
      </c>
      <c r="K152" s="230">
        <f t="shared" si="66"/>
        <v>8.9459999999999997</v>
      </c>
      <c r="L152" s="230">
        <f t="shared" si="66"/>
        <v>6.39</v>
      </c>
    </row>
    <row r="153" spans="1:13" s="204" customFormat="1" x14ac:dyDescent="0.2">
      <c r="A153" s="223" t="s">
        <v>186</v>
      </c>
      <c r="B153" s="230">
        <f t="shared" ref="B153:L153" si="67">B53</f>
        <v>0.9957495054382246</v>
      </c>
      <c r="C153" s="230">
        <f t="shared" si="67"/>
        <v>0.9957495054382246</v>
      </c>
      <c r="D153" s="230">
        <f t="shared" si="67"/>
        <v>0.89617455489440212</v>
      </c>
      <c r="E153" s="230">
        <f t="shared" si="67"/>
        <v>0.89617455489440212</v>
      </c>
      <c r="F153" s="230">
        <f t="shared" si="67"/>
        <v>0.89617455489440212</v>
      </c>
      <c r="G153" s="230">
        <f t="shared" si="67"/>
        <v>0.79659960435057975</v>
      </c>
      <c r="H153" s="230">
        <f t="shared" si="67"/>
        <v>0.79659960435057975</v>
      </c>
      <c r="I153" s="230">
        <f t="shared" si="67"/>
        <v>0.79659960435057975</v>
      </c>
      <c r="J153" s="230">
        <f t="shared" si="67"/>
        <v>0.69702465380675716</v>
      </c>
      <c r="K153" s="230">
        <f t="shared" si="67"/>
        <v>0.69702465380675716</v>
      </c>
      <c r="L153" s="230">
        <f t="shared" si="67"/>
        <v>0.4978747527191123</v>
      </c>
    </row>
    <row r="154" spans="1:13" s="204" customFormat="1" x14ac:dyDescent="0.2">
      <c r="A154" s="231"/>
      <c r="B154" s="232" t="e">
        <f ca="1">B55-B155</f>
        <v>#REF!</v>
      </c>
      <c r="C154" s="232" t="e">
        <f t="shared" ref="C154:L154" ca="1" si="68">C55-C155</f>
        <v>#REF!</v>
      </c>
      <c r="D154" s="232" t="e">
        <f t="shared" ca="1" si="68"/>
        <v>#REF!</v>
      </c>
      <c r="E154" s="232" t="e">
        <f t="shared" ca="1" si="68"/>
        <v>#REF!</v>
      </c>
      <c r="F154" s="232" t="e">
        <f t="shared" ca="1" si="68"/>
        <v>#REF!</v>
      </c>
      <c r="G154" s="232" t="e">
        <f t="shared" ca="1" si="68"/>
        <v>#REF!</v>
      </c>
      <c r="H154" s="232" t="e">
        <f t="shared" ca="1" si="68"/>
        <v>#REF!</v>
      </c>
      <c r="I154" s="232" t="e">
        <f t="shared" ca="1" si="68"/>
        <v>#REF!</v>
      </c>
      <c r="J154" s="232" t="e">
        <f t="shared" ca="1" si="68"/>
        <v>#REF!</v>
      </c>
      <c r="K154" s="232" t="e">
        <f t="shared" ca="1" si="68"/>
        <v>#REF!</v>
      </c>
      <c r="L154" s="232" t="e">
        <f t="shared" ca="1" si="68"/>
        <v>#REF!</v>
      </c>
    </row>
    <row r="155" spans="1:13" s="204" customFormat="1" x14ac:dyDescent="0.2">
      <c r="A155" s="223" t="s">
        <v>240</v>
      </c>
      <c r="B155" s="233" t="e">
        <f ca="1">B156+B157</f>
        <v>#REF!</v>
      </c>
      <c r="C155" s="233" t="e">
        <f t="shared" ref="C155:L155" ca="1" si="69">C156+C157</f>
        <v>#REF!</v>
      </c>
      <c r="D155" s="233" t="e">
        <f t="shared" ca="1" si="69"/>
        <v>#REF!</v>
      </c>
      <c r="E155" s="233" t="e">
        <f t="shared" ca="1" si="69"/>
        <v>#REF!</v>
      </c>
      <c r="F155" s="233" t="e">
        <f t="shared" ca="1" si="69"/>
        <v>#REF!</v>
      </c>
      <c r="G155" s="233" t="e">
        <f t="shared" ca="1" si="69"/>
        <v>#REF!</v>
      </c>
      <c r="H155" s="233" t="e">
        <f t="shared" ca="1" si="69"/>
        <v>#REF!</v>
      </c>
      <c r="I155" s="233" t="e">
        <f t="shared" ca="1" si="69"/>
        <v>#REF!</v>
      </c>
      <c r="J155" s="233" t="e">
        <f t="shared" ca="1" si="69"/>
        <v>#REF!</v>
      </c>
      <c r="K155" s="233" t="e">
        <f t="shared" ca="1" si="69"/>
        <v>#REF!</v>
      </c>
      <c r="L155" s="233" t="e">
        <f t="shared" ca="1" si="69"/>
        <v>#REF!</v>
      </c>
    </row>
    <row r="156" spans="1:13" s="204" customFormat="1" x14ac:dyDescent="0.2">
      <c r="A156" s="234" t="s">
        <v>241</v>
      </c>
      <c r="B156" s="235" t="e">
        <f ca="1">$B$86</f>
        <v>#REF!</v>
      </c>
      <c r="C156" s="235" t="e">
        <f t="shared" ref="C156:L156" ca="1" si="70">$B$86</f>
        <v>#REF!</v>
      </c>
      <c r="D156" s="235" t="e">
        <f t="shared" ca="1" si="70"/>
        <v>#REF!</v>
      </c>
      <c r="E156" s="235" t="e">
        <f t="shared" ca="1" si="70"/>
        <v>#REF!</v>
      </c>
      <c r="F156" s="235" t="e">
        <f ca="1">$B$86</f>
        <v>#REF!</v>
      </c>
      <c r="G156" s="235" t="e">
        <f t="shared" ca="1" si="70"/>
        <v>#REF!</v>
      </c>
      <c r="H156" s="235" t="e">
        <f t="shared" ca="1" si="70"/>
        <v>#REF!</v>
      </c>
      <c r="I156" s="235" t="e">
        <f t="shared" ca="1" si="70"/>
        <v>#REF!</v>
      </c>
      <c r="J156" s="235" t="e">
        <f t="shared" ca="1" si="70"/>
        <v>#REF!</v>
      </c>
      <c r="K156" s="235" t="e">
        <f t="shared" ca="1" si="70"/>
        <v>#REF!</v>
      </c>
      <c r="L156" s="235" t="e">
        <f t="shared" ca="1" si="70"/>
        <v>#REF!</v>
      </c>
    </row>
    <row r="157" spans="1:13" s="204" customFormat="1" x14ac:dyDescent="0.2">
      <c r="A157" s="234" t="s">
        <v>242</v>
      </c>
      <c r="B157" s="235" t="e">
        <f ca="1">($B$88+($B$6*B152)+($B$7*B153))</f>
        <v>#REF!</v>
      </c>
      <c r="C157" s="235" t="e">
        <f t="shared" ref="C157:L157" ca="1" si="71">($B$88+($B$6*C152)+($B$7*C153))</f>
        <v>#REF!</v>
      </c>
      <c r="D157" s="235" t="e">
        <f t="shared" ca="1" si="71"/>
        <v>#REF!</v>
      </c>
      <c r="E157" s="235" t="e">
        <f t="shared" ca="1" si="71"/>
        <v>#REF!</v>
      </c>
      <c r="F157" s="235" t="e">
        <f t="shared" ca="1" si="71"/>
        <v>#REF!</v>
      </c>
      <c r="G157" s="235" t="e">
        <f t="shared" ca="1" si="71"/>
        <v>#REF!</v>
      </c>
      <c r="H157" s="235" t="e">
        <f t="shared" ca="1" si="71"/>
        <v>#REF!</v>
      </c>
      <c r="I157" s="235" t="e">
        <f t="shared" ca="1" si="71"/>
        <v>#REF!</v>
      </c>
      <c r="J157" s="235" t="e">
        <f t="shared" ca="1" si="71"/>
        <v>#REF!</v>
      </c>
      <c r="K157" s="235" t="e">
        <f ca="1">($B$88+($B$6*K152)+($B$7*K153))</f>
        <v>#REF!</v>
      </c>
      <c r="L157" s="235" t="e">
        <f t="shared" ca="1" si="71"/>
        <v>#REF!</v>
      </c>
    </row>
    <row r="158" spans="1:13" s="204" customFormat="1" x14ac:dyDescent="0.2">
      <c r="A158" s="234"/>
      <c r="B158" s="236" t="e">
        <f>B56-B159</f>
        <v>#REF!</v>
      </c>
      <c r="C158" s="236" t="e">
        <f t="shared" ref="C158:L158" si="72">C56-C159</f>
        <v>#REF!</v>
      </c>
      <c r="D158" s="236" t="e">
        <f t="shared" si="72"/>
        <v>#REF!</v>
      </c>
      <c r="E158" s="236" t="e">
        <f t="shared" si="72"/>
        <v>#REF!</v>
      </c>
      <c r="F158" s="236" t="e">
        <f t="shared" si="72"/>
        <v>#REF!</v>
      </c>
      <c r="G158" s="236" t="e">
        <f t="shared" si="72"/>
        <v>#REF!</v>
      </c>
      <c r="H158" s="236" t="e">
        <f t="shared" si="72"/>
        <v>#REF!</v>
      </c>
      <c r="I158" s="236" t="e">
        <f t="shared" si="72"/>
        <v>#REF!</v>
      </c>
      <c r="J158" s="236" t="e">
        <f t="shared" si="72"/>
        <v>#REF!</v>
      </c>
      <c r="K158" s="236" t="e">
        <f t="shared" si="72"/>
        <v>#REF!</v>
      </c>
      <c r="L158" s="236" t="e">
        <f t="shared" si="72"/>
        <v>#REF!</v>
      </c>
    </row>
    <row r="159" spans="1:13" s="204" customFormat="1" x14ac:dyDescent="0.2">
      <c r="A159" s="223" t="s">
        <v>190</v>
      </c>
      <c r="B159" s="233" t="e">
        <f>$B$12+($B$11*B152)</f>
        <v>#REF!</v>
      </c>
      <c r="C159" s="233" t="e">
        <f t="shared" ref="C159:L159" si="73">$B$12+($B$11*C152)</f>
        <v>#REF!</v>
      </c>
      <c r="D159" s="233" t="e">
        <f t="shared" si="73"/>
        <v>#REF!</v>
      </c>
      <c r="E159" s="233" t="e">
        <f t="shared" si="73"/>
        <v>#REF!</v>
      </c>
      <c r="F159" s="233" t="e">
        <f t="shared" si="73"/>
        <v>#REF!</v>
      </c>
      <c r="G159" s="233" t="e">
        <f t="shared" si="73"/>
        <v>#REF!</v>
      </c>
      <c r="H159" s="233" t="e">
        <f t="shared" si="73"/>
        <v>#REF!</v>
      </c>
      <c r="I159" s="233" t="e">
        <f t="shared" si="73"/>
        <v>#REF!</v>
      </c>
      <c r="J159" s="233" t="e">
        <f t="shared" si="73"/>
        <v>#REF!</v>
      </c>
      <c r="K159" s="233" t="e">
        <f t="shared" si="73"/>
        <v>#REF!</v>
      </c>
      <c r="L159" s="233" t="e">
        <f t="shared" si="73"/>
        <v>#REF!</v>
      </c>
    </row>
    <row r="160" spans="1:13" s="204" customFormat="1" x14ac:dyDescent="0.2">
      <c r="A160" s="223"/>
      <c r="B160" s="232" t="e">
        <f ca="1">B57-B161</f>
        <v>#REF!</v>
      </c>
      <c r="C160" s="232" t="e">
        <f t="shared" ref="C160:L160" ca="1" si="74">C57-C161</f>
        <v>#REF!</v>
      </c>
      <c r="D160" s="232" t="e">
        <f t="shared" ca="1" si="74"/>
        <v>#REF!</v>
      </c>
      <c r="E160" s="232" t="e">
        <f t="shared" ca="1" si="74"/>
        <v>#REF!</v>
      </c>
      <c r="F160" s="232" t="e">
        <f t="shared" ca="1" si="74"/>
        <v>#REF!</v>
      </c>
      <c r="G160" s="232" t="e">
        <f t="shared" ca="1" si="74"/>
        <v>#REF!</v>
      </c>
      <c r="H160" s="232" t="e">
        <f t="shared" ca="1" si="74"/>
        <v>#REF!</v>
      </c>
      <c r="I160" s="232" t="e">
        <f t="shared" ca="1" si="74"/>
        <v>#REF!</v>
      </c>
      <c r="J160" s="232" t="e">
        <f t="shared" ca="1" si="74"/>
        <v>#REF!</v>
      </c>
      <c r="K160" s="232" t="e">
        <f t="shared" ca="1" si="74"/>
        <v>#REF!</v>
      </c>
      <c r="L160" s="232" t="e">
        <f t="shared" ca="1" si="74"/>
        <v>#REF!</v>
      </c>
    </row>
    <row r="161" spans="1:12" s="204" customFormat="1" x14ac:dyDescent="0.2">
      <c r="A161" s="223" t="s">
        <v>243</v>
      </c>
      <c r="B161" s="233" t="e">
        <f ca="1">B162+B163</f>
        <v>#REF!</v>
      </c>
      <c r="C161" s="233" t="e">
        <f t="shared" ref="C161:L161" ca="1" si="75">C162+C163</f>
        <v>#REF!</v>
      </c>
      <c r="D161" s="233" t="e">
        <f t="shared" ca="1" si="75"/>
        <v>#REF!</v>
      </c>
      <c r="E161" s="233" t="e">
        <f t="shared" ca="1" si="75"/>
        <v>#REF!</v>
      </c>
      <c r="F161" s="233" t="e">
        <f t="shared" ca="1" si="75"/>
        <v>#REF!</v>
      </c>
      <c r="G161" s="233" t="e">
        <f t="shared" ca="1" si="75"/>
        <v>#REF!</v>
      </c>
      <c r="H161" s="233" t="e">
        <f t="shared" ca="1" si="75"/>
        <v>#REF!</v>
      </c>
      <c r="I161" s="233" t="e">
        <f t="shared" ca="1" si="75"/>
        <v>#REF!</v>
      </c>
      <c r="J161" s="233" t="e">
        <f t="shared" ca="1" si="75"/>
        <v>#REF!</v>
      </c>
      <c r="K161" s="233" t="e">
        <f t="shared" ca="1" si="75"/>
        <v>#REF!</v>
      </c>
      <c r="L161" s="233" t="e">
        <f t="shared" ca="1" si="75"/>
        <v>#REF!</v>
      </c>
    </row>
    <row r="162" spans="1:12" s="204" customFormat="1" x14ac:dyDescent="0.2">
      <c r="A162" s="234" t="s">
        <v>244</v>
      </c>
      <c r="B162" s="235" t="e">
        <f ca="1">$B$16+($B$15*B156)</f>
        <v>#REF!</v>
      </c>
      <c r="C162" s="235" t="e">
        <f t="shared" ref="C162:L162" ca="1" si="76">$B$16+($B$15*C156)</f>
        <v>#REF!</v>
      </c>
      <c r="D162" s="235" t="e">
        <f t="shared" ca="1" si="76"/>
        <v>#REF!</v>
      </c>
      <c r="E162" s="235" t="e">
        <f t="shared" ca="1" si="76"/>
        <v>#REF!</v>
      </c>
      <c r="F162" s="235" t="e">
        <f t="shared" ca="1" si="76"/>
        <v>#REF!</v>
      </c>
      <c r="G162" s="235" t="e">
        <f t="shared" ca="1" si="76"/>
        <v>#REF!</v>
      </c>
      <c r="H162" s="235" t="e">
        <f t="shared" ca="1" si="76"/>
        <v>#REF!</v>
      </c>
      <c r="I162" s="235" t="e">
        <f t="shared" ca="1" si="76"/>
        <v>#REF!</v>
      </c>
      <c r="J162" s="235" t="e">
        <f t="shared" ca="1" si="76"/>
        <v>#REF!</v>
      </c>
      <c r="K162" s="235" t="e">
        <f t="shared" ca="1" si="76"/>
        <v>#REF!</v>
      </c>
      <c r="L162" s="235" t="e">
        <f t="shared" ca="1" si="76"/>
        <v>#REF!</v>
      </c>
    </row>
    <row r="163" spans="1:12" s="204" customFormat="1" x14ac:dyDescent="0.2">
      <c r="A163" s="234" t="s">
        <v>245</v>
      </c>
      <c r="B163" s="235" t="e">
        <f ca="1">$B$15*B157</f>
        <v>#REF!</v>
      </c>
      <c r="C163" s="235" t="e">
        <f t="shared" ref="C163:L163" ca="1" si="77">$B$15*C157</f>
        <v>#REF!</v>
      </c>
      <c r="D163" s="235" t="e">
        <f t="shared" ca="1" si="77"/>
        <v>#REF!</v>
      </c>
      <c r="E163" s="235" t="e">
        <f t="shared" ca="1" si="77"/>
        <v>#REF!</v>
      </c>
      <c r="F163" s="235" t="e">
        <f t="shared" ca="1" si="77"/>
        <v>#REF!</v>
      </c>
      <c r="G163" s="235" t="e">
        <f t="shared" ca="1" si="77"/>
        <v>#REF!</v>
      </c>
      <c r="H163" s="235" t="e">
        <f t="shared" ca="1" si="77"/>
        <v>#REF!</v>
      </c>
      <c r="I163" s="235" t="e">
        <f t="shared" ca="1" si="77"/>
        <v>#REF!</v>
      </c>
      <c r="J163" s="235" t="e">
        <f t="shared" ca="1" si="77"/>
        <v>#REF!</v>
      </c>
      <c r="K163" s="235" t="e">
        <f t="shared" ca="1" si="77"/>
        <v>#REF!</v>
      </c>
      <c r="L163" s="235" t="e">
        <f t="shared" ca="1" si="77"/>
        <v>#REF!</v>
      </c>
    </row>
    <row r="164" spans="1:12" s="204" customFormat="1" x14ac:dyDescent="0.2">
      <c r="A164" s="220"/>
      <c r="B164" s="239" t="e">
        <f ca="1">B60-B165</f>
        <v>#REF!</v>
      </c>
      <c r="C164" s="239" t="e">
        <f t="shared" ref="C164:L164" ca="1" si="78">C60-C165</f>
        <v>#REF!</v>
      </c>
      <c r="D164" s="239" t="e">
        <f t="shared" ca="1" si="78"/>
        <v>#REF!</v>
      </c>
      <c r="E164" s="239" t="e">
        <f t="shared" ca="1" si="78"/>
        <v>#REF!</v>
      </c>
      <c r="F164" s="239" t="e">
        <f t="shared" ca="1" si="78"/>
        <v>#REF!</v>
      </c>
      <c r="G164" s="239" t="e">
        <f t="shared" ca="1" si="78"/>
        <v>#REF!</v>
      </c>
      <c r="H164" s="239" t="e">
        <f t="shared" ca="1" si="78"/>
        <v>#REF!</v>
      </c>
      <c r="I164" s="239" t="e">
        <f t="shared" ca="1" si="78"/>
        <v>#REF!</v>
      </c>
      <c r="J164" s="239" t="e">
        <f t="shared" ca="1" si="78"/>
        <v>#REF!</v>
      </c>
      <c r="K164" s="239" t="e">
        <f t="shared" ca="1" si="78"/>
        <v>#REF!</v>
      </c>
      <c r="L164" s="239" t="e">
        <f t="shared" ca="1" si="78"/>
        <v>#REF!</v>
      </c>
    </row>
    <row r="165" spans="1:12" s="204" customFormat="1" x14ac:dyDescent="0.2">
      <c r="A165" s="223" t="s">
        <v>246</v>
      </c>
      <c r="B165" s="205" t="e">
        <f>B166+B167</f>
        <v>#REF!</v>
      </c>
      <c r="C165" s="205" t="e">
        <f t="shared" ref="C165:L165" si="79">C166+C167</f>
        <v>#REF!</v>
      </c>
      <c r="D165" s="205" t="e">
        <f t="shared" si="79"/>
        <v>#REF!</v>
      </c>
      <c r="E165" s="205" t="e">
        <f t="shared" si="79"/>
        <v>#REF!</v>
      </c>
      <c r="F165" s="205" t="e">
        <f t="shared" si="79"/>
        <v>#REF!</v>
      </c>
      <c r="G165" s="205" t="e">
        <f t="shared" si="79"/>
        <v>#REF!</v>
      </c>
      <c r="H165" s="205" t="e">
        <f t="shared" si="79"/>
        <v>#REF!</v>
      </c>
      <c r="I165" s="205" t="e">
        <f t="shared" si="79"/>
        <v>#REF!</v>
      </c>
      <c r="J165" s="205" t="e">
        <f t="shared" si="79"/>
        <v>#REF!</v>
      </c>
      <c r="K165" s="205" t="e">
        <f t="shared" si="79"/>
        <v>#REF!</v>
      </c>
      <c r="L165" s="205" t="e">
        <f t="shared" si="79"/>
        <v>#REF!</v>
      </c>
    </row>
    <row r="166" spans="1:12" s="204" customFormat="1" x14ac:dyDescent="0.2">
      <c r="A166" s="234" t="s">
        <v>247</v>
      </c>
      <c r="B166" s="237" t="e">
        <v>#REF!</v>
      </c>
      <c r="C166" s="237" t="e">
        <v>#REF!</v>
      </c>
      <c r="D166" s="237" t="e">
        <v>#REF!</v>
      </c>
      <c r="E166" s="237" t="e">
        <v>#REF!</v>
      </c>
      <c r="F166" s="237" t="e">
        <v>#REF!</v>
      </c>
      <c r="G166" s="237" t="e">
        <v>#REF!</v>
      </c>
      <c r="H166" s="237" t="e">
        <v>#REF!</v>
      </c>
      <c r="I166" s="237" t="e">
        <v>#REF!</v>
      </c>
      <c r="J166" s="237" t="e">
        <v>#REF!</v>
      </c>
      <c r="K166" s="237" t="e">
        <v>#REF!</v>
      </c>
      <c r="L166" s="237" t="e">
        <v>#REF!</v>
      </c>
    </row>
    <row r="167" spans="1:12" s="204" customFormat="1" x14ac:dyDescent="0.2">
      <c r="A167" s="234" t="s">
        <v>248</v>
      </c>
      <c r="B167" s="237" t="e">
        <v>#REF!</v>
      </c>
      <c r="C167" s="237" t="e">
        <v>#REF!</v>
      </c>
      <c r="D167" s="237" t="e">
        <v>#REF!</v>
      </c>
      <c r="E167" s="237" t="e">
        <v>#REF!</v>
      </c>
      <c r="F167" s="237" t="e">
        <v>#REF!</v>
      </c>
      <c r="G167" s="237" t="e">
        <v>#REF!</v>
      </c>
      <c r="H167" s="237" t="e">
        <v>#REF!</v>
      </c>
      <c r="I167" s="237" t="e">
        <v>#REF!</v>
      </c>
      <c r="J167" s="237" t="e">
        <v>#REF!</v>
      </c>
      <c r="K167" s="237" t="e">
        <v>#REF!</v>
      </c>
      <c r="L167" s="237" t="e">
        <v>#REF!</v>
      </c>
    </row>
    <row r="168" spans="1:12" s="204" customFormat="1" x14ac:dyDescent="0.2">
      <c r="A168" s="223"/>
      <c r="B168" s="238" t="e">
        <f>B61-B169</f>
        <v>#REF!</v>
      </c>
      <c r="C168" s="238" t="e">
        <f t="shared" ref="C168:L168" si="80">C61-C169</f>
        <v>#REF!</v>
      </c>
      <c r="D168" s="238" t="e">
        <f t="shared" si="80"/>
        <v>#REF!</v>
      </c>
      <c r="E168" s="238" t="e">
        <f t="shared" si="80"/>
        <v>#REF!</v>
      </c>
      <c r="F168" s="238" t="e">
        <f t="shared" si="80"/>
        <v>#REF!</v>
      </c>
      <c r="G168" s="238" t="e">
        <f t="shared" si="80"/>
        <v>#REF!</v>
      </c>
      <c r="H168" s="238" t="e">
        <f t="shared" si="80"/>
        <v>#REF!</v>
      </c>
      <c r="I168" s="238" t="e">
        <f t="shared" si="80"/>
        <v>#REF!</v>
      </c>
      <c r="J168" s="238" t="e">
        <f t="shared" si="80"/>
        <v>#REF!</v>
      </c>
      <c r="K168" s="238" t="e">
        <f t="shared" si="80"/>
        <v>#REF!</v>
      </c>
      <c r="L168" s="238" t="e">
        <f t="shared" si="80"/>
        <v>#REF!</v>
      </c>
    </row>
    <row r="169" spans="1:12" s="204" customFormat="1" x14ac:dyDescent="0.2">
      <c r="A169" s="223" t="s">
        <v>197</v>
      </c>
      <c r="B169" s="205" t="e">
        <v>#REF!</v>
      </c>
      <c r="C169" s="205" t="e">
        <v>#REF!</v>
      </c>
      <c r="D169" s="205" t="e">
        <v>#REF!</v>
      </c>
      <c r="E169" s="205" t="e">
        <v>#REF!</v>
      </c>
      <c r="F169" s="205" t="e">
        <v>#REF!</v>
      </c>
      <c r="G169" s="205" t="e">
        <v>#REF!</v>
      </c>
      <c r="H169" s="205" t="e">
        <v>#REF!</v>
      </c>
      <c r="I169" s="205" t="e">
        <v>#REF!</v>
      </c>
      <c r="J169" s="205" t="e">
        <v>#REF!</v>
      </c>
      <c r="K169" s="205" t="e">
        <v>#REF!</v>
      </c>
      <c r="L169" s="205" t="e">
        <v>#REF!</v>
      </c>
    </row>
    <row r="170" spans="1:12" s="204" customFormat="1" x14ac:dyDescent="0.2">
      <c r="A170" s="223"/>
      <c r="B170" s="246" t="e">
        <f ca="1">B62-B171</f>
        <v>#REF!</v>
      </c>
      <c r="C170" s="246" t="e">
        <f t="shared" ref="C170:L170" ca="1" si="81">C62-C171</f>
        <v>#REF!</v>
      </c>
      <c r="D170" s="246" t="e">
        <f t="shared" ca="1" si="81"/>
        <v>#REF!</v>
      </c>
      <c r="E170" s="246" t="e">
        <f t="shared" ca="1" si="81"/>
        <v>#REF!</v>
      </c>
      <c r="F170" s="246" t="e">
        <f t="shared" ca="1" si="81"/>
        <v>#REF!</v>
      </c>
      <c r="G170" s="246" t="e">
        <f t="shared" ca="1" si="81"/>
        <v>#REF!</v>
      </c>
      <c r="H170" s="246" t="e">
        <f t="shared" ca="1" si="81"/>
        <v>#REF!</v>
      </c>
      <c r="I170" s="246" t="e">
        <f t="shared" ca="1" si="81"/>
        <v>#REF!</v>
      </c>
      <c r="J170" s="246" t="e">
        <f t="shared" ca="1" si="81"/>
        <v>#REF!</v>
      </c>
      <c r="K170" s="246" t="e">
        <f t="shared" ca="1" si="81"/>
        <v>#REF!</v>
      </c>
      <c r="L170" s="246" t="e">
        <f t="shared" ca="1" si="81"/>
        <v>#REF!</v>
      </c>
    </row>
    <row r="171" spans="1:12" s="204" customFormat="1" x14ac:dyDescent="0.2">
      <c r="A171" s="223" t="s">
        <v>249</v>
      </c>
      <c r="B171" s="205" t="e">
        <f>B172+B173</f>
        <v>#REF!</v>
      </c>
      <c r="C171" s="205" t="e">
        <f t="shared" ref="C171:L171" si="82">C172+C173</f>
        <v>#REF!</v>
      </c>
      <c r="D171" s="205" t="e">
        <f t="shared" si="82"/>
        <v>#REF!</v>
      </c>
      <c r="E171" s="205" t="e">
        <f t="shared" si="82"/>
        <v>#REF!</v>
      </c>
      <c r="F171" s="205" t="e">
        <f t="shared" si="82"/>
        <v>#REF!</v>
      </c>
      <c r="G171" s="205" t="e">
        <f t="shared" si="82"/>
        <v>#REF!</v>
      </c>
      <c r="H171" s="205" t="e">
        <f t="shared" si="82"/>
        <v>#REF!</v>
      </c>
      <c r="I171" s="205" t="e">
        <f t="shared" si="82"/>
        <v>#REF!</v>
      </c>
      <c r="J171" s="205" t="e">
        <f t="shared" si="82"/>
        <v>#REF!</v>
      </c>
      <c r="K171" s="205" t="e">
        <f t="shared" si="82"/>
        <v>#REF!</v>
      </c>
      <c r="L171" s="205" t="e">
        <f t="shared" si="82"/>
        <v>#REF!</v>
      </c>
    </row>
    <row r="172" spans="1:12" s="204" customFormat="1" x14ac:dyDescent="0.2">
      <c r="A172" s="234" t="s">
        <v>250</v>
      </c>
      <c r="B172" s="237" t="e">
        <v>#REF!</v>
      </c>
      <c r="C172" s="237" t="e">
        <v>#REF!</v>
      </c>
      <c r="D172" s="237" t="e">
        <v>#REF!</v>
      </c>
      <c r="E172" s="237" t="e">
        <v>#REF!</v>
      </c>
      <c r="F172" s="237" t="e">
        <v>#REF!</v>
      </c>
      <c r="G172" s="237" t="e">
        <v>#REF!</v>
      </c>
      <c r="H172" s="237" t="e">
        <v>#REF!</v>
      </c>
      <c r="I172" s="237" t="e">
        <v>#REF!</v>
      </c>
      <c r="J172" s="237" t="e">
        <v>#REF!</v>
      </c>
      <c r="K172" s="237" t="e">
        <v>#REF!</v>
      </c>
      <c r="L172" s="237" t="e">
        <v>#REF!</v>
      </c>
    </row>
    <row r="173" spans="1:12" s="204" customFormat="1" x14ac:dyDescent="0.2">
      <c r="A173" s="234" t="s">
        <v>251</v>
      </c>
      <c r="B173" s="237" t="e">
        <v>#REF!</v>
      </c>
      <c r="C173" s="237" t="e">
        <v>#REF!</v>
      </c>
      <c r="D173" s="237" t="e">
        <v>#REF!</v>
      </c>
      <c r="E173" s="237" t="e">
        <v>#REF!</v>
      </c>
      <c r="F173" s="237" t="e">
        <v>#REF!</v>
      </c>
      <c r="G173" s="237" t="e">
        <v>#REF!</v>
      </c>
      <c r="H173" s="237" t="e">
        <v>#REF!</v>
      </c>
      <c r="I173" s="237" t="e">
        <v>#REF!</v>
      </c>
      <c r="J173" s="237" t="e">
        <v>#REF!</v>
      </c>
      <c r="K173" s="237" t="e">
        <v>#REF!</v>
      </c>
      <c r="L173" s="237" t="e">
        <v>#REF!</v>
      </c>
    </row>
    <row r="174" spans="1:12" s="204" customFormat="1" x14ac:dyDescent="0.2">
      <c r="A174" s="223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</row>
    <row r="175" spans="1:12" s="204" customFormat="1" x14ac:dyDescent="0.2">
      <c r="A175" s="228" t="s">
        <v>200</v>
      </c>
      <c r="B175" s="240" t="e">
        <f>B165+B169+B171</f>
        <v>#REF!</v>
      </c>
      <c r="C175" s="240" t="e">
        <f t="shared" ref="C175:L175" si="83">C165+C169+C171</f>
        <v>#REF!</v>
      </c>
      <c r="D175" s="240" t="e">
        <f t="shared" si="83"/>
        <v>#REF!</v>
      </c>
      <c r="E175" s="240" t="e">
        <f t="shared" si="83"/>
        <v>#REF!</v>
      </c>
      <c r="F175" s="240" t="e">
        <f t="shared" si="83"/>
        <v>#REF!</v>
      </c>
      <c r="G175" s="240" t="e">
        <f>G165+G169+G171</f>
        <v>#REF!</v>
      </c>
      <c r="H175" s="240" t="e">
        <f t="shared" si="83"/>
        <v>#REF!</v>
      </c>
      <c r="I175" s="240" t="e">
        <f t="shared" si="83"/>
        <v>#REF!</v>
      </c>
      <c r="J175" s="240" t="e">
        <f t="shared" si="83"/>
        <v>#REF!</v>
      </c>
      <c r="K175" s="240" t="e">
        <f t="shared" si="83"/>
        <v>#REF!</v>
      </c>
      <c r="L175" s="240" t="e">
        <f t="shared" si="83"/>
        <v>#REF!</v>
      </c>
    </row>
    <row r="176" spans="1:12" s="204" customFormat="1" x14ac:dyDescent="0.2">
      <c r="A176" s="231"/>
      <c r="B176" s="241"/>
      <c r="C176" s="241"/>
      <c r="D176" s="241"/>
      <c r="E176" s="241"/>
      <c r="F176" s="241"/>
      <c r="G176" s="241"/>
      <c r="H176" s="241"/>
      <c r="I176" s="241"/>
      <c r="J176" s="241"/>
      <c r="K176" s="241"/>
      <c r="L176" s="241"/>
    </row>
    <row r="177" spans="1:19" s="204" customFormat="1" x14ac:dyDescent="0.2">
      <c r="A177" s="223" t="s">
        <v>202</v>
      </c>
      <c r="B177" s="205">
        <f ca="1">B65</f>
        <v>1690138.289013017</v>
      </c>
      <c r="C177" s="205">
        <f t="shared" ref="C177:L177" ca="1" si="84">C65</f>
        <v>1521124.4601117151</v>
      </c>
      <c r="D177" s="205">
        <f t="shared" ca="1" si="84"/>
        <v>1690138.289013017</v>
      </c>
      <c r="E177" s="205">
        <f t="shared" ca="1" si="84"/>
        <v>1521124.4601117151</v>
      </c>
      <c r="F177" s="205">
        <f t="shared" ca="1" si="84"/>
        <v>1352110.6312104135</v>
      </c>
      <c r="G177" s="205">
        <f t="shared" ca="1" si="84"/>
        <v>1521124.4601117151</v>
      </c>
      <c r="H177" s="205">
        <f t="shared" ca="1" si="84"/>
        <v>1352110.6312104135</v>
      </c>
      <c r="I177" s="205">
        <f t="shared" ca="1" si="84"/>
        <v>1183096.8023091119</v>
      </c>
      <c r="J177" s="205">
        <f t="shared" ca="1" si="84"/>
        <v>1352110.6312104135</v>
      </c>
      <c r="K177" s="205">
        <f t="shared" ca="1" si="84"/>
        <v>1183096.8023091119</v>
      </c>
      <c r="L177" s="205">
        <f t="shared" ca="1" si="84"/>
        <v>845069.14450650848</v>
      </c>
    </row>
    <row r="178" spans="1:19" s="204" customFormat="1" x14ac:dyDescent="0.2">
      <c r="A178" s="223" t="s">
        <v>203</v>
      </c>
      <c r="B178" s="205">
        <f ca="1">B66</f>
        <v>5531.4654554768158</v>
      </c>
      <c r="C178" s="205">
        <f t="shared" ref="C178:L178" ca="1" si="85">C66</f>
        <v>5531.4654554768158</v>
      </c>
      <c r="D178" s="205">
        <f t="shared" ca="1" si="85"/>
        <v>4978.318909929134</v>
      </c>
      <c r="E178" s="205">
        <f t="shared" ca="1" si="85"/>
        <v>4978.318909929134</v>
      </c>
      <c r="F178" s="205">
        <f t="shared" ca="1" si="85"/>
        <v>4978.318909929134</v>
      </c>
      <c r="G178" s="205">
        <f t="shared" ca="1" si="85"/>
        <v>4425.172364381453</v>
      </c>
      <c r="H178" s="205">
        <f t="shared" ca="1" si="85"/>
        <v>4425.172364381453</v>
      </c>
      <c r="I178" s="205">
        <f t="shared" ca="1" si="85"/>
        <v>4425.172364381453</v>
      </c>
      <c r="J178" s="205">
        <f t="shared" ca="1" si="85"/>
        <v>3872.0258188337702</v>
      </c>
      <c r="K178" s="205">
        <f t="shared" ca="1" si="85"/>
        <v>3872.0258188337702</v>
      </c>
      <c r="L178" s="205">
        <f t="shared" ca="1" si="85"/>
        <v>2765.7327277384079</v>
      </c>
    </row>
    <row r="179" spans="1:19" s="204" customFormat="1" x14ac:dyDescent="0.2">
      <c r="A179" s="223" t="s">
        <v>204</v>
      </c>
      <c r="B179" s="205">
        <f t="shared" ref="B179:L181" si="86">B68</f>
        <v>246800</v>
      </c>
      <c r="C179" s="205">
        <f t="shared" si="86"/>
        <v>246800</v>
      </c>
      <c r="D179" s="205">
        <f t="shared" si="86"/>
        <v>246800</v>
      </c>
      <c r="E179" s="205">
        <f t="shared" si="86"/>
        <v>246800</v>
      </c>
      <c r="F179" s="205">
        <f t="shared" si="86"/>
        <v>246800</v>
      </c>
      <c r="G179" s="205">
        <f t="shared" si="86"/>
        <v>246800</v>
      </c>
      <c r="H179" s="205">
        <f t="shared" si="86"/>
        <v>246800</v>
      </c>
      <c r="I179" s="205">
        <f t="shared" si="86"/>
        <v>246800</v>
      </c>
      <c r="J179" s="205">
        <f t="shared" si="86"/>
        <v>246800</v>
      </c>
      <c r="K179" s="205">
        <f t="shared" si="86"/>
        <v>246800</v>
      </c>
      <c r="L179" s="205">
        <f t="shared" si="86"/>
        <v>246800</v>
      </c>
    </row>
    <row r="180" spans="1:19" s="204" customFormat="1" x14ac:dyDescent="0.2">
      <c r="A180" s="223" t="s">
        <v>205</v>
      </c>
      <c r="B180" s="205">
        <f t="shared" ca="1" si="86"/>
        <v>439117</v>
      </c>
      <c r="C180" s="205">
        <f t="shared" ca="1" si="86"/>
        <v>439117</v>
      </c>
      <c r="D180" s="205">
        <f t="shared" ca="1" si="86"/>
        <v>439117</v>
      </c>
      <c r="E180" s="205">
        <f t="shared" ca="1" si="86"/>
        <v>439117</v>
      </c>
      <c r="F180" s="205">
        <f t="shared" ca="1" si="86"/>
        <v>439117</v>
      </c>
      <c r="G180" s="205">
        <f t="shared" ca="1" si="86"/>
        <v>439117</v>
      </c>
      <c r="H180" s="205">
        <f t="shared" ca="1" si="86"/>
        <v>439117</v>
      </c>
      <c r="I180" s="205">
        <f t="shared" ca="1" si="86"/>
        <v>439117</v>
      </c>
      <c r="J180" s="205">
        <f t="shared" ca="1" si="86"/>
        <v>439117</v>
      </c>
      <c r="K180" s="205">
        <f t="shared" ca="1" si="86"/>
        <v>439117</v>
      </c>
      <c r="L180" s="205">
        <f t="shared" ca="1" si="86"/>
        <v>439117</v>
      </c>
    </row>
    <row r="181" spans="1:19" s="204" customFormat="1" x14ac:dyDescent="0.2">
      <c r="A181" s="223" t="s">
        <v>207</v>
      </c>
      <c r="B181" s="205">
        <f t="shared" si="86"/>
        <v>77718.401064595251</v>
      </c>
      <c r="C181" s="205">
        <f t="shared" si="86"/>
        <v>77718.401064595251</v>
      </c>
      <c r="D181" s="205">
        <f t="shared" si="86"/>
        <v>77718.401064595251</v>
      </c>
      <c r="E181" s="205">
        <f t="shared" si="86"/>
        <v>77718.401064595251</v>
      </c>
      <c r="F181" s="205">
        <f t="shared" si="86"/>
        <v>77718.401064595251</v>
      </c>
      <c r="G181" s="205">
        <f t="shared" si="86"/>
        <v>77718.401064595251</v>
      </c>
      <c r="H181" s="205">
        <f t="shared" si="86"/>
        <v>77718.401064595251</v>
      </c>
      <c r="I181" s="205">
        <f t="shared" si="86"/>
        <v>77718.401064595251</v>
      </c>
      <c r="J181" s="205">
        <f t="shared" si="86"/>
        <v>77718.401064595251</v>
      </c>
      <c r="K181" s="205">
        <f t="shared" si="86"/>
        <v>77718.401064595251</v>
      </c>
      <c r="L181" s="205">
        <f t="shared" si="86"/>
        <v>77718.401064595251</v>
      </c>
    </row>
    <row r="182" spans="1:19" s="204" customFormat="1" x14ac:dyDescent="0.2">
      <c r="A182" s="228" t="s">
        <v>208</v>
      </c>
      <c r="B182" s="240">
        <f ca="1">SUM(B177:B181)</f>
        <v>2459305.1555330893</v>
      </c>
      <c r="C182" s="240">
        <f t="shared" ref="C182:L182" ca="1" si="87">SUM(C177:C181)</f>
        <v>2290291.3266317872</v>
      </c>
      <c r="D182" s="240">
        <f t="shared" ca="1" si="87"/>
        <v>2458752.0089875413</v>
      </c>
      <c r="E182" s="240">
        <f t="shared" ca="1" si="87"/>
        <v>2289738.1800862392</v>
      </c>
      <c r="F182" s="240">
        <f t="shared" ca="1" si="87"/>
        <v>2120724.3511849381</v>
      </c>
      <c r="G182" s="240">
        <f ca="1">SUM(G177:G181)</f>
        <v>2289185.0335406917</v>
      </c>
      <c r="H182" s="240">
        <f t="shared" ca="1" si="87"/>
        <v>2120171.2046393901</v>
      </c>
      <c r="I182" s="240">
        <f t="shared" ca="1" si="87"/>
        <v>1951157.3757380885</v>
      </c>
      <c r="J182" s="240">
        <f t="shared" ca="1" si="87"/>
        <v>2119618.0580938426</v>
      </c>
      <c r="K182" s="240">
        <f t="shared" ca="1" si="87"/>
        <v>1950604.229192541</v>
      </c>
      <c r="L182" s="240">
        <f t="shared" ca="1" si="87"/>
        <v>1611470.2782988423</v>
      </c>
    </row>
    <row r="183" spans="1:19" s="204" customFormat="1" x14ac:dyDescent="0.2">
      <c r="A183" s="231"/>
      <c r="B183" s="220"/>
      <c r="C183" s="220"/>
      <c r="D183" s="220"/>
      <c r="E183" s="220"/>
      <c r="F183" s="220"/>
      <c r="G183" s="220"/>
      <c r="H183" s="220"/>
      <c r="I183" s="220"/>
      <c r="J183" s="220"/>
      <c r="K183" s="220"/>
      <c r="L183" s="220"/>
    </row>
    <row r="184" spans="1:19" s="204" customFormat="1" x14ac:dyDescent="0.2">
      <c r="A184" s="228" t="s">
        <v>130</v>
      </c>
      <c r="B184" s="240" t="e">
        <f ca="1">B175-B182</f>
        <v>#REF!</v>
      </c>
      <c r="C184" s="240" t="e">
        <f t="shared" ref="C184:J184" ca="1" si="88">C175-C182</f>
        <v>#REF!</v>
      </c>
      <c r="D184" s="240" t="e">
        <f t="shared" ca="1" si="88"/>
        <v>#REF!</v>
      </c>
      <c r="E184" s="240" t="e">
        <f t="shared" ca="1" si="88"/>
        <v>#REF!</v>
      </c>
      <c r="F184" s="240" t="e">
        <f t="shared" ca="1" si="88"/>
        <v>#REF!</v>
      </c>
      <c r="G184" s="240" t="e">
        <f ca="1">G175-G182</f>
        <v>#REF!</v>
      </c>
      <c r="H184" s="240" t="e">
        <f t="shared" ca="1" si="88"/>
        <v>#REF!</v>
      </c>
      <c r="I184" s="240" t="e">
        <f t="shared" ca="1" si="88"/>
        <v>#REF!</v>
      </c>
      <c r="J184" s="240" t="e">
        <f t="shared" ca="1" si="88"/>
        <v>#REF!</v>
      </c>
      <c r="K184" s="240" t="e">
        <f ca="1">K175-K182</f>
        <v>#REF!</v>
      </c>
      <c r="L184" s="240" t="e">
        <f ca="1">L175-L182</f>
        <v>#REF!</v>
      </c>
    </row>
    <row r="185" spans="1:19" s="204" customFormat="1" x14ac:dyDescent="0.2">
      <c r="B185" s="247" t="e">
        <f ca="1">B73-B184</f>
        <v>#REF!</v>
      </c>
      <c r="C185" s="247" t="e">
        <f t="shared" ref="C185:L185" ca="1" si="89">C73-C184</f>
        <v>#REF!</v>
      </c>
      <c r="D185" s="247" t="e">
        <f t="shared" ca="1" si="89"/>
        <v>#REF!</v>
      </c>
      <c r="E185" s="247" t="e">
        <f t="shared" ca="1" si="89"/>
        <v>#REF!</v>
      </c>
      <c r="F185" s="247" t="e">
        <f t="shared" ca="1" si="89"/>
        <v>#REF!</v>
      </c>
      <c r="G185" s="247" t="e">
        <f t="shared" ca="1" si="89"/>
        <v>#REF!</v>
      </c>
      <c r="H185" s="247" t="e">
        <f t="shared" ca="1" si="89"/>
        <v>#REF!</v>
      </c>
      <c r="I185" s="247" t="e">
        <f t="shared" ca="1" si="89"/>
        <v>#REF!</v>
      </c>
      <c r="J185" s="247" t="e">
        <f t="shared" ca="1" si="89"/>
        <v>#REF!</v>
      </c>
      <c r="K185" s="247" t="e">
        <f t="shared" ca="1" si="89"/>
        <v>#REF!</v>
      </c>
      <c r="L185" s="247" t="e">
        <f t="shared" ca="1" si="89"/>
        <v>#REF!</v>
      </c>
    </row>
    <row r="186" spans="1:19" s="204" customFormat="1" x14ac:dyDescent="0.2">
      <c r="A186" s="243" t="s">
        <v>209</v>
      </c>
      <c r="B186" s="220"/>
      <c r="C186" s="244">
        <f>C75</f>
        <v>-0.1</v>
      </c>
      <c r="D186" s="244">
        <f t="shared" ref="D186:L187" si="90">D75</f>
        <v>0</v>
      </c>
      <c r="E186" s="244">
        <f t="shared" si="90"/>
        <v>-0.1</v>
      </c>
      <c r="F186" s="244">
        <f t="shared" si="90"/>
        <v>-0.2</v>
      </c>
      <c r="G186" s="244">
        <f t="shared" si="90"/>
        <v>-0.1</v>
      </c>
      <c r="H186" s="244">
        <f t="shared" si="90"/>
        <v>-0.2</v>
      </c>
      <c r="I186" s="244">
        <f t="shared" si="90"/>
        <v>-0.3</v>
      </c>
      <c r="J186" s="244">
        <f t="shared" si="90"/>
        <v>-0.2</v>
      </c>
      <c r="K186" s="244">
        <f t="shared" si="90"/>
        <v>-0.3</v>
      </c>
      <c r="L186" s="244">
        <f t="shared" si="90"/>
        <v>-0.5</v>
      </c>
    </row>
    <row r="187" spans="1:19" s="204" customFormat="1" x14ac:dyDescent="0.2">
      <c r="A187" s="243" t="s">
        <v>210</v>
      </c>
      <c r="B187" s="220"/>
      <c r="C187" s="244">
        <f>C76</f>
        <v>0</v>
      </c>
      <c r="D187" s="244">
        <f t="shared" si="90"/>
        <v>-0.1</v>
      </c>
      <c r="E187" s="244">
        <f t="shared" si="90"/>
        <v>-0.1</v>
      </c>
      <c r="F187" s="244">
        <f t="shared" si="90"/>
        <v>-0.1</v>
      </c>
      <c r="G187" s="244">
        <f t="shared" si="90"/>
        <v>-0.2</v>
      </c>
      <c r="H187" s="244">
        <f t="shared" si="90"/>
        <v>-0.2</v>
      </c>
      <c r="I187" s="244">
        <f t="shared" si="90"/>
        <v>-0.2</v>
      </c>
      <c r="J187" s="244">
        <f t="shared" si="90"/>
        <v>-0.3</v>
      </c>
      <c r="K187" s="244">
        <f t="shared" si="90"/>
        <v>-0.3</v>
      </c>
      <c r="L187" s="244">
        <f t="shared" si="90"/>
        <v>-0.5</v>
      </c>
    </row>
    <row r="188" spans="1:19" s="204" customFormat="1" x14ac:dyDescent="0.2">
      <c r="A188" s="243" t="s">
        <v>211</v>
      </c>
      <c r="B188" s="220"/>
      <c r="C188" s="245" t="e">
        <f ca="1">(C184-$B$184)/$B$184</f>
        <v>#REF!</v>
      </c>
      <c r="D188" s="245" t="e">
        <f ca="1">(D184-$B$184)/$B$184</f>
        <v>#REF!</v>
      </c>
      <c r="E188" s="245" t="e">
        <f t="shared" ref="E188:K188" ca="1" si="91">(E184-$B$184)/$B$184</f>
        <v>#REF!</v>
      </c>
      <c r="F188" s="245" t="e">
        <f t="shared" ca="1" si="91"/>
        <v>#REF!</v>
      </c>
      <c r="G188" s="245" t="e">
        <f t="shared" ca="1" si="91"/>
        <v>#REF!</v>
      </c>
      <c r="H188" s="245" t="e">
        <f t="shared" ca="1" si="91"/>
        <v>#REF!</v>
      </c>
      <c r="I188" s="245" t="e">
        <f t="shared" ca="1" si="91"/>
        <v>#REF!</v>
      </c>
      <c r="J188" s="245" t="e">
        <f t="shared" ca="1" si="91"/>
        <v>#REF!</v>
      </c>
      <c r="K188" s="245" t="e">
        <f t="shared" ca="1" si="91"/>
        <v>#REF!</v>
      </c>
      <c r="L188" s="245" t="e">
        <f ca="1">(L184-$B$184)/$B$184</f>
        <v>#REF!</v>
      </c>
    </row>
    <row r="189" spans="1:19" s="204" customFormat="1" x14ac:dyDescent="0.2"/>
    <row r="190" spans="1:19" s="204" customFormat="1" x14ac:dyDescent="0.2"/>
    <row r="191" spans="1:19" ht="13.5" thickBot="1" x14ac:dyDescent="0.25"/>
    <row r="192" spans="1:19" ht="13.5" thickTop="1" x14ac:dyDescent="0.2">
      <c r="A192" s="248"/>
      <c r="B192" s="248"/>
      <c r="C192" s="705" t="s">
        <v>253</v>
      </c>
      <c r="D192" s="706"/>
      <c r="E192" s="706"/>
      <c r="F192" s="706"/>
      <c r="G192" s="706"/>
      <c r="H192" s="707"/>
      <c r="I192" s="714" t="s">
        <v>254</v>
      </c>
      <c r="J192" s="715"/>
      <c r="K192" s="716"/>
      <c r="L192" s="723" t="s">
        <v>255</v>
      </c>
      <c r="M192" s="706"/>
      <c r="N192" s="706"/>
      <c r="O192" s="706"/>
      <c r="P192" s="706"/>
      <c r="Q192" s="706"/>
      <c r="R192" s="724"/>
      <c r="S192" s="248"/>
    </row>
    <row r="193" spans="1:19" x14ac:dyDescent="0.2">
      <c r="A193" s="248"/>
      <c r="B193" s="248"/>
      <c r="C193" s="708"/>
      <c r="D193" s="709"/>
      <c r="E193" s="709"/>
      <c r="F193" s="709"/>
      <c r="G193" s="709"/>
      <c r="H193" s="710"/>
      <c r="I193" s="717"/>
      <c r="J193" s="718"/>
      <c r="K193" s="719"/>
      <c r="L193" s="725"/>
      <c r="M193" s="709"/>
      <c r="N193" s="709"/>
      <c r="O193" s="709"/>
      <c r="P193" s="709"/>
      <c r="Q193" s="709"/>
      <c r="R193" s="726"/>
      <c r="S193" s="248"/>
    </row>
    <row r="194" spans="1:19" x14ac:dyDescent="0.2">
      <c r="A194" s="248"/>
      <c r="B194" s="248"/>
      <c r="C194" s="708"/>
      <c r="D194" s="709"/>
      <c r="E194" s="709"/>
      <c r="F194" s="709"/>
      <c r="G194" s="709"/>
      <c r="H194" s="710"/>
      <c r="I194" s="717"/>
      <c r="J194" s="718"/>
      <c r="K194" s="719"/>
      <c r="L194" s="725"/>
      <c r="M194" s="709"/>
      <c r="N194" s="709"/>
      <c r="O194" s="709"/>
      <c r="P194" s="709"/>
      <c r="Q194" s="709"/>
      <c r="R194" s="726"/>
      <c r="S194" s="248"/>
    </row>
    <row r="195" spans="1:19" x14ac:dyDescent="0.2">
      <c r="A195" s="248"/>
      <c r="B195" s="248"/>
      <c r="C195" s="708"/>
      <c r="D195" s="709"/>
      <c r="E195" s="709"/>
      <c r="F195" s="709"/>
      <c r="G195" s="709"/>
      <c r="H195" s="710"/>
      <c r="I195" s="717"/>
      <c r="J195" s="718"/>
      <c r="K195" s="719"/>
      <c r="L195" s="725"/>
      <c r="M195" s="709"/>
      <c r="N195" s="709"/>
      <c r="O195" s="709"/>
      <c r="P195" s="709"/>
      <c r="Q195" s="709"/>
      <c r="R195" s="726"/>
      <c r="S195" s="248"/>
    </row>
    <row r="196" spans="1:19" ht="13.5" thickBot="1" x14ac:dyDescent="0.25">
      <c r="A196" s="248"/>
      <c r="B196" s="248"/>
      <c r="C196" s="711"/>
      <c r="D196" s="712"/>
      <c r="E196" s="712"/>
      <c r="F196" s="712"/>
      <c r="G196" s="712"/>
      <c r="H196" s="713"/>
      <c r="I196" s="720"/>
      <c r="J196" s="721"/>
      <c r="K196" s="722"/>
      <c r="L196" s="727"/>
      <c r="M196" s="712"/>
      <c r="N196" s="712"/>
      <c r="O196" s="712"/>
      <c r="P196" s="712"/>
      <c r="Q196" s="712"/>
      <c r="R196" s="728"/>
      <c r="S196" s="248"/>
    </row>
    <row r="197" spans="1:19" ht="13.5" thickTop="1" x14ac:dyDescent="0.2">
      <c r="A197" s="248"/>
      <c r="B197" s="249"/>
      <c r="C197" s="250"/>
      <c r="D197" s="250"/>
      <c r="E197" s="250"/>
      <c r="F197" s="250"/>
      <c r="G197" s="250"/>
      <c r="H197" s="251"/>
      <c r="I197" s="250"/>
      <c r="J197" s="250"/>
      <c r="K197" s="251"/>
      <c r="L197" s="250"/>
      <c r="M197" s="250"/>
      <c r="N197" s="250"/>
      <c r="O197" s="250"/>
      <c r="P197" s="250"/>
      <c r="Q197" s="250"/>
      <c r="R197" s="252"/>
      <c r="S197" s="253"/>
    </row>
    <row r="198" spans="1:19" x14ac:dyDescent="0.2">
      <c r="A198" s="248"/>
      <c r="B198" s="729" t="s">
        <v>220</v>
      </c>
      <c r="C198" s="254"/>
      <c r="D198" s="254"/>
      <c r="E198" s="254"/>
      <c r="F198" s="254"/>
      <c r="G198" s="254"/>
      <c r="H198" s="255"/>
      <c r="I198" s="254"/>
      <c r="J198" s="254"/>
      <c r="K198" s="255"/>
      <c r="L198" s="254"/>
      <c r="M198" s="254"/>
      <c r="N198" s="254"/>
      <c r="O198" s="254"/>
      <c r="P198" s="254"/>
      <c r="Q198" s="254"/>
      <c r="R198" s="256"/>
      <c r="S198" s="253"/>
    </row>
    <row r="199" spans="1:19" x14ac:dyDescent="0.2">
      <c r="A199" s="248"/>
      <c r="B199" s="729"/>
      <c r="C199" s="254"/>
      <c r="D199" s="254"/>
      <c r="E199" s="254"/>
      <c r="F199" s="254"/>
      <c r="G199" s="254"/>
      <c r="H199" s="255"/>
      <c r="I199" s="254"/>
      <c r="J199" s="254"/>
      <c r="K199" s="255"/>
      <c r="L199" s="254"/>
      <c r="M199" s="254"/>
      <c r="N199" s="254"/>
      <c r="O199" s="254"/>
      <c r="P199" s="254"/>
      <c r="Q199" s="254"/>
      <c r="R199" s="256"/>
      <c r="S199" s="253"/>
    </row>
    <row r="200" spans="1:19" x14ac:dyDescent="0.2">
      <c r="A200" s="248"/>
      <c r="B200" s="729"/>
      <c r="C200" s="254"/>
      <c r="D200" s="254"/>
      <c r="E200" s="254"/>
      <c r="F200" s="254"/>
      <c r="G200" s="254"/>
      <c r="H200" s="255"/>
      <c r="I200" s="254"/>
      <c r="J200" s="254"/>
      <c r="K200" s="255"/>
      <c r="L200" s="254"/>
      <c r="M200" s="254"/>
      <c r="N200" s="254"/>
      <c r="O200" s="254"/>
      <c r="P200" s="254"/>
      <c r="Q200" s="254"/>
      <c r="R200" s="256"/>
      <c r="S200" s="253"/>
    </row>
    <row r="201" spans="1:19" ht="13.5" thickBot="1" x14ac:dyDescent="0.25">
      <c r="A201" s="248"/>
      <c r="B201" s="257"/>
      <c r="C201" s="258"/>
      <c r="D201" s="258"/>
      <c r="E201" s="258"/>
      <c r="F201" s="258"/>
      <c r="G201" s="258"/>
      <c r="H201" s="259"/>
      <c r="I201" s="258"/>
      <c r="J201" s="258"/>
      <c r="K201" s="259"/>
      <c r="L201" s="258"/>
      <c r="M201" s="258"/>
      <c r="N201" s="258"/>
      <c r="O201" s="258"/>
      <c r="P201" s="258"/>
      <c r="Q201" s="258"/>
      <c r="R201" s="260"/>
      <c r="S201" s="253"/>
    </row>
    <row r="202" spans="1:19" ht="13.5" thickTop="1" x14ac:dyDescent="0.2">
      <c r="A202" s="248"/>
      <c r="B202" s="249"/>
      <c r="C202" s="250"/>
      <c r="D202" s="250"/>
      <c r="E202" s="250"/>
      <c r="F202" s="250"/>
      <c r="G202" s="250"/>
      <c r="H202" s="251"/>
      <c r="I202" s="250"/>
      <c r="J202" s="250"/>
      <c r="K202" s="251"/>
      <c r="L202" s="250"/>
      <c r="M202" s="250"/>
      <c r="N202" s="250"/>
      <c r="O202" s="250"/>
      <c r="P202" s="250"/>
      <c r="Q202" s="250"/>
      <c r="R202" s="252"/>
      <c r="S202" s="253"/>
    </row>
    <row r="203" spans="1:19" x14ac:dyDescent="0.2">
      <c r="A203" s="248"/>
      <c r="B203" s="261"/>
      <c r="C203" s="254"/>
      <c r="D203" s="254"/>
      <c r="E203" s="254"/>
      <c r="F203" s="254"/>
      <c r="G203" s="254"/>
      <c r="H203" s="255"/>
      <c r="I203" s="254"/>
      <c r="J203" s="254"/>
      <c r="K203" s="255"/>
      <c r="L203" s="254"/>
      <c r="M203" s="254"/>
      <c r="N203" s="254"/>
      <c r="O203" s="254"/>
      <c r="P203" s="254"/>
      <c r="Q203" s="254"/>
      <c r="R203" s="256"/>
      <c r="S203" s="253"/>
    </row>
    <row r="204" spans="1:19" x14ac:dyDescent="0.2">
      <c r="A204" s="248"/>
      <c r="B204" s="262" t="s">
        <v>64</v>
      </c>
      <c r="C204" s="254"/>
      <c r="D204" s="254"/>
      <c r="E204" s="254"/>
      <c r="F204" s="254"/>
      <c r="G204" s="254"/>
      <c r="H204" s="255"/>
      <c r="I204" s="254"/>
      <c r="J204" s="254"/>
      <c r="K204" s="255"/>
      <c r="L204" s="254"/>
      <c r="M204" s="254"/>
      <c r="N204" s="254"/>
      <c r="O204" s="254"/>
      <c r="P204" s="254"/>
      <c r="Q204" s="254"/>
      <c r="R204" s="256"/>
      <c r="S204" s="253"/>
    </row>
    <row r="205" spans="1:19" x14ac:dyDescent="0.2">
      <c r="A205" s="248"/>
      <c r="B205" s="262"/>
      <c r="C205" s="254"/>
      <c r="D205" s="254"/>
      <c r="E205" s="254"/>
      <c r="F205" s="254"/>
      <c r="G205" s="254"/>
      <c r="H205" s="255"/>
      <c r="I205" s="254"/>
      <c r="J205" s="254"/>
      <c r="K205" s="255"/>
      <c r="L205" s="254"/>
      <c r="M205" s="254"/>
      <c r="N205" s="254"/>
      <c r="O205" s="254"/>
      <c r="P205" s="254"/>
      <c r="Q205" s="254"/>
      <c r="R205" s="256"/>
      <c r="S205" s="253"/>
    </row>
    <row r="206" spans="1:19" ht="13.5" thickBot="1" x14ac:dyDescent="0.25">
      <c r="A206" s="248"/>
      <c r="B206" s="263"/>
      <c r="C206" s="258"/>
      <c r="D206" s="258"/>
      <c r="E206" s="258"/>
      <c r="F206" s="258"/>
      <c r="G206" s="258"/>
      <c r="H206" s="259"/>
      <c r="I206" s="258"/>
      <c r="J206" s="258"/>
      <c r="K206" s="259"/>
      <c r="L206" s="258"/>
      <c r="M206" s="258"/>
      <c r="N206" s="258"/>
      <c r="O206" s="258"/>
      <c r="P206" s="258"/>
      <c r="Q206" s="258"/>
      <c r="R206" s="260"/>
      <c r="S206" s="253"/>
    </row>
    <row r="207" spans="1:19" ht="13.5" thickTop="1" x14ac:dyDescent="0.2">
      <c r="A207" s="248"/>
      <c r="B207" s="702" t="s">
        <v>256</v>
      </c>
      <c r="C207" s="264"/>
      <c r="D207" s="248"/>
      <c r="E207" s="248"/>
      <c r="F207" s="248"/>
      <c r="G207" s="248"/>
      <c r="H207" s="255"/>
      <c r="I207" s="248"/>
      <c r="J207" s="248"/>
      <c r="K207" s="255"/>
      <c r="L207" s="248"/>
      <c r="M207" s="248"/>
      <c r="N207" s="248"/>
      <c r="O207" s="248"/>
      <c r="P207" s="248"/>
      <c r="Q207" s="248"/>
      <c r="R207" s="256"/>
      <c r="S207" s="253"/>
    </row>
    <row r="208" spans="1:19" x14ac:dyDescent="0.2">
      <c r="A208" s="248"/>
      <c r="B208" s="703"/>
      <c r="C208" s="265"/>
      <c r="D208" s="248"/>
      <c r="E208" s="248"/>
      <c r="F208" s="248"/>
      <c r="G208" s="248"/>
      <c r="H208" s="255"/>
      <c r="I208" s="248"/>
      <c r="J208" s="248"/>
      <c r="K208" s="255"/>
      <c r="L208" s="248"/>
      <c r="M208" s="248"/>
      <c r="N208" s="248"/>
      <c r="O208" s="248"/>
      <c r="P208" s="248"/>
      <c r="Q208" s="248"/>
      <c r="R208" s="256"/>
      <c r="S208" s="248"/>
    </row>
    <row r="209" spans="1:19" x14ac:dyDescent="0.2">
      <c r="A209" s="248"/>
      <c r="B209" s="703"/>
      <c r="C209" s="265"/>
      <c r="D209" s="248"/>
      <c r="E209" s="248"/>
      <c r="F209" s="248"/>
      <c r="G209" s="248"/>
      <c r="H209" s="255"/>
      <c r="I209" s="248"/>
      <c r="J209" s="248"/>
      <c r="K209" s="255"/>
      <c r="L209" s="248"/>
      <c r="M209" s="248"/>
      <c r="N209" s="248"/>
      <c r="O209" s="248"/>
      <c r="P209" s="248"/>
      <c r="Q209" s="248"/>
      <c r="R209" s="256"/>
      <c r="S209" s="248"/>
    </row>
    <row r="210" spans="1:19" x14ac:dyDescent="0.2">
      <c r="A210" s="248"/>
      <c r="B210" s="703"/>
      <c r="C210" s="265"/>
      <c r="D210" s="248"/>
      <c r="E210" s="248"/>
      <c r="F210" s="248"/>
      <c r="G210" s="248"/>
      <c r="H210" s="255"/>
      <c r="I210" s="248"/>
      <c r="J210" s="248"/>
      <c r="K210" s="255"/>
      <c r="L210" s="248"/>
      <c r="M210" s="248"/>
      <c r="N210" s="248"/>
      <c r="O210" s="248"/>
      <c r="P210" s="248"/>
      <c r="Q210" s="248"/>
      <c r="R210" s="256"/>
      <c r="S210" s="248"/>
    </row>
    <row r="211" spans="1:19" ht="13.5" thickBot="1" x14ac:dyDescent="0.25">
      <c r="A211" s="248"/>
      <c r="B211" s="704"/>
      <c r="C211" s="266"/>
      <c r="D211" s="258"/>
      <c r="E211" s="258"/>
      <c r="F211" s="258"/>
      <c r="G211" s="258"/>
      <c r="H211" s="259"/>
      <c r="I211" s="258"/>
      <c r="J211" s="258"/>
      <c r="K211" s="259"/>
      <c r="L211" s="258"/>
      <c r="M211" s="258"/>
      <c r="N211" s="258"/>
      <c r="O211" s="258"/>
      <c r="P211" s="258"/>
      <c r="Q211" s="258"/>
      <c r="R211" s="260"/>
      <c r="S211" s="248"/>
    </row>
    <row r="212" spans="1:19" ht="13.5" thickTop="1" x14ac:dyDescent="0.2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48"/>
      <c r="O212" s="248"/>
      <c r="P212" s="248"/>
      <c r="Q212" s="248"/>
      <c r="R212" s="250"/>
      <c r="S212" s="248"/>
    </row>
    <row r="213" spans="1:19" x14ac:dyDescent="0.2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48"/>
      <c r="O213" s="248"/>
      <c r="P213" s="248"/>
      <c r="Q213" s="248"/>
      <c r="R213" s="254"/>
      <c r="S213" s="248"/>
    </row>
    <row r="214" spans="1:19" x14ac:dyDescent="0.2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48"/>
      <c r="O214" s="248"/>
      <c r="P214" s="248"/>
      <c r="Q214" s="248"/>
      <c r="R214" s="248"/>
      <c r="S214" s="248"/>
    </row>
    <row r="215" spans="1:19" ht="15.75" x14ac:dyDescent="0.25">
      <c r="A215" s="248"/>
      <c r="B215" s="267" t="s">
        <v>257</v>
      </c>
      <c r="C215" s="268">
        <v>0.75</v>
      </c>
      <c r="D215" s="269" t="s">
        <v>258</v>
      </c>
      <c r="E215" s="204"/>
      <c r="F215" s="248"/>
      <c r="G215" s="248"/>
      <c r="H215" s="248"/>
      <c r="I215" s="248"/>
      <c r="J215" s="248"/>
      <c r="K215" s="248"/>
      <c r="L215" s="248"/>
      <c r="M215" s="248"/>
      <c r="N215" s="248"/>
      <c r="O215" s="248"/>
      <c r="P215" s="248"/>
      <c r="Q215" s="248"/>
      <c r="R215" s="248"/>
      <c r="S215" s="248"/>
    </row>
    <row r="216" spans="1:19" ht="15.75" x14ac:dyDescent="0.25">
      <c r="A216" s="248"/>
      <c r="B216" s="267" t="s">
        <v>259</v>
      </c>
      <c r="C216" s="268">
        <f>B22</f>
        <v>0.9957495054382246</v>
      </c>
      <c r="D216" s="269" t="s">
        <v>258</v>
      </c>
      <c r="E216" s="204"/>
      <c r="F216" s="248"/>
      <c r="G216" s="248"/>
      <c r="H216" s="248"/>
      <c r="I216" s="248"/>
      <c r="J216" s="248"/>
      <c r="K216" s="248"/>
      <c r="L216" s="248"/>
      <c r="M216" s="248"/>
      <c r="N216" s="248"/>
      <c r="O216" s="248"/>
      <c r="P216" s="248"/>
      <c r="Q216" s="248"/>
      <c r="R216" s="248"/>
      <c r="S216" s="248"/>
    </row>
    <row r="217" spans="1:19" x14ac:dyDescent="0.2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48"/>
      <c r="O217" s="248"/>
      <c r="P217" s="248"/>
      <c r="Q217" s="248"/>
      <c r="R217" s="248"/>
      <c r="S217" s="248"/>
    </row>
    <row r="218" spans="1:19" ht="13.5" thickBot="1" x14ac:dyDescent="0.25">
      <c r="A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48"/>
      <c r="O218" s="248"/>
      <c r="P218" s="248"/>
      <c r="Q218" s="248"/>
      <c r="R218" s="248"/>
      <c r="S218" s="248"/>
    </row>
    <row r="219" spans="1:19" ht="13.5" thickTop="1" x14ac:dyDescent="0.2">
      <c r="A219" s="248"/>
      <c r="B219" s="249"/>
      <c r="C219" s="250"/>
      <c r="D219" s="250"/>
      <c r="E219" s="250"/>
      <c r="F219" s="250"/>
      <c r="G219" s="250"/>
      <c r="H219" s="251"/>
      <c r="I219" s="250"/>
      <c r="J219" s="250"/>
      <c r="K219" s="251"/>
      <c r="L219" s="250"/>
      <c r="M219" s="250"/>
      <c r="N219" s="250"/>
      <c r="O219" s="250"/>
      <c r="P219" s="250"/>
      <c r="Q219" s="250"/>
      <c r="R219" s="252"/>
      <c r="S219" s="248"/>
    </row>
    <row r="220" spans="1:19" x14ac:dyDescent="0.2">
      <c r="A220" s="248"/>
      <c r="B220" s="729" t="s">
        <v>220</v>
      </c>
      <c r="C220" s="254"/>
      <c r="D220" s="254"/>
      <c r="E220" s="254"/>
      <c r="F220" s="254"/>
      <c r="G220" s="254"/>
      <c r="H220" s="255"/>
      <c r="I220" s="254"/>
      <c r="J220" s="254"/>
      <c r="K220" s="255"/>
      <c r="L220" s="254"/>
      <c r="M220" s="254"/>
      <c r="N220" s="254"/>
      <c r="O220" s="254"/>
      <c r="P220" s="254"/>
      <c r="Q220" s="254"/>
      <c r="R220" s="256"/>
      <c r="S220" s="248"/>
    </row>
    <row r="221" spans="1:19" x14ac:dyDescent="0.2">
      <c r="A221" s="248"/>
      <c r="B221" s="729"/>
      <c r="C221" s="254"/>
      <c r="D221" s="254"/>
      <c r="E221" s="254"/>
      <c r="F221" s="254"/>
      <c r="G221" s="254"/>
      <c r="H221" s="255"/>
      <c r="I221" s="254"/>
      <c r="J221" s="254"/>
      <c r="K221" s="255"/>
      <c r="L221" s="254"/>
      <c r="M221" s="254"/>
      <c r="N221" s="254"/>
      <c r="O221" s="254"/>
      <c r="P221" s="254"/>
      <c r="Q221" s="254"/>
      <c r="R221" s="256"/>
      <c r="S221" s="248"/>
    </row>
    <row r="222" spans="1:19" x14ac:dyDescent="0.2">
      <c r="A222" s="248"/>
      <c r="B222" s="729"/>
      <c r="C222" s="254"/>
      <c r="D222" s="254"/>
      <c r="E222" s="254"/>
      <c r="F222" s="254"/>
      <c r="G222" s="254"/>
      <c r="H222" s="255"/>
      <c r="I222" s="254"/>
      <c r="J222" s="254"/>
      <c r="K222" s="255"/>
      <c r="L222" s="254"/>
      <c r="M222" s="254"/>
      <c r="N222" s="254"/>
      <c r="O222" s="254"/>
      <c r="P222" s="254"/>
      <c r="Q222" s="254"/>
      <c r="R222" s="256"/>
      <c r="S222" s="248"/>
    </row>
    <row r="223" spans="1:19" ht="13.5" thickBot="1" x14ac:dyDescent="0.25">
      <c r="A223" s="248"/>
      <c r="B223" s="257"/>
      <c r="C223" s="258"/>
      <c r="D223" s="258"/>
      <c r="E223" s="258"/>
      <c r="F223" s="258"/>
      <c r="G223" s="258"/>
      <c r="H223" s="259"/>
      <c r="I223" s="258"/>
      <c r="J223" s="258"/>
      <c r="K223" s="259"/>
      <c r="L223" s="258"/>
      <c r="M223" s="258"/>
      <c r="N223" s="258"/>
      <c r="O223" s="258"/>
      <c r="P223" s="258"/>
      <c r="Q223" s="258"/>
      <c r="R223" s="260"/>
      <c r="S223" s="248"/>
    </row>
    <row r="224" spans="1:19" ht="13.5" thickTop="1" x14ac:dyDescent="0.2">
      <c r="A224" s="248"/>
      <c r="B224" s="249"/>
      <c r="C224" s="250"/>
      <c r="D224" s="250"/>
      <c r="E224" s="250"/>
      <c r="F224" s="250"/>
      <c r="G224" s="250"/>
      <c r="H224" s="251"/>
      <c r="I224" s="250"/>
      <c r="J224" s="250"/>
      <c r="K224" s="251"/>
      <c r="L224" s="250"/>
      <c r="M224" s="250"/>
      <c r="N224" s="250"/>
      <c r="O224" s="250"/>
      <c r="P224" s="250"/>
      <c r="Q224" s="250"/>
      <c r="R224" s="252"/>
      <c r="S224" s="248"/>
    </row>
    <row r="225" spans="1:19" x14ac:dyDescent="0.2">
      <c r="A225" s="248"/>
      <c r="B225" s="261"/>
      <c r="C225" s="254"/>
      <c r="D225" s="254"/>
      <c r="E225" s="254"/>
      <c r="F225" s="254"/>
      <c r="G225" s="254"/>
      <c r="H225" s="255"/>
      <c r="I225" s="254"/>
      <c r="J225" s="254"/>
      <c r="K225" s="255"/>
      <c r="L225" s="254"/>
      <c r="M225" s="254"/>
      <c r="N225" s="254"/>
      <c r="O225" s="254"/>
      <c r="P225" s="254"/>
      <c r="Q225" s="254"/>
      <c r="R225" s="256"/>
      <c r="S225" s="248"/>
    </row>
    <row r="226" spans="1:19" x14ac:dyDescent="0.2">
      <c r="A226" s="248"/>
      <c r="B226" s="262" t="s">
        <v>64</v>
      </c>
      <c r="C226" s="254"/>
      <c r="D226" s="254"/>
      <c r="E226" s="254"/>
      <c r="F226" s="254"/>
      <c r="G226" s="254"/>
      <c r="H226" s="255"/>
      <c r="I226" s="254"/>
      <c r="J226" s="254"/>
      <c r="K226" s="255"/>
      <c r="L226" s="254"/>
      <c r="M226" s="254"/>
      <c r="N226" s="254"/>
      <c r="O226" s="254"/>
      <c r="P226" s="254"/>
      <c r="Q226" s="254"/>
      <c r="R226" s="256"/>
      <c r="S226" s="248"/>
    </row>
    <row r="227" spans="1:19" x14ac:dyDescent="0.2">
      <c r="A227" s="248"/>
      <c r="B227" s="262"/>
      <c r="C227" s="254"/>
      <c r="D227" s="254"/>
      <c r="E227" s="254"/>
      <c r="F227" s="254"/>
      <c r="G227" s="254"/>
      <c r="H227" s="255"/>
      <c r="I227" s="254"/>
      <c r="J227" s="254"/>
      <c r="K227" s="255"/>
      <c r="L227" s="254"/>
      <c r="M227" s="254"/>
      <c r="N227" s="254"/>
      <c r="O227" s="254"/>
      <c r="P227" s="254"/>
      <c r="Q227" s="254"/>
      <c r="R227" s="256"/>
      <c r="S227" s="248"/>
    </row>
    <row r="228" spans="1:19" ht="13.5" thickBot="1" x14ac:dyDescent="0.25">
      <c r="A228" s="248"/>
      <c r="B228" s="263"/>
      <c r="C228" s="258"/>
      <c r="D228" s="258"/>
      <c r="E228" s="258"/>
      <c r="F228" s="258"/>
      <c r="G228" s="258"/>
      <c r="H228" s="259"/>
      <c r="I228" s="258"/>
      <c r="J228" s="258"/>
      <c r="K228" s="259"/>
      <c r="L228" s="258"/>
      <c r="M228" s="258"/>
      <c r="N228" s="258"/>
      <c r="O228" s="258"/>
      <c r="P228" s="258"/>
      <c r="Q228" s="258"/>
      <c r="R228" s="260"/>
      <c r="S228" s="248"/>
    </row>
    <row r="229" spans="1:19" ht="13.5" thickTop="1" x14ac:dyDescent="0.2">
      <c r="A229" s="248"/>
      <c r="B229" s="702" t="s">
        <v>256</v>
      </c>
      <c r="C229" s="264"/>
      <c r="D229" s="248"/>
      <c r="E229" s="248"/>
      <c r="F229" s="248"/>
      <c r="G229" s="248"/>
      <c r="H229" s="255"/>
      <c r="I229" s="248"/>
      <c r="J229" s="248"/>
      <c r="K229" s="255"/>
      <c r="L229" s="248"/>
      <c r="M229" s="248"/>
      <c r="N229" s="248"/>
      <c r="O229" s="248"/>
      <c r="P229" s="248"/>
      <c r="Q229" s="248"/>
      <c r="R229" s="256"/>
      <c r="S229" s="248"/>
    </row>
    <row r="230" spans="1:19" x14ac:dyDescent="0.2">
      <c r="A230" s="248"/>
      <c r="B230" s="703"/>
      <c r="C230" s="265"/>
      <c r="D230" s="248"/>
      <c r="E230" s="248"/>
      <c r="F230" s="248"/>
      <c r="G230" s="248"/>
      <c r="H230" s="255"/>
      <c r="I230" s="248"/>
      <c r="J230" s="248"/>
      <c r="K230" s="255"/>
      <c r="L230" s="248"/>
      <c r="M230" s="248"/>
      <c r="N230" s="248"/>
      <c r="O230" s="248"/>
      <c r="P230" s="248"/>
      <c r="Q230" s="248"/>
      <c r="R230" s="256"/>
      <c r="S230" s="248"/>
    </row>
    <row r="231" spans="1:19" x14ac:dyDescent="0.2">
      <c r="A231" s="248"/>
      <c r="B231" s="703"/>
      <c r="C231" s="265"/>
      <c r="D231" s="248"/>
      <c r="E231" s="248"/>
      <c r="F231" s="248"/>
      <c r="G231" s="248"/>
      <c r="H231" s="255"/>
      <c r="I231" s="248"/>
      <c r="J231" s="248"/>
      <c r="K231" s="255"/>
      <c r="L231" s="248"/>
      <c r="M231" s="248"/>
      <c r="N231" s="248"/>
      <c r="O231" s="248"/>
      <c r="P231" s="248"/>
      <c r="Q231" s="248"/>
      <c r="R231" s="256"/>
      <c r="S231" s="248"/>
    </row>
    <row r="232" spans="1:19" x14ac:dyDescent="0.2">
      <c r="A232" s="248"/>
      <c r="B232" s="703"/>
      <c r="C232" s="265"/>
      <c r="D232" s="248"/>
      <c r="E232" s="248"/>
      <c r="F232" s="248"/>
      <c r="G232" s="248"/>
      <c r="H232" s="255"/>
      <c r="I232" s="248"/>
      <c r="J232" s="248"/>
      <c r="K232" s="255"/>
      <c r="L232" s="248"/>
      <c r="M232" s="248"/>
      <c r="N232" s="248"/>
      <c r="O232" s="248"/>
      <c r="P232" s="248"/>
      <c r="Q232" s="248"/>
      <c r="R232" s="256"/>
      <c r="S232" s="248"/>
    </row>
    <row r="233" spans="1:19" ht="13.5" thickBot="1" x14ac:dyDescent="0.25">
      <c r="A233" s="248"/>
      <c r="B233" s="704"/>
      <c r="C233" s="266"/>
      <c r="D233" s="258"/>
      <c r="E233" s="258"/>
      <c r="F233" s="258"/>
      <c r="G233" s="258"/>
      <c r="H233" s="259"/>
      <c r="I233" s="258"/>
      <c r="J233" s="258"/>
      <c r="K233" s="259"/>
      <c r="L233" s="258"/>
      <c r="M233" s="258"/>
      <c r="N233" s="258"/>
      <c r="O233" s="258"/>
      <c r="P233" s="258"/>
      <c r="Q233" s="258"/>
      <c r="R233" s="260"/>
      <c r="S233" s="248"/>
    </row>
    <row r="234" spans="1:19" ht="13.5" thickTop="1" x14ac:dyDescent="0.2">
      <c r="A234" s="248"/>
      <c r="B234" s="248"/>
      <c r="C234" s="248"/>
      <c r="D234" s="248"/>
      <c r="E234" s="248"/>
      <c r="F234" s="248"/>
      <c r="G234" s="248"/>
      <c r="H234" s="248"/>
      <c r="I234" s="248"/>
      <c r="J234" s="248"/>
      <c r="K234" s="248"/>
      <c r="L234" s="248"/>
      <c r="M234" s="248"/>
      <c r="N234" s="248"/>
      <c r="O234" s="248"/>
      <c r="P234" s="248"/>
      <c r="Q234" s="248"/>
      <c r="R234" s="248"/>
      <c r="S234" s="248"/>
    </row>
    <row r="235" spans="1:19" ht="15.75" x14ac:dyDescent="0.3">
      <c r="A235" s="248"/>
      <c r="B235" s="270" t="s">
        <v>260</v>
      </c>
      <c r="C235" s="269" t="s">
        <v>261</v>
      </c>
      <c r="D235" s="248"/>
      <c r="E235" s="271"/>
      <c r="F235" s="271"/>
      <c r="G235" s="248"/>
      <c r="H235" s="248"/>
      <c r="I235" s="248"/>
      <c r="J235" s="248"/>
      <c r="K235" s="248"/>
      <c r="L235" s="248"/>
      <c r="M235" s="248"/>
      <c r="N235" s="248"/>
      <c r="O235" s="248"/>
      <c r="P235" s="248"/>
      <c r="Q235" s="248"/>
      <c r="R235" s="248"/>
      <c r="S235" s="248"/>
    </row>
    <row r="236" spans="1:19" ht="15.75" x14ac:dyDescent="0.3">
      <c r="A236" s="248"/>
      <c r="B236" s="270" t="s">
        <v>262</v>
      </c>
      <c r="C236" s="269" t="s">
        <v>263</v>
      </c>
      <c r="D236" s="248"/>
      <c r="E236" s="248"/>
      <c r="F236" s="248"/>
      <c r="G236" s="248"/>
      <c r="H236" s="248"/>
      <c r="I236" s="248"/>
      <c r="J236" s="248"/>
      <c r="K236" s="248"/>
      <c r="L236" s="248"/>
      <c r="M236" s="248"/>
      <c r="N236" s="248"/>
      <c r="O236" s="248"/>
      <c r="P236" s="248"/>
      <c r="Q236" s="248"/>
      <c r="R236" s="248"/>
      <c r="S236" s="248"/>
    </row>
    <row r="237" spans="1:19" x14ac:dyDescent="0.2">
      <c r="A237" s="248"/>
      <c r="B237" s="272" t="s">
        <v>264</v>
      </c>
      <c r="D237" s="248"/>
      <c r="E237" s="273" t="s">
        <v>265</v>
      </c>
      <c r="F237" s="248"/>
      <c r="G237" s="248"/>
      <c r="H237" s="248"/>
      <c r="I237" s="248"/>
      <c r="J237" s="248"/>
      <c r="K237" s="248"/>
      <c r="L237" s="248"/>
      <c r="M237" s="271"/>
      <c r="N237" s="248"/>
      <c r="O237" s="248"/>
      <c r="P237" s="248"/>
      <c r="Q237" s="248"/>
      <c r="R237" s="248"/>
      <c r="S237" s="248"/>
    </row>
    <row r="242" spans="1:19" x14ac:dyDescent="0.2">
      <c r="A242" s="116" t="s">
        <v>266</v>
      </c>
      <c r="B242" s="274">
        <f>0.092296+(0.159715*B110)+(0.068409*B111)</f>
        <v>2.2015719279175237</v>
      </c>
      <c r="C242" s="274">
        <f t="shared" ref="C242:L242" si="92">0.092296+(0.159715*C110)+(0.068409*C111)</f>
        <v>2.4056876979175237</v>
      </c>
      <c r="D242" s="274">
        <f t="shared" si="92"/>
        <v>2.2083837507092761</v>
      </c>
      <c r="E242" s="274">
        <f t="shared" si="92"/>
        <v>2.4124995207092761</v>
      </c>
      <c r="F242" s="274">
        <f t="shared" si="92"/>
        <v>2.6166152907092761</v>
      </c>
      <c r="G242" s="274">
        <f t="shared" si="92"/>
        <v>2.4193113435010281</v>
      </c>
      <c r="H242" s="274">
        <f t="shared" si="92"/>
        <v>2.6234271135010281</v>
      </c>
      <c r="I242" s="274">
        <f t="shared" si="92"/>
        <v>2.8275428835010281</v>
      </c>
      <c r="J242" s="274">
        <f t="shared" si="92"/>
        <v>2.6302389362927805</v>
      </c>
      <c r="K242" s="274">
        <f t="shared" si="92"/>
        <v>2.8343547062927805</v>
      </c>
      <c r="L242" s="274">
        <f t="shared" si="92"/>
        <v>3.256209891876285</v>
      </c>
    </row>
    <row r="243" spans="1:19" x14ac:dyDescent="0.2">
      <c r="B243" s="274" t="e">
        <f ca="1">B113-B242</f>
        <v>#REF!</v>
      </c>
      <c r="C243" s="274" t="e">
        <f t="shared" ref="C243:L243" ca="1" si="93">C113-C242</f>
        <v>#REF!</v>
      </c>
      <c r="D243" s="274" t="e">
        <f t="shared" ca="1" si="93"/>
        <v>#REF!</v>
      </c>
      <c r="E243" s="274" t="e">
        <f t="shared" ca="1" si="93"/>
        <v>#REF!</v>
      </c>
      <c r="F243" s="274" t="e">
        <f t="shared" ca="1" si="93"/>
        <v>#REF!</v>
      </c>
      <c r="G243" s="274" t="e">
        <f t="shared" ca="1" si="93"/>
        <v>#REF!</v>
      </c>
      <c r="H243" s="274" t="e">
        <f t="shared" ca="1" si="93"/>
        <v>#REF!</v>
      </c>
      <c r="I243" s="274" t="e">
        <f t="shared" ca="1" si="93"/>
        <v>#REF!</v>
      </c>
      <c r="J243" s="274" t="e">
        <f t="shared" ca="1" si="93"/>
        <v>#REF!</v>
      </c>
      <c r="K243" s="274" t="e">
        <f t="shared" ca="1" si="93"/>
        <v>#REF!</v>
      </c>
      <c r="L243" s="274" t="e">
        <f t="shared" ca="1" si="93"/>
        <v>#REF!</v>
      </c>
      <c r="N243" s="189">
        <f>B15</f>
        <v>-36.482989427600707</v>
      </c>
      <c r="O243" s="184" t="s">
        <v>267</v>
      </c>
    </row>
    <row r="244" spans="1:19" x14ac:dyDescent="0.2">
      <c r="N244" s="188" t="s">
        <v>268</v>
      </c>
      <c r="O244" s="275" t="e">
        <f ca="1">B8</f>
        <v>#REF!</v>
      </c>
      <c r="P244" s="172" t="e">
        <f ca="1">O244*$N$243</f>
        <v>#REF!</v>
      </c>
      <c r="Q244" s="172">
        <v>5.0000000000000001E-3</v>
      </c>
      <c r="R244" s="172" t="e">
        <f ca="1">Q244+P244</f>
        <v>#REF!</v>
      </c>
      <c r="S244" s="116" t="s">
        <v>269</v>
      </c>
    </row>
    <row r="245" spans="1:19" x14ac:dyDescent="0.2">
      <c r="A245" s="116" t="s">
        <v>270</v>
      </c>
      <c r="B245" s="172">
        <f>0.0533</f>
        <v>5.33E-2</v>
      </c>
      <c r="C245" s="172">
        <f t="shared" ref="C245:L245" si="94">0.0533</f>
        <v>5.33E-2</v>
      </c>
      <c r="D245" s="172">
        <f t="shared" si="94"/>
        <v>5.33E-2</v>
      </c>
      <c r="E245" s="172">
        <f t="shared" si="94"/>
        <v>5.33E-2</v>
      </c>
      <c r="F245" s="172">
        <f t="shared" si="94"/>
        <v>5.33E-2</v>
      </c>
      <c r="G245" s="172">
        <f t="shared" si="94"/>
        <v>5.33E-2</v>
      </c>
      <c r="H245" s="172">
        <f t="shared" si="94"/>
        <v>5.33E-2</v>
      </c>
      <c r="I245" s="172">
        <f t="shared" si="94"/>
        <v>5.33E-2</v>
      </c>
      <c r="J245" s="172">
        <f t="shared" si="94"/>
        <v>5.33E-2</v>
      </c>
      <c r="K245" s="172">
        <f t="shared" si="94"/>
        <v>5.33E-2</v>
      </c>
      <c r="L245" s="172">
        <f t="shared" si="94"/>
        <v>5.33E-2</v>
      </c>
      <c r="N245" s="188" t="s">
        <v>271</v>
      </c>
      <c r="O245" s="275" t="e">
        <f ca="1">B6</f>
        <v>#REF!</v>
      </c>
      <c r="P245" s="172" t="e">
        <f ca="1">O245*$N$243</f>
        <v>#REF!</v>
      </c>
      <c r="Q245" s="116" t="s">
        <v>272</v>
      </c>
    </row>
    <row r="246" spans="1:19" x14ac:dyDescent="0.2">
      <c r="B246" s="274" t="e">
        <f ca="1">B114-B245</f>
        <v>#REF!</v>
      </c>
      <c r="C246" s="274" t="e">
        <f t="shared" ref="C246:L246" ca="1" si="95">C114-C245</f>
        <v>#REF!</v>
      </c>
      <c r="D246" s="274" t="e">
        <f t="shared" ca="1" si="95"/>
        <v>#REF!</v>
      </c>
      <c r="E246" s="274" t="e">
        <f t="shared" ca="1" si="95"/>
        <v>#REF!</v>
      </c>
      <c r="F246" s="274" t="e">
        <f t="shared" ca="1" si="95"/>
        <v>#REF!</v>
      </c>
      <c r="G246" s="274" t="e">
        <f t="shared" ca="1" si="95"/>
        <v>#REF!</v>
      </c>
      <c r="H246" s="274" t="e">
        <f t="shared" ca="1" si="95"/>
        <v>#REF!</v>
      </c>
      <c r="I246" s="274" t="e">
        <f t="shared" ca="1" si="95"/>
        <v>#REF!</v>
      </c>
      <c r="J246" s="274" t="e">
        <f t="shared" ca="1" si="95"/>
        <v>#REF!</v>
      </c>
      <c r="K246" s="274" t="e">
        <f t="shared" ca="1" si="95"/>
        <v>#REF!</v>
      </c>
      <c r="L246" s="274" t="e">
        <f t="shared" ca="1" si="95"/>
        <v>#REF!</v>
      </c>
      <c r="N246" s="188" t="s">
        <v>273</v>
      </c>
      <c r="O246" s="275" t="e">
        <f ca="1">B7</f>
        <v>#REF!</v>
      </c>
      <c r="P246" s="172" t="e">
        <f ca="1">O246*$N$243</f>
        <v>#REF!</v>
      </c>
      <c r="Q246" s="116" t="s">
        <v>272</v>
      </c>
    </row>
    <row r="248" spans="1:19" x14ac:dyDescent="0.2">
      <c r="A248" s="116" t="s">
        <v>274</v>
      </c>
      <c r="B248" s="172">
        <f>0.039+(0.159715*B110)+(0.068409*B111)</f>
        <v>2.1482759279175236</v>
      </c>
      <c r="C248" s="172">
        <f t="shared" ref="C248:L248" si="96">0.039+(0.159715*C110)+(0.068409*C111)</f>
        <v>2.3523916979175237</v>
      </c>
      <c r="D248" s="172">
        <f t="shared" si="96"/>
        <v>2.1550877507092761</v>
      </c>
      <c r="E248" s="172">
        <f t="shared" si="96"/>
        <v>2.3592035207092761</v>
      </c>
      <c r="F248" s="172">
        <f t="shared" si="96"/>
        <v>2.5633192907092761</v>
      </c>
      <c r="G248" s="172">
        <f t="shared" si="96"/>
        <v>2.366015343501028</v>
      </c>
      <c r="H248" s="172">
        <f t="shared" si="96"/>
        <v>2.5701311135010281</v>
      </c>
      <c r="I248" s="172">
        <f t="shared" si="96"/>
        <v>2.7742468835010281</v>
      </c>
      <c r="J248" s="172">
        <f t="shared" si="96"/>
        <v>2.5769429362927805</v>
      </c>
      <c r="K248" s="172">
        <f t="shared" si="96"/>
        <v>2.7810587062927805</v>
      </c>
      <c r="L248" s="172">
        <f t="shared" si="96"/>
        <v>3.2029138918762849</v>
      </c>
      <c r="N248" s="225" t="s">
        <v>275</v>
      </c>
      <c r="O248" s="276" t="e">
        <f ca="1">O244+O245*$B$21+$B$22*O246</f>
        <v>#REF!</v>
      </c>
      <c r="Q248" s="274"/>
    </row>
    <row r="249" spans="1:19" x14ac:dyDescent="0.2">
      <c r="B249" s="274" t="e">
        <f ca="1">B115-B248</f>
        <v>#REF!</v>
      </c>
      <c r="C249" s="274" t="e">
        <f t="shared" ref="C249:L249" ca="1" si="97">C115-C248</f>
        <v>#REF!</v>
      </c>
      <c r="D249" s="274" t="e">
        <f t="shared" ca="1" si="97"/>
        <v>#REF!</v>
      </c>
      <c r="E249" s="274" t="e">
        <f t="shared" ca="1" si="97"/>
        <v>#REF!</v>
      </c>
      <c r="F249" s="274" t="e">
        <f t="shared" ca="1" si="97"/>
        <v>#REF!</v>
      </c>
      <c r="G249" s="274" t="e">
        <f t="shared" ca="1" si="97"/>
        <v>#REF!</v>
      </c>
      <c r="H249" s="274" t="e">
        <f t="shared" ca="1" si="97"/>
        <v>#REF!</v>
      </c>
      <c r="I249" s="274" t="e">
        <f t="shared" ca="1" si="97"/>
        <v>#REF!</v>
      </c>
      <c r="J249" s="274" t="e">
        <f t="shared" ca="1" si="97"/>
        <v>#REF!</v>
      </c>
      <c r="K249" s="274" t="e">
        <f t="shared" ca="1" si="97"/>
        <v>#REF!</v>
      </c>
      <c r="L249" s="274" t="e">
        <f t="shared" ca="1" si="97"/>
        <v>#REF!</v>
      </c>
      <c r="N249" s="225" t="s">
        <v>276</v>
      </c>
      <c r="O249" s="276" t="e">
        <f ca="1">B26</f>
        <v>#REF!</v>
      </c>
    </row>
    <row r="250" spans="1:19" x14ac:dyDescent="0.2">
      <c r="N250" s="225" t="s">
        <v>277</v>
      </c>
      <c r="O250" s="276" t="e">
        <f ca="1">R244+P245*$B$21+$B$22*P246</f>
        <v>#REF!</v>
      </c>
    </row>
    <row r="251" spans="1:19" ht="15" x14ac:dyDescent="0.25">
      <c r="A251" s="116" t="s">
        <v>278</v>
      </c>
      <c r="B251" s="172">
        <f>0.005+(0.161032*B110)</f>
        <v>2.0629889599999998</v>
      </c>
      <c r="C251" s="172">
        <f t="shared" ref="C251:L251" si="98">0.005+(0.161032*C110)</f>
        <v>2.2687878559999999</v>
      </c>
      <c r="D251" s="172">
        <f t="shared" si="98"/>
        <v>2.0629889599999998</v>
      </c>
      <c r="E251" s="172">
        <f t="shared" si="98"/>
        <v>2.2687878559999999</v>
      </c>
      <c r="F251" s="172">
        <f t="shared" si="98"/>
        <v>2.474586752</v>
      </c>
      <c r="G251" s="172">
        <f t="shared" si="98"/>
        <v>2.2687878559999999</v>
      </c>
      <c r="H251" s="172">
        <f t="shared" si="98"/>
        <v>2.474586752</v>
      </c>
      <c r="I251" s="172">
        <f t="shared" si="98"/>
        <v>2.6803856480000001</v>
      </c>
      <c r="J251" s="172">
        <f t="shared" si="98"/>
        <v>2.474586752</v>
      </c>
      <c r="K251" s="172">
        <f t="shared" si="98"/>
        <v>2.6803856480000001</v>
      </c>
      <c r="L251" s="172">
        <f t="shared" si="98"/>
        <v>3.0919834399999999</v>
      </c>
      <c r="N251" s="225" t="s">
        <v>279</v>
      </c>
      <c r="O251" s="276">
        <f>0.011924+0.020915*B22+0.04883*B21</f>
        <v>0.65679750090624034</v>
      </c>
      <c r="P251" s="277" t="e">
        <f ca="1">(O251-O250)/O250</f>
        <v>#REF!</v>
      </c>
    </row>
    <row r="252" spans="1:19" x14ac:dyDescent="0.2">
      <c r="B252" s="274" t="e">
        <f>B117-B251</f>
        <v>#REF!</v>
      </c>
      <c r="C252" s="274" t="e">
        <f t="shared" ref="C252:L252" si="99">C117-C251</f>
        <v>#REF!</v>
      </c>
      <c r="D252" s="274" t="e">
        <f t="shared" si="99"/>
        <v>#REF!</v>
      </c>
      <c r="E252" s="274" t="e">
        <f t="shared" si="99"/>
        <v>#REF!</v>
      </c>
      <c r="F252" s="274" t="e">
        <f t="shared" si="99"/>
        <v>#REF!</v>
      </c>
      <c r="G252" s="274" t="e">
        <f t="shared" si="99"/>
        <v>#REF!</v>
      </c>
      <c r="H252" s="274" t="e">
        <f t="shared" si="99"/>
        <v>#REF!</v>
      </c>
      <c r="I252" s="274" t="e">
        <f t="shared" si="99"/>
        <v>#REF!</v>
      </c>
      <c r="J252" s="274" t="e">
        <f t="shared" si="99"/>
        <v>#REF!</v>
      </c>
      <c r="K252" s="274" t="e">
        <f t="shared" si="99"/>
        <v>#REF!</v>
      </c>
      <c r="L252" s="274" t="e">
        <f t="shared" si="99"/>
        <v>#REF!</v>
      </c>
    </row>
    <row r="254" spans="1:19" x14ac:dyDescent="0.2">
      <c r="A254" s="116" t="s">
        <v>280</v>
      </c>
      <c r="B254" s="172">
        <f>0.005+(0.305733*B242)</f>
        <v>0.67809319023800818</v>
      </c>
      <c r="C254" s="172">
        <f t="shared" ref="C254:L254" si="100">0.005+(0.305733*C242)</f>
        <v>0.74049811694741818</v>
      </c>
      <c r="D254" s="172">
        <f t="shared" si="100"/>
        <v>0.68017578925559907</v>
      </c>
      <c r="E254" s="172">
        <f t="shared" si="100"/>
        <v>0.74258071596500907</v>
      </c>
      <c r="F254" s="172">
        <f t="shared" si="100"/>
        <v>0.80498564267441908</v>
      </c>
      <c r="G254" s="172">
        <f t="shared" si="100"/>
        <v>0.74466331498259974</v>
      </c>
      <c r="H254" s="172">
        <f t="shared" si="100"/>
        <v>0.80706824169200975</v>
      </c>
      <c r="I254" s="172">
        <f t="shared" si="100"/>
        <v>0.86947316840141975</v>
      </c>
      <c r="J254" s="172">
        <f t="shared" si="100"/>
        <v>0.80915084070960064</v>
      </c>
      <c r="K254" s="172">
        <f t="shared" si="100"/>
        <v>0.87155576741901064</v>
      </c>
      <c r="L254" s="172">
        <f t="shared" si="100"/>
        <v>1.0005308188730122</v>
      </c>
    </row>
    <row r="255" spans="1:19" x14ac:dyDescent="0.2">
      <c r="B255" s="274" t="e">
        <f ca="1">B119-B254</f>
        <v>#REF!</v>
      </c>
      <c r="C255" s="274" t="e">
        <f t="shared" ref="C255:L255" ca="1" si="101">C119-C254</f>
        <v>#REF!</v>
      </c>
      <c r="D255" s="274" t="e">
        <f t="shared" ca="1" si="101"/>
        <v>#REF!</v>
      </c>
      <c r="E255" s="274" t="e">
        <f t="shared" ca="1" si="101"/>
        <v>#REF!</v>
      </c>
      <c r="F255" s="274" t="e">
        <f t="shared" ca="1" si="101"/>
        <v>#REF!</v>
      </c>
      <c r="G255" s="274" t="e">
        <f t="shared" ca="1" si="101"/>
        <v>#REF!</v>
      </c>
      <c r="H255" s="274" t="e">
        <f t="shared" ca="1" si="101"/>
        <v>#REF!</v>
      </c>
      <c r="I255" s="274" t="e">
        <f t="shared" ca="1" si="101"/>
        <v>#REF!</v>
      </c>
      <c r="J255" s="274" t="e">
        <f t="shared" ca="1" si="101"/>
        <v>#REF!</v>
      </c>
      <c r="K255" s="274" t="e">
        <f t="shared" ca="1" si="101"/>
        <v>#REF!</v>
      </c>
      <c r="L255" s="274" t="e">
        <f t="shared" ca="1" si="101"/>
        <v>#REF!</v>
      </c>
    </row>
    <row r="257" spans="1:12" x14ac:dyDescent="0.2">
      <c r="A257" s="116" t="s">
        <v>281</v>
      </c>
      <c r="B257" s="172">
        <f>0.0213</f>
        <v>2.1299999999999999E-2</v>
      </c>
      <c r="C257" s="172">
        <f t="shared" ref="C257:L257" si="102">0.0213</f>
        <v>2.1299999999999999E-2</v>
      </c>
      <c r="D257" s="172">
        <f t="shared" si="102"/>
        <v>2.1299999999999999E-2</v>
      </c>
      <c r="E257" s="172">
        <f t="shared" si="102"/>
        <v>2.1299999999999999E-2</v>
      </c>
      <c r="F257" s="172">
        <f t="shared" si="102"/>
        <v>2.1299999999999999E-2</v>
      </c>
      <c r="G257" s="172">
        <f t="shared" si="102"/>
        <v>2.1299999999999999E-2</v>
      </c>
      <c r="H257" s="172">
        <f t="shared" si="102"/>
        <v>2.1299999999999999E-2</v>
      </c>
      <c r="I257" s="172">
        <f t="shared" si="102"/>
        <v>2.1299999999999999E-2</v>
      </c>
      <c r="J257" s="172">
        <f t="shared" si="102"/>
        <v>2.1299999999999999E-2</v>
      </c>
      <c r="K257" s="172">
        <f t="shared" si="102"/>
        <v>2.1299999999999999E-2</v>
      </c>
      <c r="L257" s="172">
        <f t="shared" si="102"/>
        <v>2.1299999999999999E-2</v>
      </c>
    </row>
    <row r="258" spans="1:12" x14ac:dyDescent="0.2">
      <c r="B258" s="274" t="e">
        <f ca="1">B120-B257</f>
        <v>#REF!</v>
      </c>
      <c r="C258" s="274" t="e">
        <f t="shared" ref="C258:L258" ca="1" si="103">C120-C257</f>
        <v>#REF!</v>
      </c>
      <c r="D258" s="274" t="e">
        <f t="shared" ca="1" si="103"/>
        <v>#REF!</v>
      </c>
      <c r="E258" s="274" t="e">
        <f t="shared" ca="1" si="103"/>
        <v>#REF!</v>
      </c>
      <c r="F258" s="274" t="e">
        <f t="shared" ca="1" si="103"/>
        <v>#REF!</v>
      </c>
      <c r="G258" s="274" t="e">
        <f t="shared" ca="1" si="103"/>
        <v>#REF!</v>
      </c>
      <c r="H258" s="274" t="e">
        <f t="shared" ca="1" si="103"/>
        <v>#REF!</v>
      </c>
      <c r="I258" s="274" t="e">
        <f t="shared" ca="1" si="103"/>
        <v>#REF!</v>
      </c>
      <c r="J258" s="274" t="e">
        <f t="shared" ca="1" si="103"/>
        <v>#REF!</v>
      </c>
      <c r="K258" s="274" t="e">
        <f t="shared" ca="1" si="103"/>
        <v>#REF!</v>
      </c>
      <c r="L258" s="274" t="e">
        <f t="shared" ca="1" si="103"/>
        <v>#REF!</v>
      </c>
    </row>
    <row r="260" spans="1:12" x14ac:dyDescent="0.2">
      <c r="A260" s="116" t="s">
        <v>282</v>
      </c>
      <c r="B260" s="172">
        <f>0.011924+(0.04883*B110)+(0.020915*B111)</f>
        <v>0.65679750090624045</v>
      </c>
      <c r="C260" s="172">
        <f t="shared" ref="C260:L260" si="104">0.011924+(0.04883*C110)+(0.020915*C111)</f>
        <v>0.71920224090624052</v>
      </c>
      <c r="D260" s="172">
        <f t="shared" si="104"/>
        <v>0.6588801109968645</v>
      </c>
      <c r="E260" s="172">
        <f t="shared" si="104"/>
        <v>0.72128485099686457</v>
      </c>
      <c r="F260" s="172">
        <f t="shared" si="104"/>
        <v>0.78368959099686453</v>
      </c>
      <c r="G260" s="172">
        <f t="shared" si="104"/>
        <v>0.72336746108748862</v>
      </c>
      <c r="H260" s="172">
        <f t="shared" si="104"/>
        <v>0.78577220108748858</v>
      </c>
      <c r="I260" s="172">
        <f t="shared" si="104"/>
        <v>0.84817694108748865</v>
      </c>
      <c r="J260" s="172">
        <f t="shared" si="104"/>
        <v>0.78785481117811262</v>
      </c>
      <c r="K260" s="172">
        <f t="shared" si="104"/>
        <v>0.85025955117811269</v>
      </c>
      <c r="L260" s="172">
        <f t="shared" si="104"/>
        <v>0.97923425135936071</v>
      </c>
    </row>
    <row r="261" spans="1:12" x14ac:dyDescent="0.2">
      <c r="B261" s="274" t="e">
        <f ca="1">B121-B260</f>
        <v>#REF!</v>
      </c>
      <c r="C261" s="274" t="e">
        <f t="shared" ref="C261:L261" ca="1" si="105">C121-C260</f>
        <v>#REF!</v>
      </c>
      <c r="D261" s="274" t="e">
        <f t="shared" ca="1" si="105"/>
        <v>#REF!</v>
      </c>
      <c r="E261" s="274" t="e">
        <f t="shared" ca="1" si="105"/>
        <v>#REF!</v>
      </c>
      <c r="F261" s="274" t="e">
        <f t="shared" ca="1" si="105"/>
        <v>#REF!</v>
      </c>
      <c r="G261" s="274" t="e">
        <f t="shared" ca="1" si="105"/>
        <v>#REF!</v>
      </c>
      <c r="H261" s="274" t="e">
        <f t="shared" ca="1" si="105"/>
        <v>#REF!</v>
      </c>
      <c r="I261" s="274" t="e">
        <f t="shared" ca="1" si="105"/>
        <v>#REF!</v>
      </c>
      <c r="J261" s="274" t="e">
        <f t="shared" ca="1" si="105"/>
        <v>#REF!</v>
      </c>
      <c r="K261" s="274" t="e">
        <f t="shared" ca="1" si="105"/>
        <v>#REF!</v>
      </c>
      <c r="L261" s="274" t="e">
        <f t="shared" ca="1" si="105"/>
        <v>#REF!</v>
      </c>
    </row>
  </sheetData>
  <mergeCells count="7">
    <mergeCell ref="B229:B233"/>
    <mergeCell ref="C192:H196"/>
    <mergeCell ref="I192:K196"/>
    <mergeCell ref="L192:R196"/>
    <mergeCell ref="B198:B200"/>
    <mergeCell ref="B207:B211"/>
    <mergeCell ref="B220:B222"/>
  </mergeCells>
  <pageMargins left="0.31" right="0.15" top="0.31" bottom="0.08" header="0.31496062992125984" footer="0.31496062992125984"/>
  <pageSetup paperSize="9" scale="16" orientation="landscape" verticalDpi="1200" r:id="rId1"/>
  <drawing r:id="rId2"/>
  <legacyDrawing r:id="rId3"/>
  <oleObjects>
    <mc:AlternateContent xmlns:mc="http://schemas.openxmlformats.org/markup-compatibility/2006">
      <mc:Choice Requires="x14">
        <oleObject progId="Equation.3" shapeId="24577" r:id="rId4">
          <objectPr defaultSize="0" autoPict="0" r:id="rId5">
            <anchor moveWithCells="1">
              <from>
                <xdr:col>2</xdr:col>
                <xdr:colOff>142875</xdr:colOff>
                <xdr:row>5</xdr:row>
                <xdr:rowOff>76200</xdr:rowOff>
              </from>
              <to>
                <xdr:col>5</xdr:col>
                <xdr:colOff>714375</xdr:colOff>
                <xdr:row>7</xdr:row>
                <xdr:rowOff>66675</xdr:rowOff>
              </to>
            </anchor>
          </objectPr>
        </oleObject>
      </mc:Choice>
      <mc:Fallback>
        <oleObject progId="Equation.3" shapeId="24577" r:id="rId4"/>
      </mc:Fallback>
    </mc:AlternateContent>
    <mc:AlternateContent xmlns:mc="http://schemas.openxmlformats.org/markup-compatibility/2006">
      <mc:Choice Requires="x14">
        <oleObject progId="Equation.3" shapeId="24578" r:id="rId6">
          <objectPr defaultSize="0" autoPict="0" r:id="rId7">
            <anchor moveWithCells="1">
              <from>
                <xdr:col>2</xdr:col>
                <xdr:colOff>161925</xdr:colOff>
                <xdr:row>9</xdr:row>
                <xdr:rowOff>142875</xdr:rowOff>
              </from>
              <to>
                <xdr:col>4</xdr:col>
                <xdr:colOff>542925</xdr:colOff>
                <xdr:row>11</xdr:row>
                <xdr:rowOff>114300</xdr:rowOff>
              </to>
            </anchor>
          </objectPr>
        </oleObject>
      </mc:Choice>
      <mc:Fallback>
        <oleObject progId="Equation.3" shapeId="24578" r:id="rId6"/>
      </mc:Fallback>
    </mc:AlternateContent>
    <mc:AlternateContent xmlns:mc="http://schemas.openxmlformats.org/markup-compatibility/2006">
      <mc:Choice Requires="x14">
        <oleObject progId="Equation.3" shapeId="24579" r:id="rId8">
          <objectPr defaultSize="0" autoPict="0" r:id="rId9">
            <anchor moveWithCells="1">
              <from>
                <xdr:col>2</xdr:col>
                <xdr:colOff>190500</xdr:colOff>
                <xdr:row>13</xdr:row>
                <xdr:rowOff>133350</xdr:rowOff>
              </from>
              <to>
                <xdr:col>4</xdr:col>
                <xdr:colOff>542925</xdr:colOff>
                <xdr:row>15</xdr:row>
                <xdr:rowOff>66675</xdr:rowOff>
              </to>
            </anchor>
          </objectPr>
        </oleObject>
      </mc:Choice>
      <mc:Fallback>
        <oleObject progId="Equation.3" shapeId="24579" r:id="rId8"/>
      </mc:Fallback>
    </mc:AlternateContent>
    <mc:AlternateContent xmlns:mc="http://schemas.openxmlformats.org/markup-compatibility/2006">
      <mc:Choice Requires="x14">
        <oleObject progId="Equation.3" shapeId="24580" r:id="rId10">
          <objectPr defaultSize="0" autoPict="0" r:id="rId11">
            <anchor moveWithCells="1">
              <from>
                <xdr:col>2</xdr:col>
                <xdr:colOff>38100</xdr:colOff>
                <xdr:row>82</xdr:row>
                <xdr:rowOff>133350</xdr:rowOff>
              </from>
              <to>
                <xdr:col>5</xdr:col>
                <xdr:colOff>657225</xdr:colOff>
                <xdr:row>88</xdr:row>
                <xdr:rowOff>38100</xdr:rowOff>
              </to>
            </anchor>
          </objectPr>
        </oleObject>
      </mc:Choice>
      <mc:Fallback>
        <oleObject progId="Equation.3" shapeId="24580" r:id="rId10"/>
      </mc:Fallback>
    </mc:AlternateContent>
    <mc:AlternateContent xmlns:mc="http://schemas.openxmlformats.org/markup-compatibility/2006">
      <mc:Choice Requires="x14">
        <oleObject progId="Equation.3" shapeId="24581" r:id="rId12">
          <objectPr defaultSize="0" autoPict="0" r:id="rId7">
            <anchor moveWithCells="1">
              <from>
                <xdr:col>2</xdr:col>
                <xdr:colOff>85725</xdr:colOff>
                <xdr:row>91</xdr:row>
                <xdr:rowOff>76200</xdr:rowOff>
              </from>
              <to>
                <xdr:col>4</xdr:col>
                <xdr:colOff>466725</xdr:colOff>
                <xdr:row>93</xdr:row>
                <xdr:rowOff>76200</xdr:rowOff>
              </to>
            </anchor>
          </objectPr>
        </oleObject>
      </mc:Choice>
      <mc:Fallback>
        <oleObject progId="Equation.3" shapeId="24581" r:id="rId12"/>
      </mc:Fallback>
    </mc:AlternateContent>
    <mc:AlternateContent xmlns:mc="http://schemas.openxmlformats.org/markup-compatibility/2006">
      <mc:Choice Requires="x14">
        <oleObject progId="Equation.3" shapeId="24582" r:id="rId13">
          <objectPr defaultSize="0" autoPict="0" r:id="rId14">
            <anchor moveWithCells="1">
              <from>
                <xdr:col>2</xdr:col>
                <xdr:colOff>114300</xdr:colOff>
                <xdr:row>96</xdr:row>
                <xdr:rowOff>47625</xdr:rowOff>
              </from>
              <to>
                <xdr:col>4</xdr:col>
                <xdr:colOff>381000</xdr:colOff>
                <xdr:row>101</xdr:row>
                <xdr:rowOff>47625</xdr:rowOff>
              </to>
            </anchor>
          </objectPr>
        </oleObject>
      </mc:Choice>
      <mc:Fallback>
        <oleObject progId="Equation.3" shapeId="24582" r:id="rId13"/>
      </mc:Fallback>
    </mc:AlternateContent>
    <mc:AlternateContent xmlns:mc="http://schemas.openxmlformats.org/markup-compatibility/2006">
      <mc:Choice Requires="x14">
        <oleObject progId="Equation.3" shapeId="24583" r:id="rId15">
          <objectPr defaultSize="0" autoPict="0" r:id="rId16">
            <anchor moveWithCells="1">
              <from>
                <xdr:col>8</xdr:col>
                <xdr:colOff>428625</xdr:colOff>
                <xdr:row>219</xdr:row>
                <xdr:rowOff>19050</xdr:rowOff>
              </from>
              <to>
                <xdr:col>10</xdr:col>
                <xdr:colOff>304800</xdr:colOff>
                <xdr:row>221</xdr:row>
                <xdr:rowOff>123825</xdr:rowOff>
              </to>
            </anchor>
          </objectPr>
        </oleObject>
      </mc:Choice>
      <mc:Fallback>
        <oleObject progId="Equation.3" shapeId="24583" r:id="rId15"/>
      </mc:Fallback>
    </mc:AlternateContent>
    <mc:AlternateContent xmlns:mc="http://schemas.openxmlformats.org/markup-compatibility/2006">
      <mc:Choice Requires="x14">
        <oleObject progId="Equation.3" shapeId="24584" r:id="rId17">
          <objectPr defaultSize="0" autoPict="0" r:id="rId18">
            <anchor moveWithCells="1">
              <from>
                <xdr:col>8</xdr:col>
                <xdr:colOff>323850</xdr:colOff>
                <xdr:row>229</xdr:row>
                <xdr:rowOff>9525</xdr:rowOff>
              </from>
              <to>
                <xdr:col>10</xdr:col>
                <xdr:colOff>381000</xdr:colOff>
                <xdr:row>231</xdr:row>
                <xdr:rowOff>123825</xdr:rowOff>
              </to>
            </anchor>
          </objectPr>
        </oleObject>
      </mc:Choice>
      <mc:Fallback>
        <oleObject progId="Equation.3" shapeId="24584" r:id="rId17"/>
      </mc:Fallback>
    </mc:AlternateContent>
    <mc:AlternateContent xmlns:mc="http://schemas.openxmlformats.org/markup-compatibility/2006">
      <mc:Choice Requires="x14">
        <oleObject progId="Equation.3" shapeId="24585" r:id="rId19">
          <objectPr defaultSize="0" autoPict="0" r:id="rId20">
            <anchor moveWithCells="1">
              <from>
                <xdr:col>4</xdr:col>
                <xdr:colOff>28575</xdr:colOff>
                <xdr:row>219</xdr:row>
                <xdr:rowOff>38100</xdr:rowOff>
              </from>
              <to>
                <xdr:col>5</xdr:col>
                <xdr:colOff>609600</xdr:colOff>
                <xdr:row>221</xdr:row>
                <xdr:rowOff>152400</xdr:rowOff>
              </to>
            </anchor>
          </objectPr>
        </oleObject>
      </mc:Choice>
      <mc:Fallback>
        <oleObject progId="Equation.3" shapeId="24585" r:id="rId19"/>
      </mc:Fallback>
    </mc:AlternateContent>
    <mc:AlternateContent xmlns:mc="http://schemas.openxmlformats.org/markup-compatibility/2006">
      <mc:Choice Requires="x14">
        <oleObject progId="Equation.3" shapeId="24586" r:id="rId21">
          <objectPr defaultSize="0" autoPict="0" r:id="rId22">
            <anchor moveWithCells="1">
              <from>
                <xdr:col>3</xdr:col>
                <xdr:colOff>676275</xdr:colOff>
                <xdr:row>228</xdr:row>
                <xdr:rowOff>152400</xdr:rowOff>
              </from>
              <to>
                <xdr:col>5</xdr:col>
                <xdr:colOff>733425</xdr:colOff>
                <xdr:row>231</xdr:row>
                <xdr:rowOff>152400</xdr:rowOff>
              </to>
            </anchor>
          </objectPr>
        </oleObject>
      </mc:Choice>
      <mc:Fallback>
        <oleObject progId="Equation.3" shapeId="24586" r:id="rId21"/>
      </mc:Fallback>
    </mc:AlternateContent>
    <mc:AlternateContent xmlns:mc="http://schemas.openxmlformats.org/markup-compatibility/2006">
      <mc:Choice Requires="x14">
        <oleObject progId="Equation.3" shapeId="24587" r:id="rId23">
          <objectPr defaultSize="0" autoPict="0" r:id="rId24">
            <anchor moveWithCells="1">
              <from>
                <xdr:col>13</xdr:col>
                <xdr:colOff>228600</xdr:colOff>
                <xdr:row>229</xdr:row>
                <xdr:rowOff>9525</xdr:rowOff>
              </from>
              <to>
                <xdr:col>15</xdr:col>
                <xdr:colOff>409575</xdr:colOff>
                <xdr:row>232</xdr:row>
                <xdr:rowOff>28575</xdr:rowOff>
              </to>
            </anchor>
          </objectPr>
        </oleObject>
      </mc:Choice>
      <mc:Fallback>
        <oleObject progId="Equation.3" shapeId="24587" r:id="rId23"/>
      </mc:Fallback>
    </mc:AlternateContent>
    <mc:AlternateContent xmlns:mc="http://schemas.openxmlformats.org/markup-compatibility/2006">
      <mc:Choice Requires="x14">
        <oleObject progId="Equation.3" shapeId="24588" r:id="rId25">
          <objectPr defaultSize="0" autoPict="0" r:id="rId26">
            <anchor moveWithCells="1">
              <from>
                <xdr:col>8</xdr:col>
                <xdr:colOff>219075</xdr:colOff>
                <xdr:row>197</xdr:row>
                <xdr:rowOff>28575</xdr:rowOff>
              </from>
              <to>
                <xdr:col>10</xdr:col>
                <xdr:colOff>581025</xdr:colOff>
                <xdr:row>199</xdr:row>
                <xdr:rowOff>133350</xdr:rowOff>
              </to>
            </anchor>
          </objectPr>
        </oleObject>
      </mc:Choice>
      <mc:Fallback>
        <oleObject progId="Equation.3" shapeId="24588" r:id="rId25"/>
      </mc:Fallback>
    </mc:AlternateContent>
    <mc:AlternateContent xmlns:mc="http://schemas.openxmlformats.org/markup-compatibility/2006">
      <mc:Choice Requires="x14">
        <oleObject progId="Equation.3" shapeId="24589" r:id="rId27">
          <objectPr defaultSize="0" autoPict="0" r:id="rId28">
            <anchor moveWithCells="1">
              <from>
                <xdr:col>3</xdr:col>
                <xdr:colOff>152400</xdr:colOff>
                <xdr:row>201</xdr:row>
                <xdr:rowOff>161925</xdr:rowOff>
              </from>
              <to>
                <xdr:col>6</xdr:col>
                <xdr:colOff>552450</xdr:colOff>
                <xdr:row>204</xdr:row>
                <xdr:rowOff>95250</xdr:rowOff>
              </to>
            </anchor>
          </objectPr>
        </oleObject>
      </mc:Choice>
      <mc:Fallback>
        <oleObject progId="Equation.3" shapeId="24589" r:id="rId27"/>
      </mc:Fallback>
    </mc:AlternateContent>
    <mc:AlternateContent xmlns:mc="http://schemas.openxmlformats.org/markup-compatibility/2006">
      <mc:Choice Requires="x14">
        <oleObject progId="Equation.3" shapeId="24590" r:id="rId29">
          <objectPr defaultSize="0" autoPict="0" r:id="rId30">
            <anchor moveWithCells="1">
              <from>
                <xdr:col>3</xdr:col>
                <xdr:colOff>0</xdr:colOff>
                <xdr:row>206</xdr:row>
                <xdr:rowOff>152400</xdr:rowOff>
              </from>
              <to>
                <xdr:col>6</xdr:col>
                <xdr:colOff>628650</xdr:colOff>
                <xdr:row>209</xdr:row>
                <xdr:rowOff>142875</xdr:rowOff>
              </to>
            </anchor>
          </objectPr>
        </oleObject>
      </mc:Choice>
      <mc:Fallback>
        <oleObject progId="Equation.3" shapeId="24590" r:id="rId29"/>
      </mc:Fallback>
    </mc:AlternateContent>
    <mc:AlternateContent xmlns:mc="http://schemas.openxmlformats.org/markup-compatibility/2006">
      <mc:Choice Requires="x14">
        <oleObject progId="Equation.3" shapeId="24591" r:id="rId31">
          <objectPr defaultSize="0" autoPict="0" r:id="rId32">
            <anchor moveWithCells="1">
              <from>
                <xdr:col>8</xdr:col>
                <xdr:colOff>247650</xdr:colOff>
                <xdr:row>207</xdr:row>
                <xdr:rowOff>0</xdr:rowOff>
              </from>
              <to>
                <xdr:col>10</xdr:col>
                <xdr:colOff>523875</xdr:colOff>
                <xdr:row>210</xdr:row>
                <xdr:rowOff>0</xdr:rowOff>
              </to>
            </anchor>
          </objectPr>
        </oleObject>
      </mc:Choice>
      <mc:Fallback>
        <oleObject progId="Equation.3" shapeId="24591" r:id="rId31"/>
      </mc:Fallback>
    </mc:AlternateContent>
    <mc:AlternateContent xmlns:mc="http://schemas.openxmlformats.org/markup-compatibility/2006">
      <mc:Choice Requires="x14">
        <oleObject progId="Equation.3" shapeId="24592" r:id="rId33">
          <objectPr defaultSize="0" autoPict="0" r:id="rId34">
            <anchor moveWithCells="1">
              <from>
                <xdr:col>13</xdr:col>
                <xdr:colOff>323850</xdr:colOff>
                <xdr:row>219</xdr:row>
                <xdr:rowOff>0</xdr:rowOff>
              </from>
              <to>
                <xdr:col>15</xdr:col>
                <xdr:colOff>314325</xdr:colOff>
                <xdr:row>221</xdr:row>
                <xdr:rowOff>104775</xdr:rowOff>
              </to>
            </anchor>
          </objectPr>
        </oleObject>
      </mc:Choice>
      <mc:Fallback>
        <oleObject progId="Equation.3" shapeId="24592" r:id="rId33"/>
      </mc:Fallback>
    </mc:AlternateContent>
    <mc:AlternateContent xmlns:mc="http://schemas.openxmlformats.org/markup-compatibility/2006">
      <mc:Choice Requires="x14">
        <oleObject progId="Equation.3" shapeId="24593" r:id="rId35">
          <objectPr defaultSize="0" autoPict="0" r:id="rId36">
            <anchor moveWithCells="1">
              <from>
                <xdr:col>4</xdr:col>
                <xdr:colOff>9525</xdr:colOff>
                <xdr:row>224</xdr:row>
                <xdr:rowOff>19050</xdr:rowOff>
              </from>
              <to>
                <xdr:col>5</xdr:col>
                <xdr:colOff>742950</xdr:colOff>
                <xdr:row>226</xdr:row>
                <xdr:rowOff>142875</xdr:rowOff>
              </to>
            </anchor>
          </objectPr>
        </oleObject>
      </mc:Choice>
      <mc:Fallback>
        <oleObject progId="Equation.3" shapeId="24593" r:id="rId35"/>
      </mc:Fallback>
    </mc:AlternateContent>
    <mc:AlternateContent xmlns:mc="http://schemas.openxmlformats.org/markup-compatibility/2006">
      <mc:Choice Requires="x14">
        <oleObject progId="Equation.3" shapeId="24594" r:id="rId37">
          <objectPr defaultSize="0" autoPict="0" r:id="rId38">
            <anchor moveWithCells="1">
              <from>
                <xdr:col>13</xdr:col>
                <xdr:colOff>247650</xdr:colOff>
                <xdr:row>224</xdr:row>
                <xdr:rowOff>9525</xdr:rowOff>
              </from>
              <to>
                <xdr:col>16</xdr:col>
                <xdr:colOff>0</xdr:colOff>
                <xdr:row>226</xdr:row>
                <xdr:rowOff>142875</xdr:rowOff>
              </to>
            </anchor>
          </objectPr>
        </oleObject>
      </mc:Choice>
      <mc:Fallback>
        <oleObject progId="Equation.3" shapeId="24594" r:id="rId37"/>
      </mc:Fallback>
    </mc:AlternateContent>
    <mc:AlternateContent xmlns:mc="http://schemas.openxmlformats.org/markup-compatibility/2006">
      <mc:Choice Requires="x14">
        <oleObject progId="Equation.3" shapeId="24595" r:id="rId39">
          <objectPr defaultSize="0" autoPict="0" r:id="rId40">
            <anchor moveWithCells="1">
              <from>
                <xdr:col>2</xdr:col>
                <xdr:colOff>304800</xdr:colOff>
                <xdr:row>197</xdr:row>
                <xdr:rowOff>9525</xdr:rowOff>
              </from>
              <to>
                <xdr:col>7</xdr:col>
                <xdr:colOff>600075</xdr:colOff>
                <xdr:row>199</xdr:row>
                <xdr:rowOff>114300</xdr:rowOff>
              </to>
            </anchor>
          </objectPr>
        </oleObject>
      </mc:Choice>
      <mc:Fallback>
        <oleObject progId="Equation.3" shapeId="24595" r:id="rId39"/>
      </mc:Fallback>
    </mc:AlternateContent>
    <mc:AlternateContent xmlns:mc="http://schemas.openxmlformats.org/markup-compatibility/2006">
      <mc:Choice Requires="x14">
        <oleObject progId="Equation.3" shapeId="24596" r:id="rId41">
          <objectPr defaultSize="0" autoPict="0" r:id="rId42">
            <anchor moveWithCells="1">
              <from>
                <xdr:col>12</xdr:col>
                <xdr:colOff>285750</xdr:colOff>
                <xdr:row>196</xdr:row>
                <xdr:rowOff>161925</xdr:rowOff>
              </from>
              <to>
                <xdr:col>17</xdr:col>
                <xdr:colOff>228600</xdr:colOff>
                <xdr:row>199</xdr:row>
                <xdr:rowOff>95250</xdr:rowOff>
              </to>
            </anchor>
          </objectPr>
        </oleObject>
      </mc:Choice>
      <mc:Fallback>
        <oleObject progId="Equation.3" shapeId="24596" r:id="rId41"/>
      </mc:Fallback>
    </mc:AlternateContent>
    <mc:AlternateContent xmlns:mc="http://schemas.openxmlformats.org/markup-compatibility/2006">
      <mc:Choice Requires="x14">
        <oleObject progId="Equation.3" shapeId="24597" r:id="rId43">
          <objectPr defaultSize="0" autoPict="0" r:id="rId44">
            <anchor moveWithCells="1">
              <from>
                <xdr:col>13</xdr:col>
                <xdr:colOff>209550</xdr:colOff>
                <xdr:row>202</xdr:row>
                <xdr:rowOff>9525</xdr:rowOff>
              </from>
              <to>
                <xdr:col>16</xdr:col>
                <xdr:colOff>1028700</xdr:colOff>
                <xdr:row>204</xdr:row>
                <xdr:rowOff>152400</xdr:rowOff>
              </to>
            </anchor>
          </objectPr>
        </oleObject>
      </mc:Choice>
      <mc:Fallback>
        <oleObject progId="Equation.3" shapeId="24597" r:id="rId43"/>
      </mc:Fallback>
    </mc:AlternateContent>
    <mc:AlternateContent xmlns:mc="http://schemas.openxmlformats.org/markup-compatibility/2006">
      <mc:Choice Requires="x14">
        <oleObject progId="Equation.3" shapeId="24598" r:id="rId45">
          <objectPr defaultSize="0" autoPict="0" r:id="rId46">
            <anchor moveWithCells="1">
              <from>
                <xdr:col>12</xdr:col>
                <xdr:colOff>133350</xdr:colOff>
                <xdr:row>206</xdr:row>
                <xdr:rowOff>123825</xdr:rowOff>
              </from>
              <to>
                <xdr:col>17</xdr:col>
                <xdr:colOff>571500</xdr:colOff>
                <xdr:row>209</xdr:row>
                <xdr:rowOff>85725</xdr:rowOff>
              </to>
            </anchor>
          </objectPr>
        </oleObject>
      </mc:Choice>
      <mc:Fallback>
        <oleObject progId="Equation.3" shapeId="24598" r:id="rId45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Q35"/>
  <sheetViews>
    <sheetView topLeftCell="A10" workbookViewId="0">
      <selection activeCell="D28" sqref="D28"/>
    </sheetView>
  </sheetViews>
  <sheetFormatPr baseColWidth="10" defaultRowHeight="15" x14ac:dyDescent="0.25"/>
  <cols>
    <col min="2" max="2" width="38.28515625" bestFit="1" customWidth="1"/>
    <col min="7" max="7" width="28.140625" customWidth="1"/>
    <col min="8" max="8" width="15.140625" bestFit="1" customWidth="1"/>
    <col min="9" max="9" width="23" bestFit="1" customWidth="1"/>
    <col min="10" max="10" width="5.42578125" bestFit="1" customWidth="1"/>
    <col min="12" max="12" width="14.7109375" bestFit="1" customWidth="1"/>
    <col min="13" max="13" width="16.140625" bestFit="1" customWidth="1"/>
    <col min="14" max="14" width="16.42578125" bestFit="1" customWidth="1"/>
  </cols>
  <sheetData>
    <row r="3" spans="2:14" x14ac:dyDescent="0.25">
      <c r="B3" s="315" t="s">
        <v>454</v>
      </c>
      <c r="C3" s="315"/>
      <c r="G3" s="585" t="s">
        <v>473</v>
      </c>
    </row>
    <row r="4" spans="2:14" x14ac:dyDescent="0.25">
      <c r="B4" t="s">
        <v>455</v>
      </c>
      <c r="C4" s="576">
        <f ca="1">+#REF!</f>
        <v>1862.1223824195736</v>
      </c>
      <c r="D4" t="s">
        <v>464</v>
      </c>
    </row>
    <row r="5" spans="2:14" ht="19.5" customHeight="1" x14ac:dyDescent="0.25">
      <c r="B5" t="s">
        <v>456</v>
      </c>
      <c r="C5" s="625">
        <f ca="1">+#REF!*2</f>
        <v>1955.2285015405523</v>
      </c>
      <c r="D5" t="s">
        <v>464</v>
      </c>
      <c r="G5" s="587" t="s">
        <v>474</v>
      </c>
      <c r="H5" s="588">
        <v>1200</v>
      </c>
      <c r="I5" s="589" t="s">
        <v>475</v>
      </c>
      <c r="J5" s="590"/>
      <c r="K5" s="590"/>
    </row>
    <row r="6" spans="2:14" ht="22.5" customHeight="1" x14ac:dyDescent="0.25">
      <c r="B6" t="s">
        <v>457</v>
      </c>
      <c r="C6" s="625">
        <f ca="1">+C5/24</f>
        <v>81.467854230856346</v>
      </c>
      <c r="D6" t="s">
        <v>453</v>
      </c>
      <c r="G6" s="587" t="s">
        <v>479</v>
      </c>
      <c r="H6" s="595">
        <v>1</v>
      </c>
      <c r="I6" s="589"/>
      <c r="J6" s="596">
        <v>1</v>
      </c>
      <c r="K6" s="590"/>
    </row>
    <row r="7" spans="2:14" x14ac:dyDescent="0.25">
      <c r="B7" t="s">
        <v>458</v>
      </c>
      <c r="C7" s="625">
        <f ca="1">+C4/24</f>
        <v>77.588432600815565</v>
      </c>
      <c r="D7" t="s">
        <v>453</v>
      </c>
      <c r="G7" s="587" t="s">
        <v>482</v>
      </c>
      <c r="H7" s="588">
        <f>H6*H5</f>
        <v>1200</v>
      </c>
      <c r="I7" s="589" t="s">
        <v>475</v>
      </c>
      <c r="J7" s="601">
        <f>H7/86.4</f>
        <v>13.888888888888888</v>
      </c>
      <c r="K7" s="589" t="s">
        <v>483</v>
      </c>
    </row>
    <row r="8" spans="2:14" ht="15" customHeight="1" x14ac:dyDescent="0.25">
      <c r="B8" t="s">
        <v>459</v>
      </c>
      <c r="C8" s="576">
        <f ca="1">+C5*360</f>
        <v>703882.26055459888</v>
      </c>
      <c r="D8" t="s">
        <v>465</v>
      </c>
      <c r="G8" s="587" t="s">
        <v>485</v>
      </c>
      <c r="H8" s="606">
        <f>H7*30</f>
        <v>36000</v>
      </c>
      <c r="I8" s="589" t="s">
        <v>486</v>
      </c>
      <c r="J8" s="607"/>
      <c r="K8" s="590"/>
    </row>
    <row r="9" spans="2:14" x14ac:dyDescent="0.25">
      <c r="B9" t="s">
        <v>460</v>
      </c>
      <c r="C9" s="577">
        <f>+E35</f>
        <v>0.36220771917362221</v>
      </c>
      <c r="D9" t="s">
        <v>452</v>
      </c>
    </row>
    <row r="10" spans="2:14" x14ac:dyDescent="0.25">
      <c r="B10" t="s">
        <v>467</v>
      </c>
      <c r="C10" s="578">
        <f ca="1">+#REF!</f>
        <v>0.22657681271713301</v>
      </c>
      <c r="D10" t="s">
        <v>450</v>
      </c>
      <c r="G10" s="608" t="s">
        <v>489</v>
      </c>
      <c r="H10" s="590"/>
      <c r="I10" s="590"/>
      <c r="J10" s="590"/>
      <c r="K10" s="590"/>
      <c r="L10" s="590"/>
      <c r="M10" s="590"/>
      <c r="N10" s="590"/>
    </row>
    <row r="11" spans="2:14" x14ac:dyDescent="0.25">
      <c r="B11" t="s">
        <v>461</v>
      </c>
      <c r="C11" s="579">
        <f>+P24</f>
        <v>5.1732800000000001</v>
      </c>
      <c r="D11" t="s">
        <v>468</v>
      </c>
      <c r="G11" s="734" t="s">
        <v>491</v>
      </c>
      <c r="H11" s="734" t="s">
        <v>492</v>
      </c>
      <c r="I11" s="734" t="s">
        <v>493</v>
      </c>
      <c r="J11" s="734" t="s">
        <v>494</v>
      </c>
      <c r="K11" s="734" t="s">
        <v>495</v>
      </c>
      <c r="L11" s="734" t="s">
        <v>496</v>
      </c>
      <c r="M11" s="734" t="s">
        <v>497</v>
      </c>
      <c r="N11" s="734" t="s">
        <v>498</v>
      </c>
    </row>
    <row r="12" spans="2:14" x14ac:dyDescent="0.25">
      <c r="B12" t="s">
        <v>462</v>
      </c>
      <c r="C12" s="579">
        <f ca="1">+C11*C7</f>
        <v>401.38668660514713</v>
      </c>
      <c r="D12" t="s">
        <v>466</v>
      </c>
      <c r="G12" s="735"/>
      <c r="H12" s="735"/>
      <c r="I12" s="735"/>
      <c r="J12" s="735"/>
      <c r="K12" s="735"/>
      <c r="L12" s="735"/>
      <c r="M12" s="735"/>
      <c r="N12" s="735"/>
    </row>
    <row r="13" spans="2:14" x14ac:dyDescent="0.25">
      <c r="B13" t="s">
        <v>463</v>
      </c>
      <c r="C13" s="577">
        <f>C10*C11</f>
        <v>1.1721452936932899</v>
      </c>
      <c r="D13" t="s">
        <v>452</v>
      </c>
      <c r="G13" s="587" t="s">
        <v>501</v>
      </c>
      <c r="H13" s="588">
        <v>2</v>
      </c>
      <c r="I13" s="588">
        <v>2</v>
      </c>
      <c r="J13" s="588">
        <v>3</v>
      </c>
      <c r="K13" s="609">
        <v>15</v>
      </c>
      <c r="L13" s="610">
        <f t="shared" ref="L13:L20" si="0">K13*745</f>
        <v>11175</v>
      </c>
      <c r="M13" s="588">
        <v>24</v>
      </c>
      <c r="N13" s="610">
        <f>J13*I13*L13*M13/1000</f>
        <v>1609.2</v>
      </c>
    </row>
    <row r="14" spans="2:14" x14ac:dyDescent="0.25">
      <c r="G14" s="587" t="s">
        <v>503</v>
      </c>
      <c r="H14" s="588">
        <v>2</v>
      </c>
      <c r="I14" s="588">
        <v>1</v>
      </c>
      <c r="J14" s="588">
        <v>3</v>
      </c>
      <c r="K14" s="609">
        <v>60</v>
      </c>
      <c r="L14" s="610">
        <f t="shared" si="0"/>
        <v>44700</v>
      </c>
      <c r="M14" s="588">
        <v>24</v>
      </c>
      <c r="N14" s="610">
        <f t="shared" ref="N14:N20" si="1">J14*I14*L14*M14/1000</f>
        <v>3218.4</v>
      </c>
    </row>
    <row r="15" spans="2:14" x14ac:dyDescent="0.25">
      <c r="B15" t="s">
        <v>469</v>
      </c>
      <c r="C15" s="580">
        <f>+C13+C9</f>
        <v>1.5343530128669121</v>
      </c>
      <c r="D15" t="s">
        <v>452</v>
      </c>
      <c r="G15" s="587" t="s">
        <v>504</v>
      </c>
      <c r="H15" s="588">
        <v>2</v>
      </c>
      <c r="I15" s="588">
        <v>1</v>
      </c>
      <c r="J15" s="588">
        <v>3</v>
      </c>
      <c r="K15" s="609">
        <v>20</v>
      </c>
      <c r="L15" s="610">
        <f t="shared" si="0"/>
        <v>14900</v>
      </c>
      <c r="M15" s="588">
        <v>24</v>
      </c>
      <c r="N15" s="610">
        <f t="shared" si="1"/>
        <v>1072.8</v>
      </c>
    </row>
    <row r="16" spans="2:14" x14ac:dyDescent="0.25">
      <c r="G16" s="587" t="s">
        <v>505</v>
      </c>
      <c r="H16" s="588">
        <v>8</v>
      </c>
      <c r="I16" s="588">
        <v>4</v>
      </c>
      <c r="J16" s="588">
        <v>1</v>
      </c>
      <c r="K16" s="609">
        <v>0.1</v>
      </c>
      <c r="L16" s="610">
        <f t="shared" si="0"/>
        <v>74.5</v>
      </c>
      <c r="M16" s="588">
        <v>24</v>
      </c>
      <c r="N16" s="610">
        <f t="shared" si="1"/>
        <v>7.1520000000000001</v>
      </c>
    </row>
    <row r="17" spans="2:17" x14ac:dyDescent="0.25">
      <c r="C17" s="581"/>
      <c r="G17" s="587" t="s">
        <v>506</v>
      </c>
      <c r="H17" s="588">
        <v>10</v>
      </c>
      <c r="I17" s="588">
        <v>4</v>
      </c>
      <c r="J17" s="588">
        <v>1</v>
      </c>
      <c r="K17" s="609">
        <v>0.1</v>
      </c>
      <c r="L17" s="610">
        <f t="shared" si="0"/>
        <v>74.5</v>
      </c>
      <c r="M17" s="588">
        <v>24</v>
      </c>
      <c r="N17" s="610">
        <f t="shared" si="1"/>
        <v>7.1520000000000001</v>
      </c>
    </row>
    <row r="18" spans="2:17" x14ac:dyDescent="0.25">
      <c r="G18" s="587" t="s">
        <v>507</v>
      </c>
      <c r="H18" s="588">
        <v>1</v>
      </c>
      <c r="I18" s="588">
        <v>1</v>
      </c>
      <c r="J18" s="588">
        <v>3</v>
      </c>
      <c r="K18" s="609">
        <v>5</v>
      </c>
      <c r="L18" s="610">
        <f t="shared" si="0"/>
        <v>3725</v>
      </c>
      <c r="M18" s="588">
        <v>24</v>
      </c>
      <c r="N18" s="610">
        <f t="shared" si="1"/>
        <v>268.2</v>
      </c>
    </row>
    <row r="19" spans="2:17" x14ac:dyDescent="0.25">
      <c r="B19" s="118" t="s">
        <v>470</v>
      </c>
      <c r="C19" s="582">
        <v>0.25</v>
      </c>
      <c r="G19" s="587" t="s">
        <v>508</v>
      </c>
      <c r="H19" s="588">
        <v>2</v>
      </c>
      <c r="I19" s="588">
        <v>1</v>
      </c>
      <c r="J19" s="588">
        <v>1</v>
      </c>
      <c r="K19" s="609">
        <v>0.2</v>
      </c>
      <c r="L19" s="610">
        <f t="shared" si="0"/>
        <v>149</v>
      </c>
      <c r="M19" s="588">
        <v>24</v>
      </c>
      <c r="N19" s="610">
        <f t="shared" si="1"/>
        <v>3.5760000000000001</v>
      </c>
    </row>
    <row r="20" spans="2:17" x14ac:dyDescent="0.25">
      <c r="G20" s="587" t="s">
        <v>509</v>
      </c>
      <c r="H20" s="588">
        <v>2</v>
      </c>
      <c r="I20" s="588">
        <v>1</v>
      </c>
      <c r="J20" s="588">
        <v>1</v>
      </c>
      <c r="K20" s="609">
        <v>0.2</v>
      </c>
      <c r="L20" s="610">
        <f t="shared" si="0"/>
        <v>149</v>
      </c>
      <c r="M20" s="588">
        <v>24</v>
      </c>
      <c r="N20" s="610">
        <f t="shared" si="1"/>
        <v>3.5760000000000001</v>
      </c>
    </row>
    <row r="21" spans="2:17" x14ac:dyDescent="0.25">
      <c r="G21" s="587" t="s">
        <v>510</v>
      </c>
      <c r="H21" s="588">
        <v>1</v>
      </c>
      <c r="I21" s="588">
        <v>1</v>
      </c>
      <c r="J21" s="588">
        <v>1</v>
      </c>
      <c r="K21" s="609">
        <v>1</v>
      </c>
      <c r="L21" s="610">
        <f>K21*745</f>
        <v>745</v>
      </c>
      <c r="M21" s="588">
        <v>24</v>
      </c>
      <c r="N21" s="610">
        <f>J21*I21*L21*M21/1000</f>
        <v>17.88</v>
      </c>
    </row>
    <row r="22" spans="2:17" ht="30" x14ac:dyDescent="0.25">
      <c r="D22" s="583" t="s">
        <v>471</v>
      </c>
      <c r="E22" s="584" t="s">
        <v>472</v>
      </c>
      <c r="G22" s="618"/>
      <c r="H22" s="619"/>
      <c r="I22" s="619"/>
      <c r="J22" s="619"/>
      <c r="K22" s="619"/>
      <c r="L22" s="620"/>
      <c r="M22" s="619"/>
      <c r="N22" s="621"/>
    </row>
    <row r="23" spans="2:17" x14ac:dyDescent="0.25">
      <c r="D23" s="586">
        <v>18.77</v>
      </c>
      <c r="E23" s="586">
        <f>+H8</f>
        <v>36000</v>
      </c>
      <c r="G23" s="590" t="s">
        <v>293</v>
      </c>
      <c r="H23" s="590"/>
      <c r="I23" s="590"/>
      <c r="J23" s="590"/>
      <c r="K23" s="590"/>
      <c r="L23" s="622" t="s">
        <v>511</v>
      </c>
      <c r="M23" s="623"/>
      <c r="N23" s="610">
        <f>SUM(N13:N21)</f>
        <v>6207.9360000000006</v>
      </c>
    </row>
    <row r="24" spans="2:17" ht="15.75" thickBot="1" x14ac:dyDescent="0.3">
      <c r="G24" s="590"/>
      <c r="H24" s="624"/>
      <c r="I24" s="590"/>
      <c r="J24" s="590"/>
      <c r="K24" s="590"/>
      <c r="L24" s="622" t="s">
        <v>512</v>
      </c>
      <c r="M24" s="623"/>
      <c r="N24" s="610">
        <f>N23*30</f>
        <v>186238.08000000002</v>
      </c>
      <c r="P24" s="580">
        <f>+N24/H8</f>
        <v>5.1732800000000001</v>
      </c>
      <c r="Q24" t="s">
        <v>468</v>
      </c>
    </row>
    <row r="25" spans="2:17" ht="30.75" thickBot="1" x14ac:dyDescent="0.3">
      <c r="B25" s="591"/>
      <c r="C25" s="592" t="s">
        <v>476</v>
      </c>
      <c r="D25" s="593" t="s">
        <v>477</v>
      </c>
      <c r="E25" s="594" t="s">
        <v>478</v>
      </c>
    </row>
    <row r="26" spans="2:17" x14ac:dyDescent="0.25">
      <c r="B26" s="597" t="s">
        <v>480</v>
      </c>
      <c r="C26" s="598" t="s">
        <v>481</v>
      </c>
      <c r="D26" s="599" t="s">
        <v>481</v>
      </c>
      <c r="E26" s="600" t="s">
        <v>481</v>
      </c>
    </row>
    <row r="27" spans="2:17" x14ac:dyDescent="0.25">
      <c r="B27" s="602" t="s">
        <v>484</v>
      </c>
      <c r="C27" s="603">
        <v>37260</v>
      </c>
      <c r="D27" s="604">
        <f>C27/$D$23</f>
        <v>1985.0825785828449</v>
      </c>
      <c r="E27" s="605">
        <f>D27/$E$23</f>
        <v>5.5141182738412356E-2</v>
      </c>
    </row>
    <row r="28" spans="2:17" x14ac:dyDescent="0.25">
      <c r="B28" s="602" t="s">
        <v>487</v>
      </c>
      <c r="C28" s="603">
        <v>96923</v>
      </c>
      <c r="D28" s="604">
        <f t="shared" ref="D28:D34" si="2">C28/$D$23</f>
        <v>5163.7187000532767</v>
      </c>
      <c r="E28" s="605">
        <f t="shared" ref="E28:E34" si="3">D28/$E$23</f>
        <v>0.14343663055703545</v>
      </c>
    </row>
    <row r="29" spans="2:17" x14ac:dyDescent="0.25">
      <c r="B29" s="602" t="s">
        <v>488</v>
      </c>
      <c r="C29" s="603">
        <v>27468</v>
      </c>
      <c r="D29" s="604">
        <f t="shared" si="2"/>
        <v>1463.3990410229089</v>
      </c>
      <c r="E29" s="605">
        <f t="shared" si="3"/>
        <v>4.0649973361747471E-2</v>
      </c>
    </row>
    <row r="30" spans="2:17" x14ac:dyDescent="0.25">
      <c r="B30" s="602" t="s">
        <v>490</v>
      </c>
      <c r="C30" s="603">
        <v>27000</v>
      </c>
      <c r="D30" s="604">
        <f t="shared" si="2"/>
        <v>1438.4656366542356</v>
      </c>
      <c r="E30" s="605">
        <f t="shared" si="3"/>
        <v>3.9957378795950987E-2</v>
      </c>
    </row>
    <row r="31" spans="2:17" x14ac:dyDescent="0.25">
      <c r="B31" s="602" t="s">
        <v>499</v>
      </c>
      <c r="C31" s="603">
        <v>18100</v>
      </c>
      <c r="D31" s="604">
        <f t="shared" si="2"/>
        <v>964.30474160895051</v>
      </c>
      <c r="E31" s="605">
        <f t="shared" si="3"/>
        <v>2.6786242822470847E-2</v>
      </c>
    </row>
    <row r="32" spans="2:17" x14ac:dyDescent="0.25">
      <c r="B32" s="602" t="s">
        <v>500</v>
      </c>
      <c r="C32" s="603">
        <v>5500</v>
      </c>
      <c r="D32" s="604">
        <f t="shared" si="2"/>
        <v>293.02077783697388</v>
      </c>
      <c r="E32" s="605">
        <f t="shared" si="3"/>
        <v>8.1394660510270521E-3</v>
      </c>
    </row>
    <row r="33" spans="2:5" x14ac:dyDescent="0.25">
      <c r="B33" s="602" t="s">
        <v>502</v>
      </c>
      <c r="C33" s="603">
        <v>30000</v>
      </c>
      <c r="D33" s="604">
        <f t="shared" si="2"/>
        <v>1598.2951518380394</v>
      </c>
      <c r="E33" s="605">
        <f t="shared" si="3"/>
        <v>4.4397087551056647E-2</v>
      </c>
    </row>
    <row r="34" spans="2:5" ht="15.75" thickBot="1" x14ac:dyDescent="0.3">
      <c r="B34" s="611" t="s">
        <v>340</v>
      </c>
      <c r="C34" s="612">
        <v>2500</v>
      </c>
      <c r="D34" s="613">
        <f t="shared" si="2"/>
        <v>133.19126265316996</v>
      </c>
      <c r="E34" s="614">
        <f t="shared" si="3"/>
        <v>3.6997572959213878E-3</v>
      </c>
    </row>
    <row r="35" spans="2:5" ht="15.75" thickBot="1" x14ac:dyDescent="0.3">
      <c r="B35" s="591" t="s">
        <v>131</v>
      </c>
      <c r="C35" s="615">
        <f>SUM(C24:C34)</f>
        <v>244751</v>
      </c>
      <c r="D35" s="616">
        <f>SUM(D24:D34)</f>
        <v>13039.477890250399</v>
      </c>
      <c r="E35" s="617">
        <f>SUM(E27:E34)</f>
        <v>0.36220771917362221</v>
      </c>
    </row>
  </sheetData>
  <mergeCells count="8">
    <mergeCell ref="M11:M12"/>
    <mergeCell ref="N11:N12"/>
    <mergeCell ref="G11:G12"/>
    <mergeCell ref="H11:H12"/>
    <mergeCell ref="I11:I12"/>
    <mergeCell ref="J11:J12"/>
    <mergeCell ref="K11:K12"/>
    <mergeCell ref="L11:L12"/>
  </mergeCells>
  <pageMargins left="0.7" right="0.7" top="0.75" bottom="0.75" header="0.3" footer="0.3"/>
  <pageSetup paperSize="9" orientation="portrait" verticalDpi="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AC339"/>
  <sheetViews>
    <sheetView zoomScale="85" zoomScaleNormal="85" workbookViewId="0">
      <selection activeCell="D2" sqref="D2"/>
    </sheetView>
  </sheetViews>
  <sheetFormatPr baseColWidth="10" defaultRowHeight="15" x14ac:dyDescent="0.25"/>
  <cols>
    <col min="2" max="2" width="8.42578125" customWidth="1"/>
    <col min="3" max="3" width="12.28515625" bestFit="1" customWidth="1"/>
    <col min="4" max="4" width="11" customWidth="1"/>
    <col min="5" max="5" width="13" customWidth="1"/>
    <col min="6" max="6" width="12.42578125" customWidth="1"/>
    <col min="8" max="8" width="13" customWidth="1"/>
  </cols>
  <sheetData>
    <row r="1" spans="2:9" ht="15.75" thickBot="1" x14ac:dyDescent="0.3">
      <c r="B1" s="314"/>
      <c r="C1" s="314"/>
      <c r="D1" s="314"/>
      <c r="E1" s="314"/>
      <c r="F1" s="314"/>
      <c r="G1" s="314"/>
      <c r="H1" s="301"/>
      <c r="I1" s="301"/>
    </row>
    <row r="2" spans="2:9" ht="34.5" customHeight="1" thickBot="1" x14ac:dyDescent="0.3">
      <c r="B2" s="328" t="s">
        <v>354</v>
      </c>
      <c r="C2" s="328" t="s">
        <v>146</v>
      </c>
      <c r="D2" s="328" t="s">
        <v>141</v>
      </c>
      <c r="E2" s="329" t="s">
        <v>151</v>
      </c>
      <c r="F2" s="328" t="s">
        <v>356</v>
      </c>
      <c r="G2" s="328" t="s">
        <v>355</v>
      </c>
    </row>
    <row r="3" spans="2:9" x14ac:dyDescent="0.25">
      <c r="B3" s="330">
        <v>2018</v>
      </c>
      <c r="C3" s="331">
        <f t="array" aca="1" ref="C3:C12" ca="1">TRANSPOSE(#REF!)</f>
        <v>2646394.0902871662</v>
      </c>
      <c r="D3" s="331">
        <f t="array" aca="1" ref="D3:D12" ca="1">TRANSPOSE(#REF!)</f>
        <v>317520.36259062053</v>
      </c>
      <c r="E3" s="331">
        <f t="array" aca="1" ref="E3:E12" ca="1">TRANSPOSE(#REF!)</f>
        <v>51.337052061054763</v>
      </c>
      <c r="F3" s="331">
        <f t="array" aca="1" ref="F3:F12" ca="1">TRANSPOSE(#REF!)</f>
        <v>400000</v>
      </c>
      <c r="G3" s="331">
        <f t="shared" ref="G3:G12" si="0">SUM(C3:F3)</f>
        <v>3363965.7899298482</v>
      </c>
    </row>
    <row r="4" spans="2:9" x14ac:dyDescent="0.25">
      <c r="B4" s="332">
        <v>2019</v>
      </c>
      <c r="C4" s="333">
        <f ca="1"/>
        <v>2699321.9720929097</v>
      </c>
      <c r="D4" s="333" t="e">
        <f ca="1"/>
        <v>#REF!</v>
      </c>
      <c r="E4" s="333">
        <f ca="1"/>
        <v>52.363793102275864</v>
      </c>
      <c r="F4" s="333">
        <f ca="1"/>
        <v>408000</v>
      </c>
      <c r="G4" s="333" t="e">
        <f t="shared" si="0"/>
        <v>#REF!</v>
      </c>
    </row>
    <row r="5" spans="2:9" x14ac:dyDescent="0.25">
      <c r="B5" s="330">
        <v>2020</v>
      </c>
      <c r="C5" s="331">
        <f ca="1"/>
        <v>2753308.4115347681</v>
      </c>
      <c r="D5" s="331" t="e">
        <f ca="1"/>
        <v>#REF!</v>
      </c>
      <c r="E5" s="331">
        <f ca="1"/>
        <v>53.41106896432138</v>
      </c>
      <c r="F5" s="331">
        <f ca="1"/>
        <v>416160</v>
      </c>
      <c r="G5" s="331" t="e">
        <f t="shared" si="0"/>
        <v>#REF!</v>
      </c>
    </row>
    <row r="6" spans="2:9" x14ac:dyDescent="0.25">
      <c r="B6" s="332">
        <v>2021</v>
      </c>
      <c r="C6" s="333">
        <f ca="1"/>
        <v>2808374.5797654632</v>
      </c>
      <c r="D6" s="333" t="e">
        <f ca="1"/>
        <v>#REF!</v>
      </c>
      <c r="E6" s="333">
        <f ca="1"/>
        <v>54.479290343607808</v>
      </c>
      <c r="F6" s="333">
        <f ca="1"/>
        <v>424483.2</v>
      </c>
      <c r="G6" s="333" t="e">
        <f t="shared" si="0"/>
        <v>#REF!</v>
      </c>
    </row>
    <row r="7" spans="2:9" x14ac:dyDescent="0.25">
      <c r="B7" s="330">
        <v>2022</v>
      </c>
      <c r="C7" s="331">
        <f ca="1"/>
        <v>2864542.0713607729</v>
      </c>
      <c r="D7" s="331" t="e">
        <f ca="1"/>
        <v>#REF!</v>
      </c>
      <c r="E7" s="331">
        <f ca="1"/>
        <v>55.568876150479966</v>
      </c>
      <c r="F7" s="331">
        <f ca="1"/>
        <v>432972.864</v>
      </c>
      <c r="G7" s="331" t="e">
        <f t="shared" si="0"/>
        <v>#REF!</v>
      </c>
    </row>
    <row r="8" spans="2:9" x14ac:dyDescent="0.25">
      <c r="B8" s="332">
        <v>2023</v>
      </c>
      <c r="C8" s="333">
        <f ca="1"/>
        <v>2921832.9127879883</v>
      </c>
      <c r="D8" s="333" t="e">
        <f ca="1"/>
        <v>#REF!</v>
      </c>
      <c r="E8" s="333">
        <f ca="1"/>
        <v>56.680253673489567</v>
      </c>
      <c r="F8" s="333">
        <f ca="1"/>
        <v>441632.32128000003</v>
      </c>
      <c r="G8" s="333" t="e">
        <f t="shared" si="0"/>
        <v>#REF!</v>
      </c>
    </row>
    <row r="9" spans="2:9" x14ac:dyDescent="0.25">
      <c r="B9" s="330">
        <v>2024</v>
      </c>
      <c r="C9" s="331">
        <f ca="1"/>
        <v>2980269.5710437479</v>
      </c>
      <c r="D9" s="331" t="e">
        <f ca="1"/>
        <v>#REF!</v>
      </c>
      <c r="E9" s="331">
        <f ca="1"/>
        <v>57.813858746959362</v>
      </c>
      <c r="F9" s="331">
        <f ca="1"/>
        <v>450464.96770560002</v>
      </c>
      <c r="G9" s="331" t="e">
        <f t="shared" si="0"/>
        <v>#REF!</v>
      </c>
    </row>
    <row r="10" spans="2:9" x14ac:dyDescent="0.25">
      <c r="B10" s="332">
        <v>2025</v>
      </c>
      <c r="C10" s="333">
        <f ca="1"/>
        <v>3039874.9624646232</v>
      </c>
      <c r="D10" s="333" t="e">
        <f ca="1"/>
        <v>#REF!</v>
      </c>
      <c r="E10" s="333">
        <f ca="1"/>
        <v>58.970135921898546</v>
      </c>
      <c r="F10" s="333">
        <f ca="1"/>
        <v>459474.26705971203</v>
      </c>
      <c r="G10" s="333" t="e">
        <f t="shared" si="0"/>
        <v>#REF!</v>
      </c>
    </row>
    <row r="11" spans="2:9" x14ac:dyDescent="0.25">
      <c r="B11" s="330">
        <v>2026</v>
      </c>
      <c r="C11" s="331">
        <f ca="1"/>
        <v>3100672.4617139152</v>
      </c>
      <c r="D11" s="331" t="e">
        <f ca="1"/>
        <v>#REF!</v>
      </c>
      <c r="E11" s="331">
        <f ca="1"/>
        <v>60.149538640336516</v>
      </c>
      <c r="F11" s="331">
        <f ca="1"/>
        <v>468663.75240090629</v>
      </c>
      <c r="G11" s="331" t="e">
        <f t="shared" si="0"/>
        <v>#REF!</v>
      </c>
    </row>
    <row r="12" spans="2:9" x14ac:dyDescent="0.25">
      <c r="B12" s="332">
        <v>2027</v>
      </c>
      <c r="C12" s="333">
        <f ca="1"/>
        <v>3162685.9109481932</v>
      </c>
      <c r="D12" s="333" t="e">
        <f ca="1"/>
        <v>#REF!</v>
      </c>
      <c r="E12" s="333">
        <f ca="1"/>
        <v>61.352529413143245</v>
      </c>
      <c r="F12" s="333">
        <f ca="1"/>
        <v>478037.02744892443</v>
      </c>
      <c r="G12" s="333" t="e">
        <f t="shared" si="0"/>
        <v>#REF!</v>
      </c>
    </row>
    <row r="18" spans="2:11" ht="15.75" thickBot="1" x14ac:dyDescent="0.3"/>
    <row r="19" spans="2:11" ht="30" customHeight="1" thickBot="1" x14ac:dyDescent="0.3">
      <c r="B19" s="328" t="s">
        <v>354</v>
      </c>
      <c r="C19" s="328" t="s">
        <v>146</v>
      </c>
      <c r="D19" s="328" t="s">
        <v>141</v>
      </c>
      <c r="E19" s="329" t="s">
        <v>151</v>
      </c>
      <c r="F19" s="328" t="s">
        <v>124</v>
      </c>
      <c r="G19" s="328" t="s">
        <v>355</v>
      </c>
      <c r="H19" s="504" t="s">
        <v>421</v>
      </c>
      <c r="I19" s="505" t="s">
        <v>422</v>
      </c>
    </row>
    <row r="20" spans="2:11" x14ac:dyDescent="0.25">
      <c r="B20" s="330">
        <v>2018</v>
      </c>
      <c r="C20" s="331">
        <f t="array" aca="1" ref="C20:C29" ca="1">TRANSPOSE(#REF!)</f>
        <v>1587836.4541722997</v>
      </c>
      <c r="D20" s="331">
        <f t="array" aca="1" ref="D20:D29" ca="1">TRANSPOSE(#REF!)</f>
        <v>367763.42396540625</v>
      </c>
      <c r="E20" s="331">
        <f t="array" aca="1" ref="E20:E29" ca="1">TRANSPOSE(#REF!)</f>
        <v>671354.6642531075</v>
      </c>
      <c r="F20" s="331">
        <f t="array" aca="1" ref="F20:F29" ca="1">TRANSPOSE(#REF!)</f>
        <v>1104897.9371228749</v>
      </c>
      <c r="G20" s="331">
        <f t="shared" ref="G20:G29" si="1">SUM(C20:F20)</f>
        <v>3731852.479513688</v>
      </c>
      <c r="H20" s="506">
        <f>+G3-G20</f>
        <v>-367886.68958383985</v>
      </c>
      <c r="I20" s="507">
        <f>+H20</f>
        <v>-367886.68958383985</v>
      </c>
    </row>
    <row r="21" spans="2:11" x14ac:dyDescent="0.25">
      <c r="B21" s="332">
        <v>2019</v>
      </c>
      <c r="C21" s="333">
        <f ca="1"/>
        <v>1619593.1832557458</v>
      </c>
      <c r="D21" s="333">
        <f ca="1"/>
        <v>375118.69244471443</v>
      </c>
      <c r="E21" s="333">
        <f ca="1"/>
        <v>684781.75753816986</v>
      </c>
      <c r="F21" s="333">
        <f ca="1"/>
        <v>1104897.9371228749</v>
      </c>
      <c r="G21" s="333">
        <f t="shared" si="1"/>
        <v>3784391.5703615053</v>
      </c>
      <c r="H21" s="508" t="e">
        <f t="shared" ref="H21:H29" si="2">+G4-G21</f>
        <v>#REF!</v>
      </c>
      <c r="I21" s="509" t="e">
        <f>+H21+I20</f>
        <v>#REF!</v>
      </c>
    </row>
    <row r="22" spans="2:11" x14ac:dyDescent="0.25">
      <c r="B22" s="330">
        <v>2020</v>
      </c>
      <c r="C22" s="331">
        <f ca="1"/>
        <v>1651985.0469208607</v>
      </c>
      <c r="D22" s="331">
        <f ca="1"/>
        <v>382621.06629360869</v>
      </c>
      <c r="E22" s="331">
        <f ca="1"/>
        <v>698477.39268893329</v>
      </c>
      <c r="F22" s="331">
        <f ca="1"/>
        <v>1104897.9371228749</v>
      </c>
      <c r="G22" s="331">
        <f t="shared" si="1"/>
        <v>3837981.4430262772</v>
      </c>
      <c r="H22" s="506" t="e">
        <f t="shared" si="2"/>
        <v>#REF!</v>
      </c>
      <c r="I22" s="507" t="e">
        <f t="shared" ref="I22:I29" si="3">+H22+I21</f>
        <v>#REF!</v>
      </c>
    </row>
    <row r="23" spans="2:11" x14ac:dyDescent="0.25">
      <c r="B23" s="332">
        <v>2021</v>
      </c>
      <c r="C23" s="333">
        <f ca="1"/>
        <v>1685024.7478592778</v>
      </c>
      <c r="D23" s="333">
        <f ca="1"/>
        <v>390273.48761948087</v>
      </c>
      <c r="E23" s="333">
        <f ca="1"/>
        <v>712446.94054271199</v>
      </c>
      <c r="F23" s="333">
        <f ca="1"/>
        <v>1104897.9371228749</v>
      </c>
      <c r="G23" s="333">
        <f t="shared" si="1"/>
        <v>3892643.1131443456</v>
      </c>
      <c r="H23" s="508" t="e">
        <f t="shared" si="2"/>
        <v>#REF!</v>
      </c>
      <c r="I23" s="509" t="e">
        <f t="shared" si="3"/>
        <v>#REF!</v>
      </c>
    </row>
    <row r="24" spans="2:11" x14ac:dyDescent="0.25">
      <c r="B24" s="330">
        <v>2022</v>
      </c>
      <c r="C24" s="331">
        <f ca="1"/>
        <v>1718725.2428164636</v>
      </c>
      <c r="D24" s="331">
        <f ca="1"/>
        <v>398078.95737187052</v>
      </c>
      <c r="E24" s="331">
        <f ca="1"/>
        <v>726695.87935356621</v>
      </c>
      <c r="F24" s="331">
        <f ca="1"/>
        <v>1104897.9371228749</v>
      </c>
      <c r="G24" s="331">
        <f t="shared" si="1"/>
        <v>3948398.0166647751</v>
      </c>
      <c r="H24" s="506" t="e">
        <f t="shared" si="2"/>
        <v>#REF!</v>
      </c>
      <c r="I24" s="507" t="e">
        <f t="shared" si="3"/>
        <v>#REF!</v>
      </c>
    </row>
    <row r="25" spans="2:11" x14ac:dyDescent="0.25">
      <c r="B25" s="332">
        <v>2023</v>
      </c>
      <c r="C25" s="333">
        <f ca="1"/>
        <v>1753099.747672793</v>
      </c>
      <c r="D25" s="333">
        <f ca="1"/>
        <v>406040.53651930799</v>
      </c>
      <c r="E25" s="333">
        <f ca="1"/>
        <v>741229.79694063752</v>
      </c>
      <c r="F25" s="333">
        <f ca="1"/>
        <v>1104897.9371228749</v>
      </c>
      <c r="G25" s="333">
        <f t="shared" si="1"/>
        <v>4005268.0182556137</v>
      </c>
      <c r="H25" s="508" t="e">
        <f t="shared" si="2"/>
        <v>#REF!</v>
      </c>
      <c r="I25" s="509" t="e">
        <f t="shared" si="3"/>
        <v>#REF!</v>
      </c>
    </row>
    <row r="26" spans="2:11" x14ac:dyDescent="0.25">
      <c r="B26" s="330">
        <v>2024</v>
      </c>
      <c r="C26" s="331">
        <f ca="1"/>
        <v>1788161.7426262489</v>
      </c>
      <c r="D26" s="331">
        <f ca="1"/>
        <v>414161.34724969411</v>
      </c>
      <c r="E26" s="331">
        <f ca="1"/>
        <v>756054.39287945023</v>
      </c>
      <c r="F26" s="331">
        <f ca="1"/>
        <v>1104897.9371228749</v>
      </c>
      <c r="G26" s="331">
        <f t="shared" si="1"/>
        <v>4063275.4198782681</v>
      </c>
      <c r="H26" s="506" t="e">
        <f t="shared" si="2"/>
        <v>#REF!</v>
      </c>
      <c r="I26" s="507" t="e">
        <f t="shared" si="3"/>
        <v>#REF!</v>
      </c>
    </row>
    <row r="27" spans="2:11" x14ac:dyDescent="0.25">
      <c r="B27" s="332">
        <v>2025</v>
      </c>
      <c r="C27" s="333">
        <f ca="1"/>
        <v>1823924.977478774</v>
      </c>
      <c r="D27" s="333">
        <f ca="1"/>
        <v>422444.57419468806</v>
      </c>
      <c r="E27" s="333">
        <f ca="1"/>
        <v>771175.48073703924</v>
      </c>
      <c r="F27" s="333">
        <f ca="1"/>
        <v>1104897.9371228749</v>
      </c>
      <c r="G27" s="333">
        <f t="shared" si="1"/>
        <v>4122442.9695333764</v>
      </c>
      <c r="H27" s="508" t="e">
        <f t="shared" si="2"/>
        <v>#REF!</v>
      </c>
      <c r="I27" s="509" t="e">
        <f t="shared" si="3"/>
        <v>#REF!</v>
      </c>
    </row>
    <row r="28" spans="2:11" x14ac:dyDescent="0.25">
      <c r="B28" s="330">
        <v>2026</v>
      </c>
      <c r="C28" s="331">
        <f ca="1"/>
        <v>1860403.4770283494</v>
      </c>
      <c r="D28" s="331">
        <f ca="1"/>
        <v>430893.46567858185</v>
      </c>
      <c r="E28" s="331">
        <f ca="1"/>
        <v>786598.99035177997</v>
      </c>
      <c r="F28" s="331">
        <f ca="1"/>
        <v>1104897.9371228749</v>
      </c>
      <c r="G28" s="331">
        <f t="shared" si="1"/>
        <v>4182793.8701815861</v>
      </c>
      <c r="H28" s="506" t="e">
        <f t="shared" si="2"/>
        <v>#REF!</v>
      </c>
      <c r="I28" s="507" t="e">
        <f t="shared" si="3"/>
        <v>#REF!</v>
      </c>
    </row>
    <row r="29" spans="2:11" ht="15.75" thickBot="1" x14ac:dyDescent="0.3">
      <c r="B29" s="332">
        <v>2027</v>
      </c>
      <c r="C29" s="333">
        <f ca="1"/>
        <v>1897611.5465689164</v>
      </c>
      <c r="D29" s="333">
        <f ca="1"/>
        <v>439511.33499215345</v>
      </c>
      <c r="E29" s="333">
        <f ca="1"/>
        <v>802330.97015881562</v>
      </c>
      <c r="F29" s="333">
        <f ca="1"/>
        <v>1104897.9371228749</v>
      </c>
      <c r="G29" s="333">
        <f t="shared" si="1"/>
        <v>4244351.78884276</v>
      </c>
      <c r="H29" s="510" t="e">
        <f t="shared" si="2"/>
        <v>#REF!</v>
      </c>
      <c r="I29" s="511" t="e">
        <f t="shared" si="3"/>
        <v>#REF!</v>
      </c>
    </row>
    <row r="30" spans="2:11" x14ac:dyDescent="0.25">
      <c r="K30" s="7"/>
    </row>
    <row r="31" spans="2:11" x14ac:dyDescent="0.25">
      <c r="K31" s="7"/>
    </row>
    <row r="49" spans="2:29" x14ac:dyDescent="0.25">
      <c r="D49" s="42" t="s">
        <v>164</v>
      </c>
      <c r="E49" s="42" t="s">
        <v>424</v>
      </c>
      <c r="F49" s="42" t="s">
        <v>426</v>
      </c>
      <c r="G49" s="42"/>
    </row>
    <row r="50" spans="2:29" x14ac:dyDescent="0.25">
      <c r="C50" s="39" t="s">
        <v>52</v>
      </c>
      <c r="D50" t="s">
        <v>423</v>
      </c>
      <c r="E50" t="s">
        <v>425</v>
      </c>
      <c r="F50" t="s">
        <v>427</v>
      </c>
      <c r="G50" s="43"/>
      <c r="I50" s="451"/>
      <c r="J50" s="451"/>
      <c r="K50" s="451"/>
      <c r="L50" s="451"/>
      <c r="M50" s="451"/>
      <c r="N50" s="451"/>
    </row>
    <row r="51" spans="2:29" x14ac:dyDescent="0.25">
      <c r="B51" s="736" t="s">
        <v>357</v>
      </c>
      <c r="C51" s="451">
        <v>0</v>
      </c>
      <c r="D51" s="44">
        <v>3235.8870967741932</v>
      </c>
      <c r="E51" s="105">
        <v>681.89516129032268</v>
      </c>
      <c r="F51" s="45">
        <v>2790.8379687111419</v>
      </c>
      <c r="G51" s="43"/>
      <c r="I51" s="451"/>
      <c r="J51" s="451"/>
      <c r="K51" s="451"/>
      <c r="L51" s="451"/>
      <c r="M51" s="451"/>
      <c r="N51" s="451"/>
    </row>
    <row r="52" spans="2:29" x14ac:dyDescent="0.25">
      <c r="B52" s="736"/>
      <c r="C52" s="451">
        <v>1</v>
      </c>
      <c r="D52" s="46">
        <v>3234.5564516129029</v>
      </c>
      <c r="E52" s="43">
        <v>642.70161290322574</v>
      </c>
      <c r="F52" s="47">
        <v>2703.3862142318785</v>
      </c>
      <c r="G52" s="43"/>
      <c r="I52" s="451"/>
      <c r="J52" s="451"/>
      <c r="K52" s="451"/>
      <c r="L52" s="451"/>
      <c r="M52" s="451"/>
      <c r="N52" s="451"/>
    </row>
    <row r="53" spans="2:29" x14ac:dyDescent="0.25">
      <c r="B53" s="736"/>
      <c r="C53" s="451">
        <v>2</v>
      </c>
      <c r="D53" s="46">
        <v>3097.7419354838712</v>
      </c>
      <c r="E53" s="43">
        <v>602.17741935483878</v>
      </c>
      <c r="F53" s="47">
        <v>2671.8129408367408</v>
      </c>
      <c r="G53" s="43"/>
      <c r="I53" s="451"/>
      <c r="J53" s="451"/>
      <c r="K53" s="451"/>
      <c r="L53" s="451"/>
      <c r="M53" s="451"/>
      <c r="N53" s="451"/>
    </row>
    <row r="54" spans="2:29" x14ac:dyDescent="0.25">
      <c r="B54" s="736"/>
      <c r="C54" s="451">
        <v>3</v>
      </c>
      <c r="D54" s="46">
        <v>3086.3709677419356</v>
      </c>
      <c r="E54" s="43">
        <v>585.0604838709678</v>
      </c>
      <c r="F54" s="47">
        <v>2619.4975454098276</v>
      </c>
      <c r="G54" s="43"/>
      <c r="I54" s="451"/>
      <c r="J54" s="451"/>
      <c r="K54" s="451"/>
      <c r="L54" s="451"/>
      <c r="M54" s="451"/>
      <c r="N54" s="451"/>
    </row>
    <row r="55" spans="2:29" x14ac:dyDescent="0.25">
      <c r="B55" s="736"/>
      <c r="C55" s="451">
        <v>4</v>
      </c>
      <c r="D55" s="46">
        <v>3167.6612903225805</v>
      </c>
      <c r="E55" s="43">
        <v>603.75</v>
      </c>
      <c r="F55" s="47">
        <v>2704.9158404186787</v>
      </c>
      <c r="G55" s="43"/>
      <c r="I55" s="451"/>
      <c r="J55" s="451"/>
      <c r="K55" s="451"/>
      <c r="L55" s="451"/>
      <c r="M55" s="451"/>
      <c r="N55" s="451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</row>
    <row r="56" spans="2:29" x14ac:dyDescent="0.25">
      <c r="B56" s="736"/>
      <c r="C56" s="451">
        <v>5</v>
      </c>
      <c r="D56" s="46">
        <v>3169.7177419354839</v>
      </c>
      <c r="E56" s="43">
        <v>630.78629032258061</v>
      </c>
      <c r="F56" s="47">
        <v>2985.5045632811461</v>
      </c>
      <c r="G56" s="43"/>
      <c r="I56" s="451"/>
      <c r="J56" s="451"/>
      <c r="K56" s="451"/>
      <c r="L56" s="451"/>
      <c r="M56" s="451"/>
      <c r="N56" s="451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</row>
    <row r="57" spans="2:29" x14ac:dyDescent="0.25">
      <c r="B57" s="736"/>
      <c r="C57" s="451">
        <v>6</v>
      </c>
      <c r="D57" s="46">
        <v>3090.6048387096776</v>
      </c>
      <c r="E57" s="43">
        <v>725.74596774193549</v>
      </c>
      <c r="F57" s="47">
        <v>3250.2236426054537</v>
      </c>
      <c r="G57" s="43"/>
      <c r="I57" s="451"/>
      <c r="J57" s="451"/>
      <c r="K57" s="451"/>
      <c r="L57" s="451"/>
      <c r="M57" s="451"/>
      <c r="N57" s="451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</row>
    <row r="58" spans="2:29" x14ac:dyDescent="0.25">
      <c r="B58" s="736"/>
      <c r="C58" s="451">
        <v>7</v>
      </c>
      <c r="D58" s="46">
        <v>3096.0483870967746</v>
      </c>
      <c r="E58" s="43">
        <v>1035.9072580645161</v>
      </c>
      <c r="F58" s="47">
        <v>3635.6314174894742</v>
      </c>
      <c r="G58" s="43"/>
      <c r="I58" s="451"/>
      <c r="J58" s="451"/>
      <c r="K58" s="451"/>
      <c r="L58" s="451"/>
      <c r="M58" s="451"/>
      <c r="N58" s="451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</row>
    <row r="59" spans="2:29" x14ac:dyDescent="0.25">
      <c r="B59" s="736"/>
      <c r="C59" s="451">
        <v>8</v>
      </c>
      <c r="D59" s="46">
        <v>2941.8145161290322</v>
      </c>
      <c r="E59" s="43">
        <v>1116.4112903225805</v>
      </c>
      <c r="F59" s="47">
        <v>4054.796258995173</v>
      </c>
      <c r="G59" s="43"/>
      <c r="I59" s="451"/>
      <c r="J59" s="451"/>
      <c r="K59" s="451"/>
      <c r="L59" s="451"/>
      <c r="M59" s="451"/>
      <c r="N59" s="451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</row>
    <row r="60" spans="2:29" x14ac:dyDescent="0.25">
      <c r="B60" s="736"/>
      <c r="C60" s="451">
        <v>9</v>
      </c>
      <c r="D60" s="46">
        <v>2871.5322580645166</v>
      </c>
      <c r="E60" s="43">
        <v>1058.891129032258</v>
      </c>
      <c r="F60" s="47">
        <v>4304.0604110678823</v>
      </c>
      <c r="G60" s="43"/>
      <c r="I60" s="451"/>
      <c r="J60" s="451"/>
      <c r="K60" s="451"/>
      <c r="L60" s="451"/>
      <c r="M60" s="451"/>
      <c r="N60" s="451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</row>
    <row r="61" spans="2:29" x14ac:dyDescent="0.25">
      <c r="B61" s="736"/>
      <c r="C61" s="451">
        <v>10</v>
      </c>
      <c r="D61" s="46">
        <v>2785.766129032258</v>
      </c>
      <c r="E61" s="43">
        <v>976.875</v>
      </c>
      <c r="F61" s="47">
        <v>4260.2894263752969</v>
      </c>
      <c r="G61" s="43"/>
      <c r="I61" s="451"/>
      <c r="J61" s="451"/>
      <c r="K61" s="451"/>
      <c r="L61" s="451"/>
      <c r="M61" s="451"/>
      <c r="N61" s="451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</row>
    <row r="62" spans="2:29" x14ac:dyDescent="0.25">
      <c r="B62" s="736"/>
      <c r="C62" s="451">
        <v>11</v>
      </c>
      <c r="D62" s="46">
        <v>2764.4758064516136</v>
      </c>
      <c r="E62" s="43">
        <v>931.08870967741939</v>
      </c>
      <c r="F62" s="47">
        <v>4136.0076262578823</v>
      </c>
      <c r="G62" s="43"/>
      <c r="I62" s="451"/>
      <c r="J62" s="451"/>
      <c r="K62" s="451"/>
      <c r="L62" s="451"/>
      <c r="M62" s="451"/>
      <c r="N62" s="451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</row>
    <row r="63" spans="2:29" x14ac:dyDescent="0.25">
      <c r="B63" s="736"/>
      <c r="C63" s="451">
        <v>12</v>
      </c>
      <c r="D63" s="46">
        <v>2950.4032258064517</v>
      </c>
      <c r="E63" s="43">
        <v>861.35080645161293</v>
      </c>
      <c r="F63" s="47">
        <v>4266.3307785560246</v>
      </c>
      <c r="G63" s="43"/>
      <c r="I63" s="451"/>
      <c r="J63" s="451"/>
      <c r="K63" s="451"/>
      <c r="L63" s="451"/>
      <c r="M63" s="451"/>
      <c r="N63" s="451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</row>
    <row r="64" spans="2:29" x14ac:dyDescent="0.25">
      <c r="B64" s="736"/>
      <c r="C64" s="451">
        <v>13</v>
      </c>
      <c r="D64" s="46">
        <v>3113.8306451612907</v>
      </c>
      <c r="E64" s="43">
        <v>898.125</v>
      </c>
      <c r="F64" s="47">
        <v>4472.3761864526114</v>
      </c>
      <c r="G64" s="43"/>
      <c r="I64" s="451"/>
      <c r="J64" s="451"/>
      <c r="K64" s="451"/>
      <c r="L64" s="451"/>
      <c r="M64" s="451"/>
      <c r="N64" s="451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</row>
    <row r="65" spans="2:29" x14ac:dyDescent="0.25">
      <c r="B65" s="736"/>
      <c r="C65" s="451">
        <v>14</v>
      </c>
      <c r="D65" s="46">
        <v>3323.4677419354839</v>
      </c>
      <c r="E65" s="43">
        <v>956.25</v>
      </c>
      <c r="F65" s="47">
        <v>4476.2026790556938</v>
      </c>
      <c r="G65" s="43"/>
      <c r="I65" s="451"/>
      <c r="J65" s="451"/>
      <c r="K65" s="451"/>
      <c r="L65" s="451"/>
      <c r="M65" s="451"/>
      <c r="N65" s="451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</row>
    <row r="66" spans="2:29" x14ac:dyDescent="0.25">
      <c r="B66" s="736"/>
      <c r="C66" s="451">
        <v>15</v>
      </c>
      <c r="D66" s="46">
        <v>3400.4032258064517</v>
      </c>
      <c r="E66" s="43">
        <v>971.79435483870964</v>
      </c>
      <c r="F66" s="47">
        <v>4238.4884746808102</v>
      </c>
      <c r="G66" s="43"/>
      <c r="I66" s="451"/>
      <c r="J66" s="451"/>
      <c r="K66" s="451"/>
      <c r="L66" s="451"/>
      <c r="M66" s="451"/>
      <c r="N66" s="451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</row>
    <row r="67" spans="2:29" x14ac:dyDescent="0.25">
      <c r="B67" s="736"/>
      <c r="C67" s="451">
        <v>16</v>
      </c>
      <c r="D67" s="46">
        <v>3202.1370967741932</v>
      </c>
      <c r="E67" s="43">
        <v>1085.3225806451612</v>
      </c>
      <c r="F67" s="47">
        <v>4194.9768459969209</v>
      </c>
      <c r="G67" s="43"/>
      <c r="I67" s="451"/>
      <c r="J67" s="451"/>
      <c r="K67" s="451"/>
      <c r="L67" s="451"/>
      <c r="M67" s="451"/>
      <c r="N67" s="451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</row>
    <row r="68" spans="2:29" x14ac:dyDescent="0.25">
      <c r="B68" s="736"/>
      <c r="C68" s="451">
        <v>17</v>
      </c>
      <c r="D68" s="46">
        <v>3349.7177419354834</v>
      </c>
      <c r="E68" s="43">
        <v>1315.1008064516127</v>
      </c>
      <c r="F68" s="47">
        <v>4408.8792681972172</v>
      </c>
      <c r="G68" s="43"/>
      <c r="I68" s="451"/>
      <c r="J68" s="451"/>
      <c r="K68" s="451"/>
      <c r="L68" s="451"/>
      <c r="M68" s="451"/>
      <c r="N68" s="451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</row>
    <row r="69" spans="2:29" x14ac:dyDescent="0.25">
      <c r="B69" s="736"/>
      <c r="C69" s="451">
        <v>18</v>
      </c>
      <c r="D69" s="46">
        <v>4098.0241935483864</v>
      </c>
      <c r="E69" s="43">
        <v>1350</v>
      </c>
      <c r="F69" s="47">
        <v>4459.1167113504607</v>
      </c>
      <c r="G69" s="43"/>
      <c r="I69" s="451"/>
      <c r="J69" s="451"/>
      <c r="K69" s="451"/>
      <c r="L69" s="451"/>
      <c r="M69" s="451"/>
      <c r="N69" s="451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</row>
    <row r="70" spans="2:29" x14ac:dyDescent="0.25">
      <c r="B70" s="736"/>
      <c r="C70" s="451">
        <v>19</v>
      </c>
      <c r="D70" s="46">
        <v>4251.4112903225805</v>
      </c>
      <c r="E70" s="43">
        <v>1275</v>
      </c>
      <c r="F70" s="47">
        <v>4374.4377206552108</v>
      </c>
      <c r="G70" s="43"/>
      <c r="I70" s="451"/>
      <c r="J70" s="451"/>
      <c r="AC70" s="40"/>
    </row>
    <row r="71" spans="2:29" x14ac:dyDescent="0.25">
      <c r="B71" s="736"/>
      <c r="C71" s="451">
        <v>20</v>
      </c>
      <c r="D71" s="46">
        <v>4161.5322580645161</v>
      </c>
      <c r="E71" s="43">
        <v>1156.1491935483871</v>
      </c>
      <c r="F71" s="47">
        <v>4213.9273983730127</v>
      </c>
      <c r="G71" s="43"/>
      <c r="I71" s="451"/>
      <c r="J71" s="451"/>
      <c r="AC71" s="40"/>
    </row>
    <row r="72" spans="2:29" x14ac:dyDescent="0.25">
      <c r="B72" s="736"/>
      <c r="C72" s="451">
        <v>21</v>
      </c>
      <c r="D72" s="46">
        <v>4071.2903225806449</v>
      </c>
      <c r="E72" s="43">
        <v>1068.266129032258</v>
      </c>
      <c r="F72" s="47">
        <v>4082.2656163643519</v>
      </c>
      <c r="G72" s="43"/>
      <c r="I72" s="451"/>
      <c r="J72" s="451"/>
      <c r="AC72" s="40"/>
    </row>
    <row r="73" spans="2:29" x14ac:dyDescent="0.25">
      <c r="B73" s="736"/>
      <c r="C73" s="451">
        <v>22</v>
      </c>
      <c r="D73" s="46">
        <v>3748.911290322581</v>
      </c>
      <c r="E73" s="43">
        <v>1015.4637096774195</v>
      </c>
      <c r="F73" s="47">
        <v>3622.5297932383478</v>
      </c>
      <c r="G73" s="43"/>
      <c r="I73" s="451"/>
      <c r="J73" s="451"/>
      <c r="AC73" s="40"/>
    </row>
    <row r="74" spans="2:29" x14ac:dyDescent="0.25">
      <c r="B74" s="736"/>
      <c r="C74" s="451">
        <v>23</v>
      </c>
      <c r="D74" s="46">
        <v>3407.7822580645161</v>
      </c>
      <c r="E74" s="43">
        <v>790.70564516129025</v>
      </c>
      <c r="F74" s="47">
        <v>3025.0906929041385</v>
      </c>
      <c r="G74" s="43"/>
      <c r="I74" s="451"/>
      <c r="J74" s="451"/>
      <c r="AC74" s="40"/>
    </row>
    <row r="75" spans="2:29" x14ac:dyDescent="0.25">
      <c r="B75" s="736" t="s">
        <v>53</v>
      </c>
      <c r="C75" s="451">
        <v>0</v>
      </c>
      <c r="D75" s="46">
        <v>4132.6293103448279</v>
      </c>
      <c r="E75" s="43">
        <v>772.56465517241384</v>
      </c>
      <c r="F75" s="47">
        <v>2576.3480934326262</v>
      </c>
      <c r="G75" s="43"/>
      <c r="I75" s="451"/>
      <c r="J75" s="451"/>
      <c r="AC75" s="40"/>
    </row>
    <row r="76" spans="2:29" x14ac:dyDescent="0.25">
      <c r="B76" s="736"/>
      <c r="C76" s="451">
        <v>1</v>
      </c>
      <c r="D76" s="46">
        <v>4062.9310344827586</v>
      </c>
      <c r="E76" s="43">
        <v>700.86206896551732</v>
      </c>
      <c r="F76" s="47">
        <v>2504.4694886695956</v>
      </c>
      <c r="G76" s="43"/>
      <c r="I76" s="451"/>
      <c r="J76" s="451"/>
      <c r="AC76" s="40"/>
    </row>
    <row r="77" spans="2:29" x14ac:dyDescent="0.25">
      <c r="B77" s="736"/>
      <c r="C77" s="451">
        <v>2</v>
      </c>
      <c r="D77" s="46">
        <v>3929.3534482758614</v>
      </c>
      <c r="E77" s="43">
        <v>657.73706896551732</v>
      </c>
      <c r="F77" s="47">
        <v>2472.4455357495317</v>
      </c>
      <c r="G77" s="43"/>
      <c r="I77" s="451"/>
      <c r="J77" s="451"/>
      <c r="AC77" s="40"/>
    </row>
    <row r="78" spans="2:29" x14ac:dyDescent="0.25">
      <c r="B78" s="736"/>
      <c r="C78" s="451">
        <v>3</v>
      </c>
      <c r="D78" s="46">
        <v>3871.1637931034484</v>
      </c>
      <c r="E78" s="43">
        <v>630.64655172413791</v>
      </c>
      <c r="F78" s="47">
        <v>2430.7720079084052</v>
      </c>
      <c r="G78" s="43"/>
      <c r="I78" s="451"/>
      <c r="J78" s="451"/>
      <c r="AC78" s="40"/>
    </row>
    <row r="79" spans="2:29" x14ac:dyDescent="0.25">
      <c r="B79" s="736"/>
      <c r="C79" s="451">
        <v>4</v>
      </c>
      <c r="D79" s="46">
        <v>3823.8362068965516</v>
      </c>
      <c r="E79" s="43">
        <v>649.13793103448268</v>
      </c>
      <c r="F79" s="47">
        <v>2544.3235123444433</v>
      </c>
      <c r="G79" s="43"/>
      <c r="I79" s="451"/>
      <c r="J79" s="451"/>
    </row>
    <row r="80" spans="2:29" x14ac:dyDescent="0.25">
      <c r="B80" s="736"/>
      <c r="C80" s="451">
        <v>5</v>
      </c>
      <c r="D80" s="46">
        <v>3808.8362068965516</v>
      </c>
      <c r="E80" s="43">
        <v>691.68103448275861</v>
      </c>
      <c r="F80" s="47">
        <v>2827.4843601613256</v>
      </c>
      <c r="G80" s="43"/>
      <c r="I80" s="451"/>
      <c r="J80" s="451"/>
    </row>
    <row r="81" spans="2:10" x14ac:dyDescent="0.25">
      <c r="B81" s="736"/>
      <c r="C81" s="451">
        <v>6</v>
      </c>
      <c r="D81" s="46">
        <v>3973.8362068965516</v>
      </c>
      <c r="E81" s="43">
        <v>895.66810344827582</v>
      </c>
      <c r="F81" s="47">
        <v>3036.8849017293833</v>
      </c>
      <c r="G81" s="43"/>
      <c r="I81" s="451"/>
      <c r="J81" s="451"/>
    </row>
    <row r="82" spans="2:10" x14ac:dyDescent="0.25">
      <c r="B82" s="736"/>
      <c r="C82" s="451">
        <v>7</v>
      </c>
      <c r="D82" s="46">
        <v>3985.344827586207</v>
      </c>
      <c r="E82" s="43">
        <v>1332.0258620689654</v>
      </c>
      <c r="F82" s="47">
        <v>3419.2690825609448</v>
      </c>
      <c r="G82" s="43"/>
      <c r="I82" s="451"/>
      <c r="J82" s="451"/>
    </row>
    <row r="83" spans="2:10" x14ac:dyDescent="0.25">
      <c r="B83" s="736"/>
      <c r="C83" s="451">
        <v>8</v>
      </c>
      <c r="D83" s="46">
        <v>3780.905172413793</v>
      </c>
      <c r="E83" s="43">
        <v>1362.4784482758623</v>
      </c>
      <c r="F83" s="47">
        <v>3847.9224496576498</v>
      </c>
      <c r="G83" s="43"/>
      <c r="I83" s="451"/>
      <c r="J83" s="451"/>
    </row>
    <row r="84" spans="2:10" x14ac:dyDescent="0.25">
      <c r="B84" s="736"/>
      <c r="C84" s="451">
        <v>9</v>
      </c>
      <c r="D84" s="46">
        <v>3726.2068965517246</v>
      </c>
      <c r="E84" s="43">
        <v>1187.6508620689654</v>
      </c>
      <c r="F84" s="47">
        <v>4092.7107523939044</v>
      </c>
      <c r="G84" s="43"/>
      <c r="I84" s="451"/>
      <c r="J84" s="451"/>
    </row>
    <row r="85" spans="2:10" x14ac:dyDescent="0.25">
      <c r="B85" s="736"/>
      <c r="C85" s="451">
        <v>10</v>
      </c>
      <c r="D85" s="46">
        <v>3681.9827586206893</v>
      </c>
      <c r="E85" s="43">
        <v>1103.7284482758623</v>
      </c>
      <c r="F85" s="47">
        <v>4039.9805524127237</v>
      </c>
      <c r="G85" s="43"/>
      <c r="I85" s="451"/>
      <c r="J85" s="451"/>
    </row>
    <row r="86" spans="2:10" x14ac:dyDescent="0.25">
      <c r="B86" s="736"/>
      <c r="C86" s="451">
        <v>11</v>
      </c>
      <c r="D86" s="46">
        <v>3705</v>
      </c>
      <c r="E86" s="43">
        <v>1057.5</v>
      </c>
      <c r="F86" s="47">
        <v>3906.411836034616</v>
      </c>
      <c r="G86" s="43"/>
      <c r="I86" s="451"/>
      <c r="J86" s="451"/>
    </row>
    <row r="87" spans="2:10" x14ac:dyDescent="0.25">
      <c r="B87" s="736"/>
      <c r="C87" s="451">
        <v>12</v>
      </c>
      <c r="D87" s="46">
        <v>3879.1810344827586</v>
      </c>
      <c r="E87" s="43">
        <v>1050</v>
      </c>
      <c r="F87" s="47">
        <v>4038.6013179107131</v>
      </c>
      <c r="G87" s="43"/>
      <c r="I87" s="451"/>
      <c r="J87" s="451"/>
    </row>
    <row r="88" spans="2:10" x14ac:dyDescent="0.25">
      <c r="B88" s="736"/>
      <c r="C88" s="451">
        <v>13</v>
      </c>
      <c r="D88" s="46">
        <v>4008.4913793103447</v>
      </c>
      <c r="E88" s="43">
        <v>1067.8125</v>
      </c>
      <c r="F88" s="47">
        <v>4251.1777728812285</v>
      </c>
      <c r="G88" s="43"/>
      <c r="I88" s="451"/>
      <c r="J88" s="451"/>
    </row>
    <row r="89" spans="2:10" x14ac:dyDescent="0.25">
      <c r="B89" s="736"/>
      <c r="C89" s="451">
        <v>14</v>
      </c>
      <c r="D89" s="46">
        <v>4044.6982758620688</v>
      </c>
      <c r="E89" s="43">
        <v>1108.3189655172414</v>
      </c>
      <c r="F89" s="47">
        <v>4293.3257960412311</v>
      </c>
      <c r="G89" s="43"/>
      <c r="I89" s="451"/>
      <c r="J89" s="451"/>
    </row>
    <row r="90" spans="2:10" x14ac:dyDescent="0.25">
      <c r="B90" s="736"/>
      <c r="C90" s="451">
        <v>15</v>
      </c>
      <c r="D90" s="46">
        <v>4087.3706896551721</v>
      </c>
      <c r="E90" s="43">
        <v>1135.0215517241377</v>
      </c>
      <c r="F90" s="47">
        <v>4064.1818774051321</v>
      </c>
      <c r="G90" s="43"/>
      <c r="I90" s="451"/>
      <c r="J90" s="451"/>
    </row>
    <row r="91" spans="2:10" x14ac:dyDescent="0.25">
      <c r="B91" s="736"/>
      <c r="C91" s="451">
        <v>16</v>
      </c>
      <c r="D91" s="46">
        <v>3966.2068965517237</v>
      </c>
      <c r="E91" s="43">
        <v>1350</v>
      </c>
      <c r="F91" s="47">
        <v>4003.915973342469</v>
      </c>
      <c r="G91" s="43"/>
      <c r="I91" s="451"/>
      <c r="J91" s="451"/>
    </row>
    <row r="92" spans="2:10" x14ac:dyDescent="0.25">
      <c r="B92" s="736"/>
      <c r="C92" s="451">
        <v>17</v>
      </c>
      <c r="D92" s="46">
        <v>4171.1637931034484</v>
      </c>
      <c r="E92" s="43">
        <v>1693.125</v>
      </c>
      <c r="F92" s="47">
        <v>4203.9988000723861</v>
      </c>
      <c r="G92" s="43"/>
      <c r="I92" s="451"/>
      <c r="J92" s="451"/>
    </row>
    <row r="93" spans="2:10" x14ac:dyDescent="0.25">
      <c r="B93" s="736"/>
      <c r="C93" s="451">
        <v>18</v>
      </c>
      <c r="D93" s="46">
        <v>4710.7758620689656</v>
      </c>
      <c r="E93" s="43">
        <v>1753.0603448275863</v>
      </c>
      <c r="F93" s="47">
        <v>4299.6742292600175</v>
      </c>
      <c r="G93" s="43"/>
      <c r="I93" s="451"/>
      <c r="J93" s="451"/>
    </row>
    <row r="94" spans="2:10" x14ac:dyDescent="0.25">
      <c r="B94" s="736"/>
      <c r="C94" s="451">
        <v>19</v>
      </c>
      <c r="D94" s="46">
        <v>5075.3017241379312</v>
      </c>
      <c r="E94" s="43">
        <v>1562.3922413793102</v>
      </c>
      <c r="F94" s="47">
        <v>4168.2948090664213</v>
      </c>
      <c r="G94" s="43"/>
      <c r="I94" s="451"/>
      <c r="J94" s="451"/>
    </row>
    <row r="95" spans="2:10" x14ac:dyDescent="0.25">
      <c r="B95" s="736"/>
      <c r="C95" s="451">
        <v>20</v>
      </c>
      <c r="D95" s="46">
        <v>5063.1465517241377</v>
      </c>
      <c r="E95" s="43">
        <v>1135.280172413793</v>
      </c>
      <c r="F95" s="47">
        <v>3991.2948266056924</v>
      </c>
      <c r="G95" s="43"/>
      <c r="I95" s="451"/>
      <c r="J95" s="451"/>
    </row>
    <row r="96" spans="2:10" x14ac:dyDescent="0.25">
      <c r="B96" s="736"/>
      <c r="C96" s="451">
        <v>21</v>
      </c>
      <c r="D96" s="46">
        <v>5041.0344827586214</v>
      </c>
      <c r="E96" s="43">
        <v>1084.7844827586207</v>
      </c>
      <c r="F96" s="47">
        <v>3845.150687983527</v>
      </c>
      <c r="G96" s="43"/>
      <c r="I96" s="451"/>
      <c r="J96" s="451"/>
    </row>
    <row r="97" spans="2:14" x14ac:dyDescent="0.25">
      <c r="B97" s="736"/>
      <c r="C97" s="451">
        <v>22</v>
      </c>
      <c r="D97" s="46">
        <v>4604.870689655173</v>
      </c>
      <c r="E97" s="43">
        <v>1062.3491379310344</v>
      </c>
      <c r="F97" s="47">
        <v>3413.0036242699334</v>
      </c>
      <c r="G97" s="43"/>
      <c r="I97" s="451"/>
      <c r="J97" s="451"/>
    </row>
    <row r="98" spans="2:14" x14ac:dyDescent="0.25">
      <c r="B98" s="736"/>
      <c r="C98" s="451">
        <v>23</v>
      </c>
      <c r="D98" s="46">
        <v>4381.2931034482763</v>
      </c>
      <c r="E98" s="43">
        <v>843.75</v>
      </c>
      <c r="F98" s="47">
        <v>2792.3601751602978</v>
      </c>
      <c r="G98" s="43"/>
      <c r="I98" s="451"/>
      <c r="J98" s="451"/>
    </row>
    <row r="99" spans="2:14" x14ac:dyDescent="0.25">
      <c r="B99" s="736" t="s">
        <v>54</v>
      </c>
      <c r="C99" s="451">
        <v>0</v>
      </c>
      <c r="D99" s="46">
        <v>4155.8933036558083</v>
      </c>
      <c r="E99" s="43">
        <v>883.33901928317164</v>
      </c>
      <c r="F99" s="47">
        <v>2648.4495364558588</v>
      </c>
      <c r="G99" s="43"/>
      <c r="I99" s="451"/>
      <c r="J99" s="451"/>
      <c r="K99" s="451"/>
      <c r="L99" s="451"/>
      <c r="M99" s="451"/>
      <c r="N99" s="451"/>
    </row>
    <row r="100" spans="2:14" x14ac:dyDescent="0.25">
      <c r="B100" s="736"/>
      <c r="C100" s="451">
        <v>1</v>
      </c>
      <c r="D100" s="46">
        <v>4115.2481423654863</v>
      </c>
      <c r="E100" s="43">
        <v>829.50837412188139</v>
      </c>
      <c r="F100" s="47">
        <v>2568.1829177568247</v>
      </c>
      <c r="G100" s="43"/>
      <c r="I100" s="451"/>
      <c r="J100" s="451"/>
      <c r="K100" s="451"/>
      <c r="L100" s="451"/>
      <c r="M100" s="451"/>
      <c r="N100" s="451"/>
    </row>
    <row r="101" spans="2:14" x14ac:dyDescent="0.25">
      <c r="B101" s="736"/>
      <c r="C101" s="451">
        <v>2</v>
      </c>
      <c r="D101" s="46">
        <v>3945.4094326880677</v>
      </c>
      <c r="E101" s="43">
        <v>809.24627734768774</v>
      </c>
      <c r="F101" s="47">
        <v>2542.852575359786</v>
      </c>
      <c r="G101" s="43"/>
      <c r="I101" s="451"/>
      <c r="J101" s="451"/>
      <c r="K101" s="451"/>
      <c r="L101" s="451"/>
      <c r="M101" s="451"/>
      <c r="N101" s="451"/>
    </row>
    <row r="102" spans="2:14" x14ac:dyDescent="0.25">
      <c r="B102" s="736"/>
      <c r="C102" s="451">
        <v>3</v>
      </c>
      <c r="D102" s="46">
        <v>3875.006206881616</v>
      </c>
      <c r="E102" s="43">
        <v>812.99627734768774</v>
      </c>
      <c r="F102" s="47">
        <v>2502.6858178031262</v>
      </c>
      <c r="G102" s="43"/>
      <c r="I102" s="451"/>
      <c r="J102" s="451"/>
      <c r="K102" s="451"/>
      <c r="L102" s="451"/>
      <c r="M102" s="451"/>
      <c r="N102" s="451"/>
    </row>
    <row r="103" spans="2:14" x14ac:dyDescent="0.25">
      <c r="B103" s="736"/>
      <c r="C103" s="451">
        <v>4</v>
      </c>
      <c r="D103" s="46">
        <v>3841.8610455912926</v>
      </c>
      <c r="E103" s="43">
        <v>803.43982573478456</v>
      </c>
      <c r="F103" s="47">
        <v>2615.363853499523</v>
      </c>
      <c r="G103" s="43"/>
      <c r="I103" s="451"/>
      <c r="J103" s="451"/>
      <c r="K103" s="451"/>
      <c r="L103" s="451"/>
      <c r="M103" s="451"/>
      <c r="N103" s="451"/>
    </row>
    <row r="104" spans="2:14" x14ac:dyDescent="0.25">
      <c r="B104" s="736"/>
      <c r="C104" s="451">
        <v>5</v>
      </c>
      <c r="D104" s="46">
        <v>3801.2158843009702</v>
      </c>
      <c r="E104" s="43">
        <v>822.37127734768774</v>
      </c>
      <c r="F104" s="47">
        <v>2910.410866830689</v>
      </c>
      <c r="G104" s="43"/>
      <c r="I104" s="451"/>
      <c r="J104" s="451"/>
      <c r="K104" s="451"/>
      <c r="L104" s="451"/>
      <c r="M104" s="451"/>
      <c r="N104" s="451"/>
    </row>
    <row r="105" spans="2:14" x14ac:dyDescent="0.25">
      <c r="B105" s="736"/>
      <c r="C105" s="451">
        <v>6</v>
      </c>
      <c r="D105" s="46">
        <v>3935.4094302269723</v>
      </c>
      <c r="E105" s="43">
        <v>943.90353602747746</v>
      </c>
      <c r="F105" s="47">
        <v>3132.0980567966708</v>
      </c>
      <c r="G105" s="43"/>
      <c r="I105" s="451"/>
      <c r="J105" s="451"/>
      <c r="K105" s="451"/>
      <c r="L105" s="451"/>
      <c r="M105" s="451"/>
      <c r="N105" s="451"/>
    </row>
    <row r="106" spans="2:14" x14ac:dyDescent="0.25">
      <c r="B106" s="736"/>
      <c r="C106" s="451">
        <v>7</v>
      </c>
      <c r="D106" s="46">
        <v>3897.6674947431006</v>
      </c>
      <c r="E106" s="43">
        <v>1438.4375</v>
      </c>
      <c r="F106" s="47">
        <v>3533.9382156093011</v>
      </c>
      <c r="G106" s="43"/>
      <c r="I106" s="451"/>
      <c r="J106" s="451"/>
      <c r="K106" s="451"/>
      <c r="L106" s="451"/>
      <c r="M106" s="451"/>
      <c r="N106" s="451"/>
    </row>
    <row r="107" spans="2:14" x14ac:dyDescent="0.25">
      <c r="B107" s="736"/>
      <c r="C107" s="451">
        <v>8</v>
      </c>
      <c r="D107" s="46">
        <v>3763.1513730941283</v>
      </c>
      <c r="E107" s="43">
        <v>1472.5625000000002</v>
      </c>
      <c r="F107" s="47">
        <v>3955.5264139262358</v>
      </c>
      <c r="G107" s="43"/>
      <c r="I107" s="451"/>
      <c r="J107" s="451"/>
      <c r="K107" s="451"/>
      <c r="L107" s="451"/>
      <c r="M107" s="451"/>
      <c r="N107" s="451"/>
    </row>
    <row r="108" spans="2:14" x14ac:dyDescent="0.25">
      <c r="B108" s="736"/>
      <c r="C108" s="451">
        <v>9</v>
      </c>
      <c r="D108" s="46">
        <v>3617.828787526777</v>
      </c>
      <c r="E108" s="43">
        <v>1443.3125</v>
      </c>
      <c r="F108" s="47">
        <v>4225.5971821895664</v>
      </c>
      <c r="G108" s="43"/>
      <c r="I108" s="451"/>
      <c r="J108" s="451"/>
      <c r="K108" s="451"/>
      <c r="L108" s="451"/>
      <c r="M108" s="451"/>
      <c r="N108" s="451"/>
    </row>
    <row r="109" spans="2:14" x14ac:dyDescent="0.25">
      <c r="B109" s="736"/>
      <c r="C109" s="451">
        <v>10</v>
      </c>
      <c r="D109" s="46">
        <v>3631.3771746235511</v>
      </c>
      <c r="E109" s="43">
        <v>1359.7500000000002</v>
      </c>
      <c r="F109" s="47">
        <v>4158.6454337789801</v>
      </c>
      <c r="G109" s="43"/>
      <c r="I109" s="451"/>
      <c r="J109" s="451"/>
      <c r="K109" s="451"/>
      <c r="L109" s="451"/>
      <c r="M109" s="451"/>
      <c r="N109" s="451"/>
    </row>
    <row r="110" spans="2:14" x14ac:dyDescent="0.25">
      <c r="B110" s="736"/>
      <c r="C110" s="451">
        <v>11</v>
      </c>
      <c r="D110" s="46">
        <v>3729.3610012915824</v>
      </c>
      <c r="E110" s="43">
        <v>1251.6249999999998</v>
      </c>
      <c r="F110" s="47">
        <v>4005.5772464870397</v>
      </c>
      <c r="G110" s="43"/>
      <c r="I110" s="451"/>
      <c r="J110" s="451"/>
      <c r="K110" s="451"/>
      <c r="L110" s="451"/>
      <c r="M110" s="451"/>
      <c r="N110" s="451"/>
    </row>
    <row r="111" spans="2:14" x14ac:dyDescent="0.25">
      <c r="B111" s="736"/>
      <c r="C111" s="451">
        <v>12</v>
      </c>
      <c r="D111" s="46">
        <v>3937.2580645161293</v>
      </c>
      <c r="E111" s="43">
        <v>1203.8750000000002</v>
      </c>
      <c r="F111" s="47">
        <v>4134.0529518490703</v>
      </c>
      <c r="G111" s="43"/>
      <c r="I111" s="451"/>
      <c r="J111" s="451"/>
      <c r="K111" s="451"/>
      <c r="L111" s="451"/>
      <c r="M111" s="451"/>
      <c r="N111" s="451"/>
    </row>
    <row r="112" spans="2:14" x14ac:dyDescent="0.25">
      <c r="B112" s="736"/>
      <c r="C112" s="451">
        <v>13</v>
      </c>
      <c r="D112" s="46">
        <v>4079.0322580645161</v>
      </c>
      <c r="E112" s="43">
        <v>1392.6875</v>
      </c>
      <c r="F112" s="47">
        <v>4349.1952923234621</v>
      </c>
      <c r="G112" s="43"/>
      <c r="I112" s="451"/>
      <c r="J112" s="451"/>
      <c r="K112" s="451"/>
      <c r="L112" s="451"/>
      <c r="M112" s="451"/>
      <c r="N112" s="451"/>
    </row>
    <row r="113" spans="2:14" x14ac:dyDescent="0.25">
      <c r="B113" s="736"/>
      <c r="C113" s="451">
        <v>14</v>
      </c>
      <c r="D113" s="46">
        <v>4249.8387096774186</v>
      </c>
      <c r="E113" s="43">
        <v>1425.5</v>
      </c>
      <c r="F113" s="47">
        <v>4362.542138231177</v>
      </c>
      <c r="G113" s="43"/>
      <c r="I113" s="451"/>
      <c r="J113" s="451"/>
      <c r="K113" s="451"/>
      <c r="L113" s="451"/>
      <c r="M113" s="451"/>
      <c r="N113" s="451"/>
    </row>
    <row r="114" spans="2:14" x14ac:dyDescent="0.25">
      <c r="B114" s="736"/>
      <c r="C114" s="451">
        <v>15</v>
      </c>
      <c r="D114" s="46">
        <v>4057.7419354838707</v>
      </c>
      <c r="E114" s="43">
        <v>1404.6249999999998</v>
      </c>
      <c r="F114" s="47">
        <v>4180.7122422802377</v>
      </c>
      <c r="G114" s="43"/>
      <c r="I114" s="451"/>
      <c r="J114" s="451"/>
      <c r="K114" s="451"/>
      <c r="L114" s="451"/>
      <c r="M114" s="451"/>
      <c r="N114" s="451"/>
    </row>
    <row r="115" spans="2:14" x14ac:dyDescent="0.25">
      <c r="B115" s="736"/>
      <c r="C115" s="451">
        <v>16</v>
      </c>
      <c r="D115" s="46">
        <v>3642.338709677419</v>
      </c>
      <c r="E115" s="43">
        <v>1497.9999999999998</v>
      </c>
      <c r="F115" s="47">
        <v>4183.9050022959118</v>
      </c>
      <c r="G115" s="43"/>
      <c r="I115" s="451"/>
      <c r="J115" s="451"/>
      <c r="K115" s="451"/>
      <c r="L115" s="451"/>
      <c r="M115" s="451"/>
      <c r="N115" s="451"/>
    </row>
    <row r="116" spans="2:14" x14ac:dyDescent="0.25">
      <c r="B116" s="736"/>
      <c r="C116" s="451">
        <v>17</v>
      </c>
      <c r="D116" s="46">
        <v>4213.0645161290322</v>
      </c>
      <c r="E116" s="43">
        <v>1688.5282258064515</v>
      </c>
      <c r="F116" s="47">
        <v>4308.1369252409158</v>
      </c>
      <c r="G116" s="43"/>
      <c r="I116" s="451"/>
      <c r="J116" s="451"/>
      <c r="K116" s="451"/>
      <c r="L116" s="451"/>
      <c r="M116" s="451"/>
      <c r="N116" s="451"/>
    </row>
    <row r="117" spans="2:14" x14ac:dyDescent="0.25">
      <c r="B117" s="736"/>
      <c r="C117" s="451">
        <v>18</v>
      </c>
      <c r="D117" s="46">
        <v>5004.4354838709678</v>
      </c>
      <c r="E117" s="43">
        <v>1771.6935483870966</v>
      </c>
      <c r="F117" s="47">
        <v>4352.6328062112116</v>
      </c>
      <c r="G117" s="43"/>
      <c r="I117" s="451"/>
      <c r="J117" s="451"/>
      <c r="K117" s="451"/>
      <c r="L117" s="451"/>
      <c r="M117" s="451"/>
      <c r="N117" s="451"/>
    </row>
    <row r="118" spans="2:14" x14ac:dyDescent="0.25">
      <c r="B118" s="736"/>
      <c r="C118" s="451">
        <v>19</v>
      </c>
      <c r="D118" s="46">
        <v>5130.967741935483</v>
      </c>
      <c r="E118" s="43">
        <v>1631.733870967742</v>
      </c>
      <c r="F118" s="47">
        <v>4273.0270458595351</v>
      </c>
      <c r="G118" s="43"/>
      <c r="I118" s="451"/>
      <c r="J118" s="451"/>
      <c r="K118" s="451"/>
      <c r="L118" s="451"/>
      <c r="M118" s="451"/>
      <c r="N118" s="451"/>
    </row>
    <row r="119" spans="2:14" x14ac:dyDescent="0.25">
      <c r="B119" s="736"/>
      <c r="C119" s="451">
        <v>20</v>
      </c>
      <c r="D119" s="46">
        <v>5084.0322580645161</v>
      </c>
      <c r="E119" s="43">
        <v>1329.5564516129034</v>
      </c>
      <c r="F119" s="47">
        <v>4099.7826660781275</v>
      </c>
      <c r="G119" s="43"/>
      <c r="I119" s="451"/>
      <c r="J119" s="451"/>
      <c r="K119" s="451"/>
      <c r="L119" s="451"/>
      <c r="M119" s="451"/>
      <c r="N119" s="451"/>
    </row>
    <row r="120" spans="2:14" x14ac:dyDescent="0.25">
      <c r="B120" s="736"/>
      <c r="C120" s="451">
        <v>21</v>
      </c>
      <c r="D120" s="46">
        <v>4965.7258064516136</v>
      </c>
      <c r="E120" s="43">
        <v>1266.4717741935483</v>
      </c>
      <c r="F120" s="47">
        <v>3971.6750287107425</v>
      </c>
      <c r="G120" s="43"/>
      <c r="I120" s="451"/>
      <c r="J120" s="451"/>
      <c r="K120" s="451"/>
      <c r="L120" s="451"/>
      <c r="M120" s="451"/>
      <c r="N120" s="451"/>
    </row>
    <row r="121" spans="2:14" x14ac:dyDescent="0.25">
      <c r="B121" s="736"/>
      <c r="C121" s="451">
        <v>22</v>
      </c>
      <c r="D121" s="46">
        <v>4505.0806451612898</v>
      </c>
      <c r="E121" s="43">
        <v>1232.9637096774195</v>
      </c>
      <c r="F121" s="47">
        <v>3533.2699982885961</v>
      </c>
      <c r="G121" s="43"/>
      <c r="I121" s="451"/>
      <c r="J121" s="451"/>
      <c r="K121" s="451"/>
      <c r="L121" s="451"/>
      <c r="M121" s="451"/>
      <c r="N121" s="451"/>
    </row>
    <row r="122" spans="2:14" x14ac:dyDescent="0.25">
      <c r="B122" s="736"/>
      <c r="C122" s="451">
        <v>23</v>
      </c>
      <c r="D122" s="46">
        <v>4327.6674972041956</v>
      </c>
      <c r="E122" s="43">
        <v>986.70595476704261</v>
      </c>
      <c r="F122" s="47">
        <v>2887.5462377503245</v>
      </c>
      <c r="G122" s="43"/>
      <c r="I122" s="451"/>
      <c r="J122" s="451"/>
      <c r="K122" s="451"/>
      <c r="L122" s="451"/>
      <c r="M122" s="451"/>
      <c r="N122" s="451"/>
    </row>
    <row r="123" spans="2:14" x14ac:dyDescent="0.25">
      <c r="B123" s="736" t="s">
        <v>55</v>
      </c>
      <c r="C123" s="451">
        <v>0</v>
      </c>
      <c r="D123" s="46">
        <v>4429.5</v>
      </c>
      <c r="E123" s="43">
        <v>1085.1875</v>
      </c>
      <c r="F123" s="47">
        <v>2678.4551918681418</v>
      </c>
      <c r="G123" s="43"/>
      <c r="I123" s="451"/>
      <c r="J123" s="451"/>
      <c r="K123" s="451"/>
      <c r="L123" s="451"/>
      <c r="M123" s="451"/>
      <c r="N123" s="451"/>
    </row>
    <row r="124" spans="2:14" x14ac:dyDescent="0.25">
      <c r="B124" s="736"/>
      <c r="C124" s="451">
        <v>1</v>
      </c>
      <c r="D124" s="46">
        <v>4314</v>
      </c>
      <c r="E124" s="43">
        <v>999.3125</v>
      </c>
      <c r="F124" s="47">
        <v>2612.5528199061464</v>
      </c>
      <c r="G124" s="43"/>
      <c r="I124" s="451"/>
      <c r="J124" s="451"/>
      <c r="K124" s="451"/>
      <c r="L124" s="451"/>
      <c r="M124" s="451"/>
      <c r="N124" s="451"/>
    </row>
    <row r="125" spans="2:14" x14ac:dyDescent="0.25">
      <c r="B125" s="736"/>
      <c r="C125" s="451">
        <v>2</v>
      </c>
      <c r="D125" s="46">
        <v>4230.5000000000009</v>
      </c>
      <c r="E125" s="43">
        <v>967.9375</v>
      </c>
      <c r="F125" s="47">
        <v>2566.4326700217857</v>
      </c>
      <c r="G125" s="43"/>
      <c r="I125" s="451"/>
      <c r="J125" s="451"/>
      <c r="K125" s="451"/>
      <c r="L125" s="451"/>
      <c r="M125" s="451"/>
      <c r="N125" s="451"/>
    </row>
    <row r="126" spans="2:14" x14ac:dyDescent="0.25">
      <c r="B126" s="736"/>
      <c r="C126" s="451">
        <v>3</v>
      </c>
      <c r="D126" s="46">
        <v>4015.0000000000005</v>
      </c>
      <c r="E126" s="43">
        <v>927.25000000000011</v>
      </c>
      <c r="F126" s="47">
        <v>2557.090785825239</v>
      </c>
      <c r="G126" s="43"/>
      <c r="I126" s="451"/>
      <c r="J126" s="451"/>
      <c r="K126" s="451"/>
      <c r="L126" s="451"/>
      <c r="M126" s="451"/>
      <c r="N126" s="451"/>
    </row>
    <row r="127" spans="2:14" x14ac:dyDescent="0.25">
      <c r="B127" s="736"/>
      <c r="C127" s="451">
        <v>4</v>
      </c>
      <c r="D127" s="46">
        <v>3998.0000000000009</v>
      </c>
      <c r="E127" s="43">
        <v>936.8125</v>
      </c>
      <c r="F127" s="47">
        <v>2668.8582677242298</v>
      </c>
      <c r="G127" s="43"/>
      <c r="I127" s="451"/>
      <c r="J127" s="451"/>
      <c r="K127" s="451"/>
      <c r="L127" s="451"/>
      <c r="M127" s="451"/>
      <c r="N127" s="451"/>
    </row>
    <row r="128" spans="2:14" x14ac:dyDescent="0.25">
      <c r="B128" s="736"/>
      <c r="C128" s="451">
        <v>5</v>
      </c>
      <c r="D128" s="46">
        <v>4049.0000000000005</v>
      </c>
      <c r="E128" s="43">
        <v>962.06250000000011</v>
      </c>
      <c r="F128" s="47">
        <v>2950.810775406866</v>
      </c>
      <c r="G128" s="43"/>
      <c r="I128" s="451"/>
      <c r="J128" s="451"/>
      <c r="K128" s="451"/>
      <c r="L128" s="451"/>
      <c r="M128" s="451"/>
      <c r="N128" s="451"/>
    </row>
    <row r="129" spans="2:14" x14ac:dyDescent="0.25">
      <c r="B129" s="736"/>
      <c r="C129" s="451">
        <v>6</v>
      </c>
      <c r="D129" s="46">
        <v>4059.25</v>
      </c>
      <c r="E129" s="43">
        <v>1152.0624999999998</v>
      </c>
      <c r="F129" s="47">
        <v>3206.4348277860199</v>
      </c>
      <c r="G129" s="43"/>
      <c r="I129" s="451"/>
      <c r="J129" s="451"/>
      <c r="K129" s="451"/>
      <c r="L129" s="451"/>
      <c r="M129" s="451"/>
      <c r="N129" s="451"/>
    </row>
    <row r="130" spans="2:14" x14ac:dyDescent="0.25">
      <c r="B130" s="736"/>
      <c r="C130" s="451">
        <v>7</v>
      </c>
      <c r="D130" s="46">
        <v>3920.9999999999995</v>
      </c>
      <c r="E130" s="43">
        <v>1336.8067618339294</v>
      </c>
      <c r="F130" s="47">
        <v>3640.6125014330109</v>
      </c>
      <c r="G130" s="43"/>
      <c r="I130" s="451"/>
      <c r="J130" s="451"/>
      <c r="K130" s="451"/>
      <c r="L130" s="451"/>
      <c r="M130" s="451"/>
      <c r="N130" s="451"/>
    </row>
    <row r="131" spans="2:14" x14ac:dyDescent="0.25">
      <c r="B131" s="736"/>
      <c r="C131" s="451">
        <v>8</v>
      </c>
      <c r="D131" s="46">
        <v>4027</v>
      </c>
      <c r="E131" s="43">
        <v>1368.0164374074629</v>
      </c>
      <c r="F131" s="47">
        <v>4018.7103870132096</v>
      </c>
      <c r="G131" s="43"/>
      <c r="I131" s="451"/>
      <c r="J131" s="451"/>
      <c r="K131" s="451"/>
      <c r="L131" s="451"/>
      <c r="M131" s="451"/>
      <c r="N131" s="451"/>
    </row>
    <row r="132" spans="2:14" x14ac:dyDescent="0.25">
      <c r="B132" s="736"/>
      <c r="C132" s="451">
        <v>9</v>
      </c>
      <c r="D132" s="46">
        <v>4077.25</v>
      </c>
      <c r="E132" s="43">
        <v>1246.1817612186555</v>
      </c>
      <c r="F132" s="47">
        <v>4251.3653595471151</v>
      </c>
      <c r="G132" s="43"/>
      <c r="I132" s="451"/>
      <c r="J132" s="451"/>
      <c r="K132" s="451"/>
      <c r="L132" s="451"/>
      <c r="M132" s="451"/>
      <c r="N132" s="451"/>
    </row>
    <row r="133" spans="2:14" x14ac:dyDescent="0.25">
      <c r="B133" s="736"/>
      <c r="C133" s="451">
        <v>10</v>
      </c>
      <c r="D133" s="46">
        <v>3856.5000000000005</v>
      </c>
      <c r="E133" s="43">
        <v>1177.895470896075</v>
      </c>
      <c r="F133" s="47">
        <v>4234.8544072196646</v>
      </c>
      <c r="G133" s="43"/>
      <c r="I133" s="451"/>
      <c r="J133" s="451"/>
      <c r="K133" s="451"/>
      <c r="L133" s="451"/>
      <c r="M133" s="451"/>
      <c r="N133" s="451"/>
    </row>
    <row r="134" spans="2:14" x14ac:dyDescent="0.25">
      <c r="B134" s="736"/>
      <c r="C134" s="451">
        <v>11</v>
      </c>
      <c r="D134" s="46">
        <v>3642.0000000000005</v>
      </c>
      <c r="E134" s="43">
        <v>1176.9882202148438</v>
      </c>
      <c r="F134" s="47">
        <v>4147.8893055821354</v>
      </c>
      <c r="G134" s="43"/>
      <c r="I134" s="451"/>
      <c r="J134" s="451"/>
      <c r="K134" s="451"/>
      <c r="L134" s="451"/>
      <c r="M134" s="451"/>
      <c r="N134" s="451"/>
    </row>
    <row r="135" spans="2:14" x14ac:dyDescent="0.25">
      <c r="B135" s="736"/>
      <c r="C135" s="451">
        <v>12</v>
      </c>
      <c r="D135" s="46">
        <v>4209.25</v>
      </c>
      <c r="E135" s="43">
        <v>1012.5</v>
      </c>
      <c r="F135" s="47">
        <v>4200.949403347131</v>
      </c>
      <c r="G135" s="43"/>
      <c r="I135" s="451"/>
      <c r="J135" s="451"/>
      <c r="K135" s="451"/>
      <c r="L135" s="451"/>
      <c r="M135" s="451"/>
      <c r="N135" s="451"/>
    </row>
    <row r="136" spans="2:14" x14ac:dyDescent="0.25">
      <c r="B136" s="736"/>
      <c r="C136" s="451">
        <v>13</v>
      </c>
      <c r="D136" s="46">
        <v>4453</v>
      </c>
      <c r="E136" s="43">
        <v>1173.6290322580644</v>
      </c>
      <c r="F136" s="47">
        <v>4399.7007478310961</v>
      </c>
      <c r="G136" s="43"/>
      <c r="I136" s="451"/>
      <c r="J136" s="451"/>
      <c r="K136" s="451"/>
      <c r="L136" s="451"/>
      <c r="M136" s="451"/>
      <c r="N136" s="451"/>
    </row>
    <row r="137" spans="2:14" x14ac:dyDescent="0.25">
      <c r="B137" s="736"/>
      <c r="C137" s="451">
        <v>14</v>
      </c>
      <c r="D137" s="46">
        <v>4500.75</v>
      </c>
      <c r="E137" s="43">
        <v>1230.241935483871</v>
      </c>
      <c r="F137" s="47">
        <v>4441.6977213160353</v>
      </c>
      <c r="G137" s="43"/>
      <c r="I137" s="451"/>
      <c r="J137" s="451"/>
      <c r="K137" s="451"/>
      <c r="L137" s="451"/>
      <c r="M137" s="451"/>
      <c r="N137" s="451"/>
    </row>
    <row r="138" spans="2:14" x14ac:dyDescent="0.25">
      <c r="B138" s="736"/>
      <c r="C138" s="451">
        <v>15</v>
      </c>
      <c r="D138" s="46">
        <v>4105.75</v>
      </c>
      <c r="E138" s="43">
        <v>1284.2540322580644</v>
      </c>
      <c r="F138" s="47">
        <v>4299.2497181424196</v>
      </c>
      <c r="G138" s="43"/>
      <c r="I138" s="451"/>
      <c r="J138" s="451"/>
      <c r="K138" s="451"/>
      <c r="L138" s="451"/>
      <c r="M138" s="451"/>
      <c r="N138" s="451"/>
    </row>
    <row r="139" spans="2:14" x14ac:dyDescent="0.25">
      <c r="B139" s="736"/>
      <c r="C139" s="451">
        <v>16</v>
      </c>
      <c r="D139" s="46">
        <v>3846.25</v>
      </c>
      <c r="E139" s="43">
        <v>1395.0604838709678</v>
      </c>
      <c r="F139" s="47">
        <v>4265.5317261142573</v>
      </c>
      <c r="G139" s="43"/>
      <c r="I139" s="451"/>
      <c r="J139" s="451"/>
      <c r="K139" s="451"/>
      <c r="L139" s="451"/>
      <c r="M139" s="451"/>
      <c r="N139" s="451"/>
    </row>
    <row r="140" spans="2:14" x14ac:dyDescent="0.25">
      <c r="B140" s="736"/>
      <c r="C140" s="451">
        <v>17</v>
      </c>
      <c r="D140" s="46">
        <v>4404.5</v>
      </c>
      <c r="E140" s="43">
        <v>1630.8125</v>
      </c>
      <c r="F140" s="47">
        <v>4398.9185111233965</v>
      </c>
      <c r="G140" s="43"/>
      <c r="I140" s="451"/>
      <c r="J140" s="451"/>
      <c r="K140" s="451"/>
      <c r="L140" s="451"/>
      <c r="M140" s="451"/>
      <c r="N140" s="451"/>
    </row>
    <row r="141" spans="2:14" x14ac:dyDescent="0.25">
      <c r="B141" s="736"/>
      <c r="C141" s="451">
        <v>18</v>
      </c>
      <c r="D141" s="46">
        <v>5439.2500000000009</v>
      </c>
      <c r="E141" s="43">
        <v>1689.6249999999998</v>
      </c>
      <c r="F141" s="47">
        <v>4394.9320697377816</v>
      </c>
      <c r="G141" s="43"/>
      <c r="I141" s="451"/>
      <c r="J141" s="451"/>
      <c r="K141" s="451"/>
      <c r="L141" s="451"/>
      <c r="M141" s="451"/>
      <c r="N141" s="451"/>
    </row>
    <row r="142" spans="2:14" x14ac:dyDescent="0.25">
      <c r="B142" s="736"/>
      <c r="C142" s="451">
        <v>19</v>
      </c>
      <c r="D142" s="46">
        <v>5621</v>
      </c>
      <c r="E142" s="43">
        <v>1626.625</v>
      </c>
      <c r="F142" s="47">
        <v>4301.7467819749927</v>
      </c>
      <c r="G142" s="43"/>
      <c r="I142" s="451"/>
      <c r="J142" s="451"/>
      <c r="K142" s="451"/>
      <c r="L142" s="451"/>
      <c r="M142" s="451"/>
      <c r="N142" s="451"/>
    </row>
    <row r="143" spans="2:14" x14ac:dyDescent="0.25">
      <c r="B143" s="736"/>
      <c r="C143" s="451">
        <v>20</v>
      </c>
      <c r="D143" s="46">
        <v>5613.5</v>
      </c>
      <c r="E143" s="43">
        <v>1470.5624999999998</v>
      </c>
      <c r="F143" s="47">
        <v>4115.069576546086</v>
      </c>
      <c r="G143" s="43"/>
      <c r="I143" s="451"/>
      <c r="J143" s="451"/>
      <c r="K143" s="451"/>
      <c r="L143" s="451"/>
      <c r="M143" s="451"/>
      <c r="N143" s="451"/>
    </row>
    <row r="144" spans="2:14" x14ac:dyDescent="0.25">
      <c r="B144" s="736"/>
      <c r="C144" s="451">
        <v>21</v>
      </c>
      <c r="D144" s="46">
        <v>5396.75</v>
      </c>
      <c r="E144" s="43">
        <v>1430.3750000000002</v>
      </c>
      <c r="F144" s="47">
        <v>4004.9131682640814</v>
      </c>
      <c r="G144" s="43"/>
      <c r="I144" s="451"/>
      <c r="J144" s="451"/>
      <c r="K144" s="451"/>
      <c r="L144" s="451"/>
      <c r="M144" s="451"/>
      <c r="N144" s="451"/>
    </row>
    <row r="145" spans="2:14" x14ac:dyDescent="0.25">
      <c r="B145" s="736"/>
      <c r="C145" s="451">
        <v>22</v>
      </c>
      <c r="D145" s="46">
        <v>4707</v>
      </c>
      <c r="E145" s="43">
        <v>1392.625</v>
      </c>
      <c r="F145" s="47">
        <v>3603.6728182293837</v>
      </c>
      <c r="G145" s="43"/>
      <c r="I145" s="451"/>
      <c r="J145" s="451"/>
      <c r="K145" s="451"/>
      <c r="L145" s="451"/>
      <c r="M145" s="451"/>
      <c r="N145" s="451"/>
    </row>
    <row r="146" spans="2:14" x14ac:dyDescent="0.25">
      <c r="B146" s="736"/>
      <c r="C146" s="451">
        <v>23</v>
      </c>
      <c r="D146" s="46">
        <v>4487.25</v>
      </c>
      <c r="E146" s="43">
        <v>1162.4375000000002</v>
      </c>
      <c r="F146" s="47">
        <v>2949.9393469286656</v>
      </c>
      <c r="G146" s="43"/>
      <c r="I146" s="451"/>
      <c r="J146" s="451"/>
      <c r="K146" s="451"/>
      <c r="L146" s="451"/>
      <c r="M146" s="451"/>
      <c r="N146" s="451"/>
    </row>
    <row r="147" spans="2:14" x14ac:dyDescent="0.25">
      <c r="B147" s="736" t="s">
        <v>56</v>
      </c>
      <c r="C147" s="451">
        <v>0</v>
      </c>
      <c r="D147" s="46">
        <v>3834.677419354839</v>
      </c>
      <c r="E147" s="43">
        <v>884.0927419354839</v>
      </c>
      <c r="F147" s="47">
        <v>2890.2257156440965</v>
      </c>
      <c r="G147" s="43"/>
      <c r="I147" s="451"/>
      <c r="J147" s="451"/>
      <c r="K147" s="451"/>
      <c r="L147" s="451"/>
      <c r="M147" s="451"/>
      <c r="N147" s="451"/>
    </row>
    <row r="148" spans="2:14" x14ac:dyDescent="0.25">
      <c r="B148" s="736"/>
      <c r="C148" s="451">
        <v>1</v>
      </c>
      <c r="D148" s="46">
        <v>3669.677419354839</v>
      </c>
      <c r="E148" s="43">
        <v>808.48790322580635</v>
      </c>
      <c r="F148" s="47">
        <v>2833.333665136231</v>
      </c>
      <c r="G148" s="43"/>
      <c r="I148" s="451"/>
      <c r="J148" s="451"/>
      <c r="K148" s="451"/>
      <c r="L148" s="451"/>
      <c r="M148" s="451"/>
      <c r="N148" s="451"/>
    </row>
    <row r="149" spans="2:14" x14ac:dyDescent="0.25">
      <c r="B149" s="736"/>
      <c r="C149" s="451">
        <v>2</v>
      </c>
      <c r="D149" s="46">
        <v>3537.5806451612902</v>
      </c>
      <c r="E149" s="43">
        <v>777.82258064516122</v>
      </c>
      <c r="F149" s="47">
        <v>2796.6074777268636</v>
      </c>
      <c r="G149" s="43"/>
      <c r="I149" s="451"/>
      <c r="J149" s="451"/>
      <c r="K149" s="451"/>
      <c r="L149" s="451"/>
      <c r="M149" s="451"/>
      <c r="N149" s="451"/>
    </row>
    <row r="150" spans="2:14" x14ac:dyDescent="0.25">
      <c r="B150" s="736"/>
      <c r="C150" s="451">
        <v>3</v>
      </c>
      <c r="D150" s="46">
        <v>3535.4032258064517</v>
      </c>
      <c r="E150" s="43">
        <v>770.92741935483878</v>
      </c>
      <c r="F150" s="47">
        <v>2738.6170238248878</v>
      </c>
      <c r="G150" s="43"/>
      <c r="I150" s="451"/>
      <c r="J150" s="451"/>
      <c r="K150" s="451"/>
      <c r="L150" s="451"/>
      <c r="M150" s="451"/>
      <c r="N150" s="451"/>
    </row>
    <row r="151" spans="2:14" x14ac:dyDescent="0.25">
      <c r="B151" s="736"/>
      <c r="C151" s="451">
        <v>4</v>
      </c>
      <c r="D151" s="46">
        <v>3525.4838709677415</v>
      </c>
      <c r="E151" s="43">
        <v>759.67741935483878</v>
      </c>
      <c r="F151" s="47">
        <v>2851.157507707645</v>
      </c>
      <c r="G151" s="43"/>
      <c r="I151" s="451"/>
      <c r="J151" s="451"/>
      <c r="K151" s="451"/>
      <c r="L151" s="451"/>
      <c r="M151" s="451"/>
      <c r="N151" s="451"/>
    </row>
    <row r="152" spans="2:14" x14ac:dyDescent="0.25">
      <c r="B152" s="736"/>
      <c r="C152" s="451">
        <v>5</v>
      </c>
      <c r="D152" s="46">
        <v>3508.7903225806444</v>
      </c>
      <c r="E152" s="43">
        <v>781.875</v>
      </c>
      <c r="F152" s="47">
        <v>3154.5257538074302</v>
      </c>
      <c r="G152" s="43"/>
      <c r="I152" s="451"/>
      <c r="J152" s="451"/>
      <c r="K152" s="451"/>
      <c r="L152" s="451"/>
      <c r="M152" s="451"/>
      <c r="N152" s="451"/>
    </row>
    <row r="153" spans="2:14" x14ac:dyDescent="0.25">
      <c r="B153" s="736"/>
      <c r="C153" s="451">
        <v>6</v>
      </c>
      <c r="D153" s="46">
        <v>3646.6935483870971</v>
      </c>
      <c r="E153" s="43">
        <v>901.57258064516122</v>
      </c>
      <c r="F153" s="47">
        <v>3387.3863008635303</v>
      </c>
      <c r="G153" s="43"/>
      <c r="I153" s="451"/>
      <c r="J153" s="451"/>
      <c r="K153" s="451"/>
      <c r="L153" s="451"/>
      <c r="M153" s="451"/>
      <c r="N153" s="451"/>
    </row>
    <row r="154" spans="2:14" x14ac:dyDescent="0.25">
      <c r="B154" s="736"/>
      <c r="C154" s="451">
        <v>7</v>
      </c>
      <c r="D154" s="46">
        <v>3566.8548387096776</v>
      </c>
      <c r="E154" s="43">
        <v>1174.5362903225805</v>
      </c>
      <c r="F154" s="47">
        <v>3817.3502607092264</v>
      </c>
      <c r="G154" s="43"/>
      <c r="I154" s="451"/>
      <c r="J154" s="451"/>
      <c r="K154" s="451"/>
      <c r="L154" s="451"/>
      <c r="M154" s="451"/>
      <c r="N154" s="451"/>
    </row>
    <row r="155" spans="2:14" x14ac:dyDescent="0.25">
      <c r="B155" s="736"/>
      <c r="C155" s="451">
        <v>8</v>
      </c>
      <c r="D155" s="46">
        <v>3425.0806451612902</v>
      </c>
      <c r="E155" s="43">
        <v>1268.891129032258</v>
      </c>
      <c r="F155" s="47">
        <v>4259.2364957383934</v>
      </c>
      <c r="G155" s="43"/>
      <c r="I155" s="451"/>
      <c r="J155" s="451"/>
      <c r="K155" s="451"/>
      <c r="L155" s="451"/>
      <c r="M155" s="451"/>
      <c r="N155" s="451"/>
    </row>
    <row r="156" spans="2:14" x14ac:dyDescent="0.25">
      <c r="B156" s="736"/>
      <c r="C156" s="451">
        <v>9</v>
      </c>
      <c r="D156" s="46">
        <v>3607.7419354838707</v>
      </c>
      <c r="E156" s="43">
        <v>1270.0403225806454</v>
      </c>
      <c r="F156" s="47">
        <v>4467.7646706683799</v>
      </c>
      <c r="G156" s="43"/>
      <c r="I156" s="451"/>
      <c r="J156" s="451"/>
      <c r="K156" s="451"/>
      <c r="L156" s="451"/>
      <c r="M156" s="451"/>
      <c r="N156" s="451"/>
    </row>
    <row r="157" spans="2:14" x14ac:dyDescent="0.25">
      <c r="B157" s="736"/>
      <c r="C157" s="451">
        <v>10</v>
      </c>
      <c r="D157" s="46">
        <v>3374.0322580645161</v>
      </c>
      <c r="E157" s="43">
        <v>1173.4475806451612</v>
      </c>
      <c r="F157" s="47">
        <v>4452.7089699750513</v>
      </c>
      <c r="G157" s="43"/>
      <c r="I157" s="451"/>
      <c r="J157" s="451"/>
      <c r="K157" s="451"/>
      <c r="L157" s="451"/>
      <c r="M157" s="451"/>
      <c r="N157" s="451"/>
    </row>
    <row r="158" spans="2:14" x14ac:dyDescent="0.25">
      <c r="B158" s="736"/>
      <c r="C158" s="451">
        <v>11</v>
      </c>
      <c r="D158" s="46">
        <v>3396.2903225806449</v>
      </c>
      <c r="E158" s="43">
        <v>1111.9354838709676</v>
      </c>
      <c r="F158" s="47">
        <v>4310.2055883140665</v>
      </c>
      <c r="G158" s="43"/>
      <c r="I158" s="451"/>
      <c r="J158" s="451"/>
      <c r="K158" s="451"/>
      <c r="L158" s="451"/>
      <c r="M158" s="451"/>
      <c r="N158" s="451"/>
    </row>
    <row r="159" spans="2:14" x14ac:dyDescent="0.25">
      <c r="B159" s="736"/>
      <c r="C159" s="451">
        <v>12</v>
      </c>
      <c r="D159" s="46">
        <v>3757.5</v>
      </c>
      <c r="E159" s="43">
        <v>1093.366935483871</v>
      </c>
      <c r="F159" s="47">
        <v>4412.9443793746796</v>
      </c>
      <c r="G159" s="43"/>
      <c r="I159" s="451"/>
      <c r="J159" s="451"/>
      <c r="K159" s="451"/>
      <c r="L159" s="451"/>
      <c r="M159" s="451"/>
      <c r="N159" s="451"/>
    </row>
    <row r="160" spans="2:14" x14ac:dyDescent="0.25">
      <c r="B160" s="736"/>
      <c r="C160" s="451">
        <v>13</v>
      </c>
      <c r="D160" s="46">
        <v>3971.1290322580644</v>
      </c>
      <c r="E160" s="43">
        <v>1173.6290322580644</v>
      </c>
      <c r="F160" s="47">
        <v>4623.8848583978615</v>
      </c>
      <c r="G160" s="43"/>
      <c r="I160" s="451"/>
      <c r="J160" s="451"/>
      <c r="K160" s="451"/>
      <c r="L160" s="451"/>
      <c r="M160" s="451"/>
      <c r="N160" s="451"/>
    </row>
    <row r="161" spans="2:14" x14ac:dyDescent="0.25">
      <c r="B161" s="736"/>
      <c r="C161" s="451">
        <v>14</v>
      </c>
      <c r="D161" s="46">
        <v>3885.7258064516127</v>
      </c>
      <c r="E161" s="43">
        <v>1200.241935483871</v>
      </c>
      <c r="F161" s="47">
        <v>4696.614544270511</v>
      </c>
      <c r="G161" s="43"/>
      <c r="I161" s="451"/>
      <c r="J161" s="451"/>
      <c r="K161" s="451"/>
      <c r="L161" s="451"/>
      <c r="M161" s="451"/>
      <c r="N161" s="451"/>
    </row>
    <row r="162" spans="2:14" x14ac:dyDescent="0.25">
      <c r="B162" s="736"/>
      <c r="C162" s="451">
        <v>15</v>
      </c>
      <c r="D162" s="46">
        <v>3653.4677419354839</v>
      </c>
      <c r="E162" s="43">
        <v>1169.4556451612905</v>
      </c>
      <c r="F162" s="47">
        <v>4512.9991536439984</v>
      </c>
      <c r="G162" s="43"/>
      <c r="I162" s="451"/>
      <c r="J162" s="451"/>
      <c r="K162" s="451"/>
      <c r="L162" s="451"/>
      <c r="M162" s="451"/>
      <c r="N162" s="451"/>
    </row>
    <row r="163" spans="2:14" x14ac:dyDescent="0.25">
      <c r="B163" s="736"/>
      <c r="C163" s="451">
        <v>16</v>
      </c>
      <c r="D163" s="46">
        <v>3306.5322580645161</v>
      </c>
      <c r="E163" s="43">
        <v>1184.2137096774195</v>
      </c>
      <c r="F163" s="47">
        <v>4496.7255969379003</v>
      </c>
      <c r="G163" s="43"/>
      <c r="I163" s="451"/>
      <c r="J163" s="451"/>
      <c r="K163" s="451"/>
      <c r="L163" s="451"/>
      <c r="M163" s="451"/>
      <c r="N163" s="451"/>
    </row>
    <row r="164" spans="2:14" x14ac:dyDescent="0.25">
      <c r="B164" s="736"/>
      <c r="C164" s="451">
        <v>17</v>
      </c>
      <c r="D164" s="46">
        <v>3725.0806451612902</v>
      </c>
      <c r="E164" s="43">
        <v>1436.1290322580644</v>
      </c>
      <c r="F164" s="47">
        <v>4666.7510788804893</v>
      </c>
      <c r="G164" s="43"/>
      <c r="I164" s="451"/>
      <c r="J164" s="451"/>
      <c r="K164" s="451"/>
      <c r="L164" s="451"/>
      <c r="M164" s="451"/>
      <c r="N164" s="451"/>
    </row>
    <row r="165" spans="2:14" x14ac:dyDescent="0.25">
      <c r="B165" s="736"/>
      <c r="C165" s="451">
        <v>18</v>
      </c>
      <c r="D165" s="46">
        <v>4144.5967741935483</v>
      </c>
      <c r="E165" s="43">
        <v>1518.8104838709678</v>
      </c>
      <c r="F165" s="47">
        <v>4804.3930550123878</v>
      </c>
      <c r="G165" s="43"/>
      <c r="I165" s="451"/>
      <c r="J165" s="451"/>
      <c r="K165" s="451"/>
      <c r="L165" s="451"/>
      <c r="M165" s="451"/>
      <c r="N165" s="451"/>
    </row>
    <row r="166" spans="2:14" x14ac:dyDescent="0.25">
      <c r="B166" s="736"/>
      <c r="C166" s="451">
        <v>19</v>
      </c>
      <c r="D166" s="46">
        <v>4402.0161290322576</v>
      </c>
      <c r="E166" s="43">
        <v>1413.3870967741932</v>
      </c>
      <c r="F166" s="47">
        <v>4693.2451565809397</v>
      </c>
      <c r="G166" s="43"/>
      <c r="I166" s="451"/>
      <c r="J166" s="451"/>
      <c r="K166" s="451"/>
      <c r="L166" s="451"/>
      <c r="M166" s="451"/>
      <c r="N166" s="451"/>
    </row>
    <row r="167" spans="2:14" x14ac:dyDescent="0.25">
      <c r="B167" s="736"/>
      <c r="C167" s="451">
        <v>20</v>
      </c>
      <c r="D167" s="46">
        <v>4362.0967741935483</v>
      </c>
      <c r="E167" s="43">
        <v>1295.141129032258</v>
      </c>
      <c r="F167" s="47">
        <v>4509.6797798461694</v>
      </c>
      <c r="G167" s="43"/>
      <c r="I167" s="451"/>
      <c r="J167" s="451"/>
      <c r="K167" s="451"/>
      <c r="L167" s="451"/>
      <c r="M167" s="451"/>
      <c r="N167" s="451"/>
    </row>
    <row r="168" spans="2:14" x14ac:dyDescent="0.25">
      <c r="B168" s="736"/>
      <c r="C168" s="451">
        <v>21</v>
      </c>
      <c r="D168" s="46">
        <v>4270.1612903225814</v>
      </c>
      <c r="E168" s="43">
        <v>1198.7298387096776</v>
      </c>
      <c r="F168" s="47">
        <v>4368.3466537172526</v>
      </c>
      <c r="G168" s="43"/>
      <c r="I168" s="451"/>
      <c r="J168" s="451"/>
      <c r="K168" s="451"/>
      <c r="L168" s="451"/>
      <c r="M168" s="451"/>
      <c r="N168" s="451"/>
    </row>
    <row r="169" spans="2:14" x14ac:dyDescent="0.25">
      <c r="B169" s="736"/>
      <c r="C169" s="451">
        <v>22</v>
      </c>
      <c r="D169" s="46">
        <v>4150.8870967741941</v>
      </c>
      <c r="E169" s="43">
        <v>1194.616935483871</v>
      </c>
      <c r="F169" s="47">
        <v>3828.2849298153001</v>
      </c>
      <c r="G169" s="43"/>
      <c r="I169" s="451"/>
      <c r="J169" s="451"/>
      <c r="K169" s="451"/>
      <c r="L169" s="451"/>
      <c r="M169" s="451"/>
      <c r="N169" s="451"/>
    </row>
    <row r="170" spans="2:14" x14ac:dyDescent="0.25">
      <c r="B170" s="736"/>
      <c r="C170" s="451">
        <v>23</v>
      </c>
      <c r="D170" s="46">
        <v>3780.9677419354834</v>
      </c>
      <c r="E170" s="43">
        <v>920.32258064516122</v>
      </c>
      <c r="F170" s="47">
        <v>3192.656544697034</v>
      </c>
      <c r="G170" s="43"/>
      <c r="I170" s="451"/>
      <c r="J170" s="451"/>
      <c r="K170" s="451"/>
      <c r="L170" s="451"/>
      <c r="M170" s="451"/>
      <c r="N170" s="451"/>
    </row>
    <row r="171" spans="2:14" x14ac:dyDescent="0.25">
      <c r="B171" s="736" t="s">
        <v>57</v>
      </c>
      <c r="C171" s="451">
        <v>0</v>
      </c>
      <c r="D171" s="46">
        <v>3949</v>
      </c>
      <c r="E171" s="43">
        <v>799.56250000000011</v>
      </c>
      <c r="F171" s="47">
        <v>3070.5434254657275</v>
      </c>
      <c r="G171" s="43"/>
      <c r="I171" s="451"/>
      <c r="J171" s="451"/>
      <c r="K171" s="451"/>
      <c r="L171" s="451"/>
      <c r="M171" s="451"/>
      <c r="N171" s="451"/>
    </row>
    <row r="172" spans="2:14" x14ac:dyDescent="0.25">
      <c r="B172" s="736"/>
      <c r="C172" s="451">
        <v>1</v>
      </c>
      <c r="D172" s="46">
        <v>3809</v>
      </c>
      <c r="E172" s="43">
        <v>744</v>
      </c>
      <c r="F172" s="47">
        <v>3002.9527890925137</v>
      </c>
      <c r="G172" s="43"/>
      <c r="I172" s="451"/>
      <c r="J172" s="451"/>
      <c r="K172" s="451"/>
      <c r="L172" s="451"/>
      <c r="M172" s="451"/>
      <c r="N172" s="451"/>
    </row>
    <row r="173" spans="2:14" x14ac:dyDescent="0.25">
      <c r="B173" s="736"/>
      <c r="C173" s="451">
        <v>2</v>
      </c>
      <c r="D173" s="46">
        <v>3759.75</v>
      </c>
      <c r="E173" s="43">
        <v>679.125</v>
      </c>
      <c r="F173" s="47">
        <v>2944.1836573948249</v>
      </c>
      <c r="G173" s="43"/>
      <c r="I173" s="451"/>
      <c r="J173" s="451"/>
      <c r="K173" s="451"/>
      <c r="L173" s="451"/>
      <c r="M173" s="451"/>
      <c r="N173" s="451"/>
    </row>
    <row r="174" spans="2:14" x14ac:dyDescent="0.25">
      <c r="B174" s="736"/>
      <c r="C174" s="451">
        <v>3</v>
      </c>
      <c r="D174" s="46">
        <v>3709.5</v>
      </c>
      <c r="E174" s="43">
        <v>656.5</v>
      </c>
      <c r="F174" s="47">
        <v>2893.6615982868466</v>
      </c>
      <c r="G174" s="43"/>
      <c r="I174" s="451"/>
      <c r="J174" s="451"/>
      <c r="K174" s="451"/>
      <c r="L174" s="451"/>
      <c r="M174" s="451"/>
      <c r="N174" s="451"/>
    </row>
    <row r="175" spans="2:14" x14ac:dyDescent="0.25">
      <c r="B175" s="736"/>
      <c r="C175" s="451">
        <v>4</v>
      </c>
      <c r="D175" s="46">
        <v>3695</v>
      </c>
      <c r="E175" s="43">
        <v>646.5</v>
      </c>
      <c r="F175" s="47">
        <v>3013.2853102124091</v>
      </c>
      <c r="G175" s="43"/>
      <c r="I175" s="451"/>
      <c r="J175" s="451"/>
      <c r="K175" s="451"/>
      <c r="L175" s="451"/>
      <c r="M175" s="451"/>
      <c r="N175" s="451"/>
    </row>
    <row r="176" spans="2:14" x14ac:dyDescent="0.25">
      <c r="B176" s="736"/>
      <c r="C176" s="451">
        <v>5</v>
      </c>
      <c r="D176" s="46">
        <v>3777.5000000000005</v>
      </c>
      <c r="E176" s="43">
        <v>674.25000000000011</v>
      </c>
      <c r="F176" s="47">
        <v>3311.0831217967107</v>
      </c>
      <c r="G176" s="43"/>
      <c r="I176" s="451"/>
      <c r="J176" s="451"/>
      <c r="K176" s="451"/>
      <c r="L176" s="451"/>
      <c r="M176" s="451"/>
      <c r="N176" s="451"/>
    </row>
    <row r="177" spans="2:14" x14ac:dyDescent="0.25">
      <c r="B177" s="736"/>
      <c r="C177" s="451">
        <v>6</v>
      </c>
      <c r="D177" s="46">
        <v>3755.25</v>
      </c>
      <c r="E177" s="43">
        <v>773.50000000000011</v>
      </c>
      <c r="F177" s="47">
        <v>3594.0184865032243</v>
      </c>
      <c r="G177" s="43"/>
      <c r="I177" s="451"/>
      <c r="J177" s="451"/>
      <c r="K177" s="451"/>
      <c r="L177" s="451"/>
      <c r="M177" s="451"/>
      <c r="N177" s="451"/>
    </row>
    <row r="178" spans="2:14" x14ac:dyDescent="0.25">
      <c r="B178" s="736"/>
      <c r="C178" s="451">
        <v>7</v>
      </c>
      <c r="D178" s="46">
        <v>3576.25</v>
      </c>
      <c r="E178" s="43">
        <v>1086.8125</v>
      </c>
      <c r="F178" s="47">
        <v>4068.6786075279392</v>
      </c>
      <c r="G178" s="43"/>
      <c r="I178" s="451"/>
      <c r="J178" s="451"/>
      <c r="K178" s="451"/>
      <c r="L178" s="451"/>
      <c r="M178" s="451"/>
      <c r="N178" s="451"/>
    </row>
    <row r="179" spans="2:14" x14ac:dyDescent="0.25">
      <c r="B179" s="736"/>
      <c r="C179" s="451">
        <v>8</v>
      </c>
      <c r="D179" s="46">
        <v>3485.9999999999995</v>
      </c>
      <c r="E179" s="43">
        <v>1146.5000000000002</v>
      </c>
      <c r="F179" s="47">
        <v>4521.6741296584241</v>
      </c>
      <c r="G179" s="43"/>
      <c r="I179" s="451"/>
      <c r="J179" s="451"/>
      <c r="K179" s="451"/>
      <c r="L179" s="451"/>
      <c r="M179" s="451"/>
      <c r="N179" s="451"/>
    </row>
    <row r="180" spans="2:14" x14ac:dyDescent="0.25">
      <c r="B180" s="736"/>
      <c r="C180" s="451">
        <v>9</v>
      </c>
      <c r="D180" s="46">
        <v>3534.5</v>
      </c>
      <c r="E180" s="43">
        <v>1085.8125</v>
      </c>
      <c r="F180" s="47">
        <v>4773.7103141543139</v>
      </c>
      <c r="G180" s="43"/>
      <c r="I180" s="451"/>
      <c r="J180" s="451"/>
      <c r="K180" s="451"/>
      <c r="L180" s="451"/>
      <c r="M180" s="451"/>
      <c r="N180" s="451"/>
    </row>
    <row r="181" spans="2:14" x14ac:dyDescent="0.25">
      <c r="B181" s="736"/>
      <c r="C181" s="451">
        <v>10</v>
      </c>
      <c r="D181" s="46">
        <v>3545.0000000000005</v>
      </c>
      <c r="E181" s="43">
        <v>1071.4375</v>
      </c>
      <c r="F181" s="47">
        <v>4700.7032137768456</v>
      </c>
      <c r="G181" s="43"/>
      <c r="I181" s="451"/>
      <c r="J181" s="451"/>
      <c r="K181" s="451"/>
      <c r="L181" s="451"/>
      <c r="M181" s="451"/>
      <c r="N181" s="451"/>
    </row>
    <row r="182" spans="2:14" x14ac:dyDescent="0.25">
      <c r="B182" s="736"/>
      <c r="C182" s="451">
        <v>11</v>
      </c>
      <c r="D182" s="46">
        <v>3293.25</v>
      </c>
      <c r="E182" s="43">
        <v>999.3125</v>
      </c>
      <c r="F182" s="47">
        <v>4611.5288386122193</v>
      </c>
      <c r="G182" s="43"/>
      <c r="I182" s="451"/>
      <c r="J182" s="451"/>
      <c r="K182" s="451"/>
      <c r="L182" s="451"/>
      <c r="M182" s="451"/>
      <c r="N182" s="451"/>
    </row>
    <row r="183" spans="2:14" x14ac:dyDescent="0.25">
      <c r="B183" s="736"/>
      <c r="C183" s="451">
        <v>12</v>
      </c>
      <c r="D183" s="46">
        <v>3978.2499999999991</v>
      </c>
      <c r="E183" s="43">
        <v>946.12500000000011</v>
      </c>
      <c r="F183" s="47">
        <v>4652.3743634068487</v>
      </c>
      <c r="G183" s="43"/>
      <c r="I183" s="451"/>
      <c r="J183" s="451"/>
      <c r="K183" s="451"/>
      <c r="L183" s="451"/>
      <c r="M183" s="451"/>
      <c r="N183" s="451"/>
    </row>
    <row r="184" spans="2:14" x14ac:dyDescent="0.25">
      <c r="B184" s="736"/>
      <c r="C184" s="451">
        <v>13</v>
      </c>
      <c r="D184" s="46">
        <v>3947.7500000000005</v>
      </c>
      <c r="E184" s="43">
        <v>992.5625</v>
      </c>
      <c r="F184" s="47">
        <v>4931.7710312011641</v>
      </c>
      <c r="G184" s="43"/>
      <c r="I184" s="451"/>
      <c r="J184" s="451"/>
      <c r="K184" s="451"/>
      <c r="L184" s="451"/>
      <c r="M184" s="451"/>
      <c r="N184" s="451"/>
    </row>
    <row r="185" spans="2:14" x14ac:dyDescent="0.25">
      <c r="B185" s="736"/>
      <c r="C185" s="451">
        <v>14</v>
      </c>
      <c r="D185" s="46">
        <v>4110</v>
      </c>
      <c r="E185" s="43">
        <v>1067.25</v>
      </c>
      <c r="F185" s="47">
        <v>4952.42143171107</v>
      </c>
      <c r="G185" s="43"/>
      <c r="I185" s="451"/>
      <c r="J185" s="451"/>
      <c r="K185" s="451"/>
      <c r="L185" s="451"/>
      <c r="M185" s="451"/>
      <c r="N185" s="451"/>
    </row>
    <row r="186" spans="2:14" x14ac:dyDescent="0.25">
      <c r="B186" s="736"/>
      <c r="C186" s="451">
        <v>15</v>
      </c>
      <c r="D186" s="46">
        <v>3885.5000000000009</v>
      </c>
      <c r="E186" s="43">
        <v>1062.3125</v>
      </c>
      <c r="F186" s="47">
        <v>4754.151256836094</v>
      </c>
      <c r="G186" s="43"/>
      <c r="I186" s="451"/>
      <c r="J186" s="451"/>
      <c r="K186" s="451"/>
      <c r="L186" s="451"/>
      <c r="M186" s="451"/>
      <c r="N186" s="451"/>
    </row>
    <row r="187" spans="2:14" x14ac:dyDescent="0.25">
      <c r="B187" s="736"/>
      <c r="C187" s="451">
        <v>16</v>
      </c>
      <c r="D187" s="46">
        <v>3494.5</v>
      </c>
      <c r="E187" s="43">
        <v>1064.5625</v>
      </c>
      <c r="F187" s="47">
        <v>4742.5371403257868</v>
      </c>
      <c r="G187" s="43"/>
      <c r="I187" s="451"/>
      <c r="J187" s="451"/>
      <c r="K187" s="451"/>
      <c r="L187" s="451"/>
      <c r="M187" s="451"/>
      <c r="N187" s="451"/>
    </row>
    <row r="188" spans="2:14" x14ac:dyDescent="0.25">
      <c r="B188" s="736"/>
      <c r="C188" s="451">
        <v>17</v>
      </c>
      <c r="D188" s="46">
        <v>3841.75</v>
      </c>
      <c r="E188" s="43">
        <v>1216.875</v>
      </c>
      <c r="F188" s="47">
        <v>4942.8661126953102</v>
      </c>
      <c r="G188" s="43"/>
      <c r="I188" s="451"/>
      <c r="J188" s="451"/>
      <c r="K188" s="451"/>
      <c r="L188" s="451"/>
      <c r="M188" s="451"/>
      <c r="N188" s="451"/>
    </row>
    <row r="189" spans="2:14" x14ac:dyDescent="0.25">
      <c r="B189" s="736"/>
      <c r="C189" s="451">
        <v>18</v>
      </c>
      <c r="D189" s="46">
        <v>4559.5</v>
      </c>
      <c r="E189" s="43">
        <v>1415.3750000000002</v>
      </c>
      <c r="F189" s="47">
        <v>5026.9249628697398</v>
      </c>
      <c r="G189" s="43"/>
      <c r="I189" s="451"/>
      <c r="J189" s="451"/>
      <c r="K189" s="451"/>
      <c r="L189" s="451"/>
      <c r="M189" s="451"/>
      <c r="N189" s="451"/>
    </row>
    <row r="190" spans="2:14" x14ac:dyDescent="0.25">
      <c r="B190" s="736"/>
      <c r="C190" s="451">
        <v>19</v>
      </c>
      <c r="D190" s="46">
        <v>4901.7500000000009</v>
      </c>
      <c r="E190" s="43">
        <v>1381.1874999999998</v>
      </c>
      <c r="F190" s="47">
        <v>4893.9604683564885</v>
      </c>
      <c r="G190" s="43"/>
      <c r="I190" s="451"/>
      <c r="J190" s="451"/>
      <c r="K190" s="451"/>
      <c r="L190" s="451"/>
      <c r="M190" s="451"/>
      <c r="N190" s="451"/>
    </row>
    <row r="191" spans="2:14" x14ac:dyDescent="0.25">
      <c r="B191" s="736"/>
      <c r="C191" s="451">
        <v>20</v>
      </c>
      <c r="D191" s="46">
        <v>4860.25</v>
      </c>
      <c r="E191" s="43">
        <v>1083.75</v>
      </c>
      <c r="F191" s="47">
        <v>4700.1678988740132</v>
      </c>
      <c r="G191" s="43"/>
      <c r="I191" s="451"/>
      <c r="J191" s="451"/>
      <c r="K191" s="451"/>
      <c r="L191" s="451"/>
      <c r="M191" s="451"/>
      <c r="N191" s="451"/>
    </row>
    <row r="192" spans="2:14" x14ac:dyDescent="0.25">
      <c r="B192" s="736"/>
      <c r="C192" s="451">
        <v>21</v>
      </c>
      <c r="D192" s="46">
        <v>4668.2499999999991</v>
      </c>
      <c r="E192" s="43">
        <v>995.81250000000011</v>
      </c>
      <c r="F192" s="47">
        <v>4572.1790208440007</v>
      </c>
      <c r="G192" s="43"/>
      <c r="I192" s="451"/>
      <c r="J192" s="451"/>
      <c r="K192" s="451"/>
      <c r="L192" s="451"/>
      <c r="M192" s="451"/>
      <c r="N192" s="451"/>
    </row>
    <row r="193" spans="2:14" x14ac:dyDescent="0.25">
      <c r="B193" s="736"/>
      <c r="C193" s="451">
        <v>22</v>
      </c>
      <c r="D193" s="46">
        <v>4368.25</v>
      </c>
      <c r="E193" s="43">
        <v>980.125</v>
      </c>
      <c r="F193" s="47">
        <v>4041.133742004929</v>
      </c>
      <c r="G193" s="43"/>
      <c r="I193" s="451"/>
      <c r="J193" s="451"/>
      <c r="K193" s="451"/>
      <c r="L193" s="451"/>
      <c r="M193" s="451"/>
      <c r="N193" s="451"/>
    </row>
    <row r="194" spans="2:14" x14ac:dyDescent="0.25">
      <c r="B194" s="736"/>
      <c r="C194" s="451">
        <v>23</v>
      </c>
      <c r="D194" s="46">
        <v>4072.75</v>
      </c>
      <c r="E194" s="43">
        <v>792.5</v>
      </c>
      <c r="F194" s="47">
        <v>3349.5076339481357</v>
      </c>
      <c r="G194" s="43"/>
      <c r="I194" s="451"/>
      <c r="J194" s="451"/>
      <c r="K194" s="451"/>
      <c r="L194" s="451"/>
      <c r="M194" s="451"/>
      <c r="N194" s="451"/>
    </row>
    <row r="195" spans="2:14" x14ac:dyDescent="0.25">
      <c r="B195" s="736" t="s">
        <v>58</v>
      </c>
      <c r="C195" s="451">
        <v>0</v>
      </c>
      <c r="D195" s="46">
        <v>4918.0645161290322</v>
      </c>
      <c r="E195" s="43">
        <v>863.04435483870975</v>
      </c>
      <c r="F195" s="47">
        <v>3014.6050558912839</v>
      </c>
      <c r="G195" s="43"/>
      <c r="I195" s="451"/>
      <c r="J195" s="451"/>
      <c r="K195" s="451"/>
      <c r="L195" s="451"/>
      <c r="M195" s="451"/>
      <c r="N195" s="451"/>
    </row>
    <row r="196" spans="2:14" x14ac:dyDescent="0.25">
      <c r="B196" s="736"/>
      <c r="C196" s="451">
        <v>1</v>
      </c>
      <c r="D196" s="46">
        <v>4929.1935483870966</v>
      </c>
      <c r="E196" s="43">
        <v>821.91532258064512</v>
      </c>
      <c r="F196" s="47">
        <v>2909.444986965651</v>
      </c>
      <c r="G196" s="43"/>
      <c r="I196" s="451"/>
      <c r="J196" s="451"/>
      <c r="K196" s="451"/>
      <c r="L196" s="451"/>
      <c r="M196" s="451"/>
      <c r="N196" s="451"/>
    </row>
    <row r="197" spans="2:14" x14ac:dyDescent="0.25">
      <c r="B197" s="736"/>
      <c r="C197" s="451">
        <v>2</v>
      </c>
      <c r="D197" s="46">
        <v>4876.9354838709678</v>
      </c>
      <c r="E197" s="43">
        <v>742.92338709677426</v>
      </c>
      <c r="F197" s="47">
        <v>2848.5295435803237</v>
      </c>
      <c r="G197" s="43"/>
      <c r="I197" s="451"/>
      <c r="J197" s="451"/>
      <c r="K197" s="451"/>
      <c r="L197" s="451"/>
      <c r="M197" s="451"/>
      <c r="N197" s="451"/>
    </row>
    <row r="198" spans="2:14" x14ac:dyDescent="0.25">
      <c r="B198" s="736"/>
      <c r="C198" s="451">
        <v>3</v>
      </c>
      <c r="D198" s="46">
        <v>4775.8064516129034</v>
      </c>
      <c r="E198" s="43">
        <v>704.51612903225805</v>
      </c>
      <c r="F198" s="47">
        <v>2806.8231787150235</v>
      </c>
      <c r="G198" s="43"/>
      <c r="I198" s="451"/>
      <c r="J198" s="451"/>
      <c r="K198" s="451"/>
      <c r="L198" s="451"/>
      <c r="M198" s="451"/>
      <c r="N198" s="451"/>
    </row>
    <row r="199" spans="2:14" x14ac:dyDescent="0.25">
      <c r="B199" s="736"/>
      <c r="C199" s="451">
        <v>4</v>
      </c>
      <c r="D199" s="46">
        <v>4676.1290322580644</v>
      </c>
      <c r="E199" s="43">
        <v>711.83467741935488</v>
      </c>
      <c r="F199" s="47">
        <v>2950.0750578448637</v>
      </c>
      <c r="G199" s="43"/>
      <c r="I199" s="451"/>
      <c r="J199" s="451"/>
      <c r="K199" s="451"/>
      <c r="L199" s="451"/>
      <c r="M199" s="451"/>
      <c r="N199" s="451"/>
    </row>
    <row r="200" spans="2:14" x14ac:dyDescent="0.25">
      <c r="B200" s="736"/>
      <c r="C200" s="451">
        <v>5</v>
      </c>
      <c r="D200" s="46">
        <v>4581.2903225806449</v>
      </c>
      <c r="E200" s="43">
        <v>723.9314516129034</v>
      </c>
      <c r="F200" s="47">
        <v>3300.0456512458186</v>
      </c>
      <c r="G200" s="43"/>
      <c r="I200" s="451"/>
      <c r="J200" s="451"/>
      <c r="K200" s="451"/>
      <c r="L200" s="451"/>
      <c r="M200" s="451"/>
      <c r="N200" s="451"/>
    </row>
    <row r="201" spans="2:14" x14ac:dyDescent="0.25">
      <c r="B201" s="736"/>
      <c r="C201" s="451">
        <v>6</v>
      </c>
      <c r="D201" s="46">
        <v>4658.9516129032254</v>
      </c>
      <c r="E201" s="43">
        <v>835.4032258064517</v>
      </c>
      <c r="F201" s="47">
        <v>3572.002728675765</v>
      </c>
      <c r="G201" s="43"/>
      <c r="I201" s="451"/>
      <c r="J201" s="451"/>
      <c r="K201" s="451"/>
      <c r="L201" s="451"/>
      <c r="M201" s="451"/>
      <c r="N201" s="451"/>
    </row>
    <row r="202" spans="2:14" x14ac:dyDescent="0.25">
      <c r="B202" s="736"/>
      <c r="C202" s="451">
        <v>7</v>
      </c>
      <c r="D202" s="46">
        <v>4532.6612903225814</v>
      </c>
      <c r="E202" s="43">
        <v>1120.5241935483871</v>
      </c>
      <c r="F202" s="47">
        <v>4052.5084918550015</v>
      </c>
      <c r="G202" s="43"/>
      <c r="I202" s="451"/>
      <c r="J202" s="451"/>
      <c r="K202" s="451"/>
      <c r="L202" s="451"/>
      <c r="M202" s="451"/>
      <c r="N202" s="451"/>
    </row>
    <row r="203" spans="2:14" x14ac:dyDescent="0.25">
      <c r="B203" s="736"/>
      <c r="C203" s="451">
        <v>8</v>
      </c>
      <c r="D203" s="46">
        <v>4316.1290322580644</v>
      </c>
      <c r="E203" s="43">
        <v>1205.2016129032259</v>
      </c>
      <c r="F203" s="47">
        <v>4551.0472159813426</v>
      </c>
      <c r="G203" s="43"/>
      <c r="I203" s="451"/>
      <c r="J203" s="451"/>
      <c r="K203" s="451"/>
      <c r="L203" s="451"/>
      <c r="M203" s="451"/>
      <c r="N203" s="451"/>
    </row>
    <row r="204" spans="2:14" x14ac:dyDescent="0.25">
      <c r="B204" s="736"/>
      <c r="C204" s="451">
        <v>9</v>
      </c>
      <c r="D204" s="46">
        <v>4228.5483870967737</v>
      </c>
      <c r="E204" s="43">
        <v>1164.616935483871</v>
      </c>
      <c r="F204" s="47">
        <v>4843.9349773832673</v>
      </c>
      <c r="G204" s="43"/>
      <c r="I204" s="451"/>
      <c r="J204" s="451"/>
      <c r="K204" s="451"/>
      <c r="L204" s="451"/>
      <c r="M204" s="451"/>
      <c r="N204" s="451"/>
    </row>
    <row r="205" spans="2:14" x14ac:dyDescent="0.25">
      <c r="B205" s="736"/>
      <c r="C205" s="451">
        <v>10</v>
      </c>
      <c r="D205" s="46">
        <v>4099.5967741935483</v>
      </c>
      <c r="E205" s="43">
        <v>1092.3991935483871</v>
      </c>
      <c r="F205" s="47">
        <v>4799.0635849725313</v>
      </c>
      <c r="G205" s="43"/>
      <c r="I205" s="451"/>
      <c r="J205" s="451"/>
      <c r="K205" s="451"/>
      <c r="L205" s="451"/>
      <c r="M205" s="451"/>
      <c r="N205" s="451"/>
    </row>
    <row r="206" spans="2:14" x14ac:dyDescent="0.25">
      <c r="B206" s="736"/>
      <c r="C206" s="451">
        <v>11</v>
      </c>
      <c r="D206" s="46">
        <v>4173.6290322580644</v>
      </c>
      <c r="E206" s="43">
        <v>1079.5766129032259</v>
      </c>
      <c r="F206" s="47">
        <v>4631.6338035279823</v>
      </c>
      <c r="G206" s="43"/>
      <c r="I206" s="451"/>
      <c r="J206" s="451"/>
      <c r="K206" s="451"/>
      <c r="L206" s="451"/>
      <c r="M206" s="451"/>
      <c r="N206" s="451"/>
    </row>
    <row r="207" spans="2:14" x14ac:dyDescent="0.25">
      <c r="B207" s="736"/>
      <c r="C207" s="451">
        <v>12</v>
      </c>
      <c r="D207" s="46">
        <v>4590.4838709677424</v>
      </c>
      <c r="E207" s="43">
        <v>980.08064516129036</v>
      </c>
      <c r="F207" s="47">
        <v>4739.8624871665697</v>
      </c>
      <c r="G207" s="43"/>
      <c r="I207" s="451"/>
      <c r="J207" s="451"/>
      <c r="K207" s="451"/>
      <c r="L207" s="451"/>
      <c r="M207" s="451"/>
      <c r="N207" s="451"/>
    </row>
    <row r="208" spans="2:14" x14ac:dyDescent="0.25">
      <c r="B208" s="736"/>
      <c r="C208" s="451">
        <v>13</v>
      </c>
      <c r="D208" s="46">
        <v>4889.5161290322576</v>
      </c>
      <c r="E208" s="43">
        <v>1066.3306451612905</v>
      </c>
      <c r="F208" s="47">
        <v>4957.0370837056689</v>
      </c>
      <c r="G208" s="43"/>
      <c r="I208" s="451"/>
      <c r="J208" s="451"/>
      <c r="K208" s="451"/>
      <c r="L208" s="451"/>
      <c r="M208" s="451"/>
      <c r="N208" s="451"/>
    </row>
    <row r="209" spans="2:14" x14ac:dyDescent="0.25">
      <c r="B209" s="736"/>
      <c r="C209" s="451">
        <v>14</v>
      </c>
      <c r="D209" s="46">
        <v>5085.0000000000009</v>
      </c>
      <c r="E209" s="43">
        <v>1088.7096774193546</v>
      </c>
      <c r="F209" s="47">
        <v>4972.591751535917</v>
      </c>
      <c r="G209" s="43"/>
      <c r="I209" s="451"/>
      <c r="J209" s="451"/>
      <c r="K209" s="451"/>
      <c r="L209" s="451"/>
      <c r="M209" s="451"/>
      <c r="N209" s="451"/>
    </row>
    <row r="210" spans="2:14" x14ac:dyDescent="0.25">
      <c r="B210" s="736"/>
      <c r="C210" s="451">
        <v>15</v>
      </c>
      <c r="D210" s="46">
        <v>4897.0161290322576</v>
      </c>
      <c r="E210" s="43">
        <v>1112.7217741935483</v>
      </c>
      <c r="F210" s="47">
        <v>4756.1871571439988</v>
      </c>
      <c r="G210" s="43"/>
      <c r="I210" s="451"/>
      <c r="J210" s="451"/>
      <c r="K210" s="451"/>
      <c r="L210" s="451"/>
      <c r="M210" s="451"/>
      <c r="N210" s="451"/>
    </row>
    <row r="211" spans="2:14" x14ac:dyDescent="0.25">
      <c r="B211" s="736"/>
      <c r="C211" s="451">
        <v>16</v>
      </c>
      <c r="D211" s="46">
        <v>4612.7419354838712</v>
      </c>
      <c r="E211" s="43">
        <v>1178.891129032258</v>
      </c>
      <c r="F211" s="47">
        <v>4716.8790160473482</v>
      </c>
      <c r="G211" s="43"/>
      <c r="I211" s="451"/>
      <c r="J211" s="451"/>
      <c r="K211" s="451"/>
      <c r="L211" s="451"/>
      <c r="M211" s="451"/>
      <c r="N211" s="451"/>
    </row>
    <row r="212" spans="2:14" x14ac:dyDescent="0.25">
      <c r="B212" s="736"/>
      <c r="C212" s="451">
        <v>17</v>
      </c>
      <c r="D212" s="46">
        <v>4911.0483870967737</v>
      </c>
      <c r="E212" s="43">
        <v>1339.7177419354839</v>
      </c>
      <c r="F212" s="47">
        <v>4939.2885566047116</v>
      </c>
      <c r="G212" s="43"/>
      <c r="I212" s="451"/>
      <c r="J212" s="451"/>
      <c r="K212" s="451"/>
      <c r="L212" s="451"/>
      <c r="M212" s="451"/>
      <c r="N212" s="451"/>
    </row>
    <row r="213" spans="2:14" x14ac:dyDescent="0.25">
      <c r="B213" s="736"/>
      <c r="C213" s="451">
        <v>18</v>
      </c>
      <c r="D213" s="46">
        <v>5406.2903225806458</v>
      </c>
      <c r="E213" s="43">
        <v>1580.0806451612902</v>
      </c>
      <c r="F213" s="47">
        <v>5082.6276282931922</v>
      </c>
      <c r="G213" s="43"/>
      <c r="I213" s="451"/>
      <c r="J213" s="451"/>
      <c r="K213" s="451"/>
      <c r="L213" s="451"/>
      <c r="M213" s="451"/>
      <c r="N213" s="451"/>
    </row>
    <row r="214" spans="2:14" x14ac:dyDescent="0.25">
      <c r="B214" s="736"/>
      <c r="C214" s="451">
        <v>19</v>
      </c>
      <c r="D214" s="46">
        <v>5809.8387096774195</v>
      </c>
      <c r="E214" s="43">
        <v>1581.5322580645161</v>
      </c>
      <c r="F214" s="47">
        <v>4933.7435023195403</v>
      </c>
      <c r="G214" s="43"/>
      <c r="I214" s="451"/>
      <c r="J214" s="451"/>
      <c r="K214" s="451"/>
      <c r="L214" s="451"/>
      <c r="M214" s="451"/>
      <c r="N214" s="451"/>
    </row>
    <row r="215" spans="2:14" x14ac:dyDescent="0.25">
      <c r="B215" s="736"/>
      <c r="C215" s="451">
        <v>20</v>
      </c>
      <c r="D215" s="46">
        <v>5907.8225806451619</v>
      </c>
      <c r="E215" s="43">
        <v>1206.6532258064517</v>
      </c>
      <c r="F215" s="47">
        <v>4700.7575478090512</v>
      </c>
      <c r="G215" s="43"/>
      <c r="I215" s="451"/>
      <c r="J215" s="451"/>
      <c r="K215" s="451"/>
      <c r="L215" s="451"/>
      <c r="M215" s="451"/>
      <c r="N215" s="451"/>
    </row>
    <row r="216" spans="2:14" x14ac:dyDescent="0.25">
      <c r="B216" s="736"/>
      <c r="C216" s="451">
        <v>21</v>
      </c>
      <c r="D216" s="46">
        <v>5847.5806451612889</v>
      </c>
      <c r="E216" s="43">
        <v>1083.3266129032259</v>
      </c>
      <c r="F216" s="47">
        <v>4536.5986746040617</v>
      </c>
      <c r="G216" s="43"/>
      <c r="I216" s="451"/>
      <c r="J216" s="451"/>
      <c r="K216" s="451"/>
      <c r="L216" s="451"/>
      <c r="M216" s="451"/>
      <c r="N216" s="451"/>
    </row>
    <row r="217" spans="2:14" x14ac:dyDescent="0.25">
      <c r="B217" s="736"/>
      <c r="C217" s="451">
        <v>22</v>
      </c>
      <c r="D217" s="46">
        <v>5760.2419354838712</v>
      </c>
      <c r="E217" s="43">
        <v>1113.991935483871</v>
      </c>
      <c r="F217" s="47">
        <v>3934.1619841121619</v>
      </c>
      <c r="G217" s="43"/>
      <c r="I217" s="451"/>
      <c r="J217" s="451"/>
      <c r="K217" s="451"/>
      <c r="L217" s="451"/>
      <c r="M217" s="451"/>
      <c r="N217" s="451"/>
    </row>
    <row r="218" spans="2:14" x14ac:dyDescent="0.25">
      <c r="B218" s="736"/>
      <c r="C218" s="451">
        <v>23</v>
      </c>
      <c r="D218" s="46">
        <v>5375.8064516129034</v>
      </c>
      <c r="E218" s="43">
        <v>969.85887096774195</v>
      </c>
      <c r="F218" s="47">
        <v>3231.7226996103182</v>
      </c>
      <c r="G218" s="43"/>
      <c r="I218" s="451"/>
      <c r="J218" s="451"/>
      <c r="K218" s="451"/>
      <c r="L218" s="451"/>
      <c r="M218" s="451"/>
      <c r="N218" s="451"/>
    </row>
    <row r="219" spans="2:14" x14ac:dyDescent="0.25">
      <c r="B219" s="736" t="s">
        <v>59</v>
      </c>
      <c r="C219" s="451">
        <v>0</v>
      </c>
      <c r="D219" s="46">
        <v>4857.1935483867364</v>
      </c>
      <c r="E219" s="43">
        <v>967.52419354886024</v>
      </c>
      <c r="F219" s="47">
        <v>2889.1003457980696</v>
      </c>
      <c r="G219" s="43"/>
      <c r="I219" s="451"/>
      <c r="J219" s="451"/>
      <c r="K219" s="451"/>
      <c r="L219" s="451"/>
      <c r="M219" s="451"/>
      <c r="N219" s="451"/>
    </row>
    <row r="220" spans="2:14" x14ac:dyDescent="0.25">
      <c r="B220" s="736"/>
      <c r="C220" s="451">
        <v>1</v>
      </c>
      <c r="D220" s="46">
        <v>4736.9999999999091</v>
      </c>
      <c r="E220" s="43">
        <v>856.49999999970714</v>
      </c>
      <c r="F220" s="47">
        <v>2816.5988367640198</v>
      </c>
      <c r="G220" s="43"/>
    </row>
    <row r="221" spans="2:14" x14ac:dyDescent="0.25">
      <c r="B221" s="736"/>
      <c r="C221" s="451">
        <v>2</v>
      </c>
      <c r="D221" s="46">
        <v>4656.4354838726804</v>
      </c>
      <c r="E221" s="43">
        <v>802.82661290313558</v>
      </c>
      <c r="F221" s="47">
        <v>2764.428666938803</v>
      </c>
      <c r="G221" s="43"/>
    </row>
    <row r="222" spans="2:14" x14ac:dyDescent="0.25">
      <c r="B222" s="736"/>
      <c r="C222" s="451">
        <v>3</v>
      </c>
      <c r="D222" s="46">
        <v>4613.5161290325286</v>
      </c>
      <c r="E222" s="43">
        <v>759.07258064516122</v>
      </c>
      <c r="F222" s="47">
        <v>2711.9591755278971</v>
      </c>
      <c r="G222" s="43"/>
    </row>
    <row r="223" spans="2:14" x14ac:dyDescent="0.25">
      <c r="B223" s="736"/>
      <c r="C223" s="451">
        <v>4</v>
      </c>
      <c r="D223" s="46">
        <v>4554.629032256893</v>
      </c>
      <c r="E223" s="43">
        <v>762.85887096794465</v>
      </c>
      <c r="F223" s="47">
        <v>2842.0474811141175</v>
      </c>
      <c r="G223" s="43"/>
    </row>
    <row r="224" spans="2:14" x14ac:dyDescent="0.25">
      <c r="B224" s="736"/>
      <c r="C224" s="451">
        <v>5</v>
      </c>
      <c r="D224" s="46">
        <v>4432.8870967745534</v>
      </c>
      <c r="E224" s="43">
        <v>779.17741935463596</v>
      </c>
      <c r="F224" s="47">
        <v>3186.8640680255558</v>
      </c>
      <c r="G224" s="43"/>
    </row>
    <row r="225" spans="2:7" x14ac:dyDescent="0.25">
      <c r="B225" s="736"/>
      <c r="C225" s="451">
        <v>6</v>
      </c>
      <c r="D225" s="46">
        <v>4410.3991935484773</v>
      </c>
      <c r="E225" s="43">
        <v>882.35080645190578</v>
      </c>
      <c r="F225" s="47">
        <v>3471.2871218024366</v>
      </c>
      <c r="G225" s="43"/>
    </row>
    <row r="226" spans="2:7" x14ac:dyDescent="0.25">
      <c r="B226" s="736"/>
      <c r="C226" s="451">
        <v>7</v>
      </c>
      <c r="D226" s="46">
        <v>4272.2298387089559</v>
      </c>
      <c r="E226" s="43">
        <v>1179.8225806449586</v>
      </c>
      <c r="F226" s="47">
        <v>3939.1183668359058</v>
      </c>
      <c r="G226" s="43"/>
    </row>
    <row r="227" spans="2:7" x14ac:dyDescent="0.25">
      <c r="B227" s="736"/>
      <c r="C227" s="451">
        <v>8</v>
      </c>
      <c r="D227" s="46">
        <v>4156.4395161288521</v>
      </c>
      <c r="E227" s="43">
        <v>1263.8588709675619</v>
      </c>
      <c r="F227" s="47">
        <v>4400.0240915390777</v>
      </c>
      <c r="G227" s="43"/>
    </row>
    <row r="228" spans="2:7" x14ac:dyDescent="0.25">
      <c r="B228" s="736"/>
      <c r="C228" s="451">
        <v>9</v>
      </c>
      <c r="D228" s="46">
        <v>4234.6814516132636</v>
      </c>
      <c r="E228" s="43">
        <v>1204.9959677422507</v>
      </c>
      <c r="F228" s="47">
        <v>4646.8074444096992</v>
      </c>
      <c r="G228" s="43"/>
    </row>
    <row r="229" spans="2:7" x14ac:dyDescent="0.25">
      <c r="B229" s="736"/>
      <c r="C229" s="451">
        <v>10</v>
      </c>
      <c r="D229" s="46">
        <v>4041.7016129016934</v>
      </c>
      <c r="E229" s="43">
        <v>1131.3387096773517</v>
      </c>
      <c r="F229" s="47">
        <v>4618.6533105519211</v>
      </c>
      <c r="G229" s="43"/>
    </row>
    <row r="230" spans="2:7" x14ac:dyDescent="0.25">
      <c r="B230" s="736"/>
      <c r="C230" s="451">
        <v>11</v>
      </c>
      <c r="D230" s="46">
        <v>4125.4596774207967</v>
      </c>
      <c r="E230" s="43">
        <v>1157.4435483871193</v>
      </c>
      <c r="F230" s="47">
        <v>4454.1725717796726</v>
      </c>
      <c r="G230" s="43"/>
    </row>
    <row r="231" spans="2:7" x14ac:dyDescent="0.25">
      <c r="B231" s="736"/>
      <c r="C231" s="451">
        <v>12</v>
      </c>
      <c r="D231" s="46">
        <v>4894.4999999990087</v>
      </c>
      <c r="E231" s="43">
        <v>1055.4314516126103</v>
      </c>
      <c r="F231" s="47">
        <v>4477.3389687533818</v>
      </c>
      <c r="G231" s="43"/>
    </row>
    <row r="232" spans="2:7" x14ac:dyDescent="0.25">
      <c r="B232" s="736"/>
      <c r="C232" s="451">
        <v>13</v>
      </c>
      <c r="D232" s="46">
        <v>5051.9758064529642</v>
      </c>
      <c r="E232" s="43">
        <v>1085.0080645162868</v>
      </c>
      <c r="F232" s="47">
        <v>4716.3703296159147</v>
      </c>
      <c r="G232" s="43"/>
    </row>
    <row r="233" spans="2:7" x14ac:dyDescent="0.25">
      <c r="B233" s="736"/>
      <c r="C233" s="451">
        <v>14</v>
      </c>
      <c r="D233" s="46">
        <v>4954.959677418904</v>
      </c>
      <c r="E233" s="43">
        <v>1121.8185483870066</v>
      </c>
      <c r="F233" s="47">
        <v>4794.9281074559622</v>
      </c>
      <c r="G233" s="43"/>
    </row>
    <row r="234" spans="2:7" x14ac:dyDescent="0.25">
      <c r="B234" s="736"/>
      <c r="C234" s="451">
        <v>15</v>
      </c>
      <c r="D234" s="46">
        <v>4800.3991935484773</v>
      </c>
      <c r="E234" s="43">
        <v>1191.5806451609974</v>
      </c>
      <c r="F234" s="47">
        <v>4579.8349702732103</v>
      </c>
      <c r="G234" s="43"/>
    </row>
    <row r="235" spans="2:7" x14ac:dyDescent="0.25">
      <c r="B235" s="736"/>
      <c r="C235" s="451">
        <v>16</v>
      </c>
      <c r="D235" s="46">
        <v>4238.0806451604785</v>
      </c>
      <c r="E235" s="43">
        <v>1279.2338709681926</v>
      </c>
      <c r="F235" s="47">
        <v>4605.7832291114846</v>
      </c>
      <c r="G235" s="43"/>
    </row>
    <row r="236" spans="2:7" x14ac:dyDescent="0.25">
      <c r="B236" s="736"/>
      <c r="C236" s="451">
        <v>17</v>
      </c>
      <c r="D236" s="46">
        <v>4529.225806452695</v>
      </c>
      <c r="E236" s="43">
        <v>1441.0282258064515</v>
      </c>
      <c r="F236" s="47">
        <v>4820.0122087595028</v>
      </c>
      <c r="G236" s="43"/>
    </row>
    <row r="237" spans="2:7" x14ac:dyDescent="0.25">
      <c r="B237" s="736"/>
      <c r="C237" s="451">
        <v>18</v>
      </c>
      <c r="D237" s="46">
        <v>5386.9717741940885</v>
      </c>
      <c r="E237" s="43">
        <v>1620.7016129033159</v>
      </c>
      <c r="F237" s="47">
        <v>4874.2179479609258</v>
      </c>
      <c r="G237" s="43"/>
    </row>
    <row r="238" spans="2:7" x14ac:dyDescent="0.25">
      <c r="B238" s="736"/>
      <c r="C238" s="451">
        <v>19</v>
      </c>
      <c r="D238" s="46">
        <v>5717.407258064336</v>
      </c>
      <c r="E238" s="43">
        <v>1586.927419354681</v>
      </c>
      <c r="F238" s="47">
        <v>4743.5851718118411</v>
      </c>
      <c r="G238" s="43"/>
    </row>
    <row r="239" spans="2:7" x14ac:dyDescent="0.25">
      <c r="B239" s="736"/>
      <c r="C239" s="451">
        <v>20</v>
      </c>
      <c r="D239" s="46">
        <v>5508.0483870948819</v>
      </c>
      <c r="E239" s="43">
        <v>1252.0403225805549</v>
      </c>
      <c r="F239" s="47">
        <v>4586.0467335839994</v>
      </c>
      <c r="G239" s="43"/>
    </row>
    <row r="240" spans="2:7" x14ac:dyDescent="0.25">
      <c r="B240" s="736"/>
      <c r="C240" s="451">
        <v>21</v>
      </c>
      <c r="D240" s="46">
        <v>5451.9677419374657</v>
      </c>
      <c r="E240" s="43">
        <v>1108.1250000001128</v>
      </c>
      <c r="F240" s="47">
        <v>4426.9727333479013</v>
      </c>
      <c r="G240" s="43"/>
    </row>
    <row r="241" spans="2:7" x14ac:dyDescent="0.25">
      <c r="B241" s="736"/>
      <c r="C241" s="451">
        <v>22</v>
      </c>
      <c r="D241" s="46">
        <v>5394.9314516121822</v>
      </c>
      <c r="E241" s="43">
        <v>1148.7822580644711</v>
      </c>
      <c r="F241" s="47">
        <v>3838.8504899855484</v>
      </c>
      <c r="G241" s="43"/>
    </row>
    <row r="242" spans="2:7" x14ac:dyDescent="0.25">
      <c r="B242" s="736"/>
      <c r="C242" s="451">
        <v>23</v>
      </c>
      <c r="D242" s="46">
        <v>5065.0887096772394</v>
      </c>
      <c r="E242" s="43">
        <v>1043.9879032256713</v>
      </c>
      <c r="F242" s="47">
        <v>3150.947413199392</v>
      </c>
      <c r="G242" s="43"/>
    </row>
    <row r="243" spans="2:7" x14ac:dyDescent="0.25">
      <c r="B243" s="736" t="s">
        <v>60</v>
      </c>
      <c r="C243" s="451">
        <v>0</v>
      </c>
      <c r="D243" s="46">
        <v>3827.1250000004657</v>
      </c>
      <c r="E243" s="43">
        <v>729.20000000006985</v>
      </c>
      <c r="F243" s="47">
        <v>1750.6655809643157</v>
      </c>
      <c r="G243" s="43"/>
    </row>
    <row r="244" spans="2:7" x14ac:dyDescent="0.25">
      <c r="B244" s="736"/>
      <c r="C244" s="451">
        <v>1</v>
      </c>
      <c r="D244" s="46">
        <v>3751.6374999992554</v>
      </c>
      <c r="E244" s="43">
        <v>681.21249999967404</v>
      </c>
      <c r="F244" s="47">
        <v>1702.412614883641</v>
      </c>
      <c r="G244" s="43"/>
    </row>
    <row r="245" spans="2:7" x14ac:dyDescent="0.25">
      <c r="B245" s="736"/>
      <c r="C245" s="451">
        <v>2</v>
      </c>
      <c r="D245" s="46">
        <v>3665.1000000000931</v>
      </c>
      <c r="E245" s="43">
        <v>654.1750000002794</v>
      </c>
      <c r="F245" s="47">
        <v>1675.713567566763</v>
      </c>
      <c r="G245" s="43"/>
    </row>
    <row r="246" spans="2:7" x14ac:dyDescent="0.25">
      <c r="B246" s="736"/>
      <c r="C246" s="451">
        <v>3</v>
      </c>
      <c r="D246" s="46">
        <v>3638.4499999997206</v>
      </c>
      <c r="E246" s="43">
        <v>637.1875</v>
      </c>
      <c r="F246" s="47">
        <v>1640.9932229704077</v>
      </c>
      <c r="G246" s="43"/>
    </row>
    <row r="247" spans="2:7" x14ac:dyDescent="0.25">
      <c r="B247" s="736"/>
      <c r="C247" s="451">
        <v>4</v>
      </c>
      <c r="D247" s="46">
        <v>3627.2375000007451</v>
      </c>
      <c r="E247" s="43">
        <v>644.1624999999766</v>
      </c>
      <c r="F247" s="47">
        <v>1720.1740295672435</v>
      </c>
      <c r="G247" s="43"/>
    </row>
    <row r="248" spans="2:7" x14ac:dyDescent="0.25">
      <c r="B248" s="736"/>
      <c r="C248" s="451">
        <v>5</v>
      </c>
      <c r="D248" s="46">
        <v>3566.3749999995343</v>
      </c>
      <c r="E248" s="43">
        <v>638.4375</v>
      </c>
      <c r="F248" s="47">
        <v>1941.9766527382531</v>
      </c>
      <c r="G248" s="43"/>
    </row>
    <row r="249" spans="2:7" x14ac:dyDescent="0.25">
      <c r="B249" s="736"/>
      <c r="C249" s="451">
        <v>6</v>
      </c>
      <c r="D249" s="46">
        <v>3484.8625000002794</v>
      </c>
      <c r="E249" s="43">
        <v>711.98749999993015</v>
      </c>
      <c r="F249" s="47">
        <v>2143.240127063475</v>
      </c>
      <c r="G249" s="43"/>
    </row>
    <row r="250" spans="2:7" x14ac:dyDescent="0.25">
      <c r="B250" s="736"/>
      <c r="C250" s="451">
        <v>7</v>
      </c>
      <c r="D250" s="46">
        <v>3580.9750000000936</v>
      </c>
      <c r="E250" s="43">
        <v>966.5124999998369</v>
      </c>
      <c r="F250" s="47">
        <v>2408.3966223592734</v>
      </c>
      <c r="G250" s="43"/>
    </row>
    <row r="251" spans="2:7" x14ac:dyDescent="0.25">
      <c r="B251" s="736"/>
      <c r="C251" s="451">
        <v>8</v>
      </c>
      <c r="D251" s="46">
        <v>3589.5874999999069</v>
      </c>
      <c r="E251" s="43">
        <v>1027.4749999999769</v>
      </c>
      <c r="F251" s="47">
        <v>2691.7178602952108</v>
      </c>
      <c r="G251" s="43"/>
    </row>
    <row r="252" spans="2:7" x14ac:dyDescent="0.25">
      <c r="B252" s="736"/>
      <c r="C252" s="451">
        <v>9</v>
      </c>
      <c r="D252" s="46">
        <v>3736.7875000005592</v>
      </c>
      <c r="E252" s="43">
        <v>1005.1625000005588</v>
      </c>
      <c r="F252" s="47">
        <v>2832.1572542147242</v>
      </c>
      <c r="G252" s="43"/>
    </row>
    <row r="253" spans="2:7" x14ac:dyDescent="0.25">
      <c r="B253" s="736"/>
      <c r="C253" s="451">
        <v>10</v>
      </c>
      <c r="D253" s="46">
        <v>3625.6875</v>
      </c>
      <c r="E253" s="43">
        <v>958.1749999995809</v>
      </c>
      <c r="F253" s="47">
        <v>2810.283934801515</v>
      </c>
      <c r="G253" s="43"/>
    </row>
    <row r="254" spans="2:7" x14ac:dyDescent="0.25">
      <c r="B254" s="736"/>
      <c r="C254" s="451">
        <v>11</v>
      </c>
      <c r="D254" s="46">
        <v>3608.2249999986961</v>
      </c>
      <c r="E254" s="43">
        <v>976.2750000000234</v>
      </c>
      <c r="F254" s="47">
        <v>2718.5554264880111</v>
      </c>
      <c r="G254" s="43"/>
    </row>
    <row r="255" spans="2:7" x14ac:dyDescent="0.25">
      <c r="B255" s="736"/>
      <c r="C255" s="451">
        <v>12</v>
      </c>
      <c r="D255" s="46">
        <v>4036.5374999996275</v>
      </c>
      <c r="E255" s="43">
        <v>879.65000000013958</v>
      </c>
      <c r="F255" s="47">
        <v>2750.5742693656944</v>
      </c>
      <c r="G255" s="43"/>
    </row>
    <row r="256" spans="2:7" x14ac:dyDescent="0.25">
      <c r="B256" s="736"/>
      <c r="C256" s="451">
        <v>13</v>
      </c>
      <c r="D256" s="46">
        <v>4204.687500001397</v>
      </c>
      <c r="E256" s="43">
        <v>957.46249999979045</v>
      </c>
      <c r="F256" s="47">
        <v>2892.8179174586166</v>
      </c>
      <c r="G256" s="43"/>
    </row>
    <row r="257" spans="2:7" x14ac:dyDescent="0.25">
      <c r="B257" s="736"/>
      <c r="C257" s="451">
        <v>14</v>
      </c>
      <c r="D257" s="46">
        <v>4271.9124999991618</v>
      </c>
      <c r="E257" s="43">
        <v>999.35000000009325</v>
      </c>
      <c r="F257" s="47">
        <v>2915.2387823901645</v>
      </c>
      <c r="G257" s="43"/>
    </row>
    <row r="258" spans="2:7" x14ac:dyDescent="0.25">
      <c r="B258" s="736"/>
      <c r="C258" s="451">
        <v>15</v>
      </c>
      <c r="D258" s="46">
        <v>4132.1000000000931</v>
      </c>
      <c r="E258" s="43">
        <v>1007.1000000000931</v>
      </c>
      <c r="F258" s="47">
        <v>2782.8128522091647</v>
      </c>
      <c r="G258" s="43"/>
    </row>
    <row r="259" spans="2:7" x14ac:dyDescent="0.25">
      <c r="B259" s="736"/>
      <c r="C259" s="451">
        <v>16</v>
      </c>
      <c r="D259" s="46">
        <v>3862.9000000003721</v>
      </c>
      <c r="E259" s="43">
        <v>1006.75</v>
      </c>
      <c r="F259" s="47">
        <v>2777.7380461898833</v>
      </c>
      <c r="G259" s="43"/>
    </row>
    <row r="260" spans="2:7" x14ac:dyDescent="0.25">
      <c r="B260" s="736"/>
      <c r="C260" s="451">
        <v>17</v>
      </c>
      <c r="D260" s="46">
        <v>3996.4374999990691</v>
      </c>
      <c r="E260" s="43">
        <v>1136.6499999999069</v>
      </c>
      <c r="F260" s="47">
        <v>2930.8863240224209</v>
      </c>
      <c r="G260" s="43"/>
    </row>
    <row r="261" spans="2:7" x14ac:dyDescent="0.25">
      <c r="B261" s="736"/>
      <c r="C261" s="451">
        <v>18</v>
      </c>
      <c r="D261" s="46">
        <v>4560.3875000006519</v>
      </c>
      <c r="E261" s="43">
        <v>1299.2875000000934</v>
      </c>
      <c r="F261" s="47">
        <v>2966.0287040134167</v>
      </c>
      <c r="G261" s="43"/>
    </row>
    <row r="262" spans="2:7" x14ac:dyDescent="0.25">
      <c r="B262" s="736"/>
      <c r="C262" s="451">
        <v>19</v>
      </c>
      <c r="D262" s="46">
        <v>4786.2750000008382</v>
      </c>
      <c r="E262" s="43">
        <v>1248.6874999998836</v>
      </c>
      <c r="F262" s="47">
        <v>2878.3379961481432</v>
      </c>
      <c r="G262" s="43"/>
    </row>
    <row r="263" spans="2:7" x14ac:dyDescent="0.25">
      <c r="B263" s="736"/>
      <c r="C263" s="451">
        <v>20</v>
      </c>
      <c r="D263" s="46">
        <v>4756.6249999990687</v>
      </c>
      <c r="E263" s="43">
        <v>1035.7000000000701</v>
      </c>
      <c r="F263" s="47">
        <v>2751.1740455448976</v>
      </c>
      <c r="G263" s="43"/>
    </row>
    <row r="264" spans="2:7" x14ac:dyDescent="0.25">
      <c r="B264" s="736"/>
      <c r="C264" s="451">
        <v>21</v>
      </c>
      <c r="D264" s="46">
        <v>4745.7124999999078</v>
      </c>
      <c r="E264" s="43">
        <v>968.69999999995355</v>
      </c>
      <c r="F264" s="47">
        <v>2641.1655450758062</v>
      </c>
      <c r="G264" s="43"/>
    </row>
    <row r="265" spans="2:7" x14ac:dyDescent="0.25">
      <c r="B265" s="736"/>
      <c r="C265" s="451">
        <v>22</v>
      </c>
      <c r="D265" s="46">
        <v>4459.5124999997206</v>
      </c>
      <c r="E265" s="43">
        <v>962.58750000002328</v>
      </c>
      <c r="F265" s="47">
        <v>2310.9732049281256</v>
      </c>
      <c r="G265" s="43"/>
    </row>
    <row r="266" spans="2:7" x14ac:dyDescent="0.25">
      <c r="B266" s="736"/>
      <c r="C266" s="451">
        <v>23</v>
      </c>
      <c r="D266" s="46">
        <v>4055.1125000007451</v>
      </c>
      <c r="E266" s="43">
        <v>810.01250000006974</v>
      </c>
      <c r="F266" s="47">
        <v>1901.9104187408395</v>
      </c>
      <c r="G266" s="43"/>
    </row>
    <row r="267" spans="2:7" x14ac:dyDescent="0.25">
      <c r="B267" s="736" t="s">
        <v>61</v>
      </c>
      <c r="C267" s="451">
        <v>0</v>
      </c>
      <c r="D267" s="46">
        <v>3707.4193548387098</v>
      </c>
      <c r="E267" s="43">
        <v>731.79435483870975</v>
      </c>
      <c r="F267" s="47">
        <v>1703.38217463404</v>
      </c>
      <c r="G267" s="43"/>
    </row>
    <row r="268" spans="2:7" x14ac:dyDescent="0.25">
      <c r="B268" s="736"/>
      <c r="C268" s="451">
        <v>1</v>
      </c>
      <c r="D268" s="46">
        <v>3723.3870967741932</v>
      </c>
      <c r="E268" s="43">
        <v>707.8427419354839</v>
      </c>
      <c r="F268" s="47">
        <v>1636.6529243707514</v>
      </c>
      <c r="G268" s="43"/>
    </row>
    <row r="269" spans="2:7" x14ac:dyDescent="0.25">
      <c r="B269" s="736"/>
      <c r="C269" s="451">
        <v>2</v>
      </c>
      <c r="D269" s="46">
        <v>3700.8870967741932</v>
      </c>
      <c r="E269" s="43">
        <v>684.01209677419365</v>
      </c>
      <c r="F269" s="47">
        <v>1597.0279402408205</v>
      </c>
      <c r="G269" s="43"/>
    </row>
    <row r="270" spans="2:7" x14ac:dyDescent="0.25">
      <c r="B270" s="736"/>
      <c r="C270" s="451">
        <v>3</v>
      </c>
      <c r="D270" s="46">
        <v>3651.0483870967746</v>
      </c>
      <c r="E270" s="43">
        <v>668.28629032258061</v>
      </c>
      <c r="F270" s="47">
        <v>1568.6150840610135</v>
      </c>
      <c r="G270" s="43"/>
    </row>
    <row r="271" spans="2:7" x14ac:dyDescent="0.25">
      <c r="B271" s="736"/>
      <c r="C271" s="451">
        <v>4</v>
      </c>
      <c r="D271" s="46">
        <v>3623.7096774193551</v>
      </c>
      <c r="E271" s="43">
        <v>676.57258064516122</v>
      </c>
      <c r="F271" s="47">
        <v>1649.2011572030665</v>
      </c>
      <c r="G271" s="43"/>
    </row>
    <row r="272" spans="2:7" x14ac:dyDescent="0.25">
      <c r="B272" s="736"/>
      <c r="C272" s="451">
        <v>5</v>
      </c>
      <c r="D272" s="46">
        <v>3570.2419354838712</v>
      </c>
      <c r="E272" s="43">
        <v>680.32258064516122</v>
      </c>
      <c r="F272" s="47">
        <v>1863.4444276440959</v>
      </c>
      <c r="G272" s="43"/>
    </row>
    <row r="273" spans="2:7" x14ac:dyDescent="0.25">
      <c r="B273" s="736"/>
      <c r="C273" s="451">
        <v>6</v>
      </c>
      <c r="D273" s="46">
        <v>3725.8064516129029</v>
      </c>
      <c r="E273" s="43">
        <v>786.16935483870975</v>
      </c>
      <c r="F273" s="47">
        <v>2006.8218029982318</v>
      </c>
      <c r="G273" s="43"/>
    </row>
    <row r="274" spans="2:7" x14ac:dyDescent="0.25">
      <c r="B274" s="736"/>
      <c r="C274" s="451">
        <v>7</v>
      </c>
      <c r="D274" s="46">
        <v>3951.0483870967737</v>
      </c>
      <c r="E274" s="43">
        <v>1039.3548387096776</v>
      </c>
      <c r="F274" s="47">
        <v>2235.1444870116725</v>
      </c>
      <c r="G274" s="43"/>
    </row>
    <row r="275" spans="2:7" x14ac:dyDescent="0.25">
      <c r="B275" s="736"/>
      <c r="C275" s="451">
        <v>8</v>
      </c>
      <c r="D275" s="46">
        <v>3976.4516129032263</v>
      </c>
      <c r="E275" s="43">
        <v>1110.1209677419356</v>
      </c>
      <c r="F275" s="47">
        <v>2506.6324209771356</v>
      </c>
      <c r="G275" s="43"/>
    </row>
    <row r="276" spans="2:7" x14ac:dyDescent="0.25">
      <c r="B276" s="736"/>
      <c r="C276" s="451">
        <v>9</v>
      </c>
      <c r="D276" s="46">
        <v>4012.0161290322576</v>
      </c>
      <c r="E276" s="43">
        <v>1029.7379032258066</v>
      </c>
      <c r="F276" s="47">
        <v>2666.9614039398248</v>
      </c>
      <c r="G276" s="43"/>
    </row>
    <row r="277" spans="2:7" x14ac:dyDescent="0.25">
      <c r="B277" s="736"/>
      <c r="C277" s="451">
        <v>10</v>
      </c>
      <c r="D277" s="46">
        <v>3506.1290322580644</v>
      </c>
      <c r="E277" s="43">
        <v>1006.391129032258</v>
      </c>
      <c r="F277" s="47">
        <v>2734.1411382157198</v>
      </c>
      <c r="G277" s="43"/>
    </row>
    <row r="278" spans="2:7" x14ac:dyDescent="0.25">
      <c r="B278" s="736"/>
      <c r="C278" s="451">
        <v>11</v>
      </c>
      <c r="D278" s="46">
        <v>3270.2419354838712</v>
      </c>
      <c r="E278" s="43">
        <v>1002.8225806451615</v>
      </c>
      <c r="F278" s="47">
        <v>2693.6671804404568</v>
      </c>
      <c r="G278" s="43"/>
    </row>
    <row r="279" spans="2:7" x14ac:dyDescent="0.25">
      <c r="B279" s="736"/>
      <c r="C279" s="451">
        <v>12</v>
      </c>
      <c r="D279" s="46">
        <v>3720.2419354838712</v>
      </c>
      <c r="E279" s="43">
        <v>898.85080645161293</v>
      </c>
      <c r="F279" s="47">
        <v>2717.2535121624578</v>
      </c>
      <c r="G279" s="43"/>
    </row>
    <row r="280" spans="2:7" x14ac:dyDescent="0.25">
      <c r="B280" s="736"/>
      <c r="C280" s="451">
        <v>13</v>
      </c>
      <c r="D280" s="46">
        <v>4244.0322580645161</v>
      </c>
      <c r="E280" s="43">
        <v>966.5322580645161</v>
      </c>
      <c r="F280" s="47">
        <v>2775.3641919384154</v>
      </c>
      <c r="G280" s="43"/>
    </row>
    <row r="281" spans="2:7" x14ac:dyDescent="0.25">
      <c r="B281" s="736"/>
      <c r="C281" s="451">
        <v>14</v>
      </c>
      <c r="D281" s="46">
        <v>4296.7741935483864</v>
      </c>
      <c r="E281" s="43">
        <v>991.02822580645147</v>
      </c>
      <c r="F281" s="47">
        <v>2799.9423213013501</v>
      </c>
      <c r="G281" s="43"/>
    </row>
    <row r="282" spans="2:7" x14ac:dyDescent="0.25">
      <c r="B282" s="736"/>
      <c r="C282" s="451">
        <v>15</v>
      </c>
      <c r="D282" s="46">
        <v>3785.0806451612907</v>
      </c>
      <c r="E282" s="43">
        <v>1001.491935483871</v>
      </c>
      <c r="F282" s="47">
        <v>2754.8006688221631</v>
      </c>
      <c r="G282" s="43"/>
    </row>
    <row r="283" spans="2:7" x14ac:dyDescent="0.25">
      <c r="B283" s="736"/>
      <c r="C283" s="451">
        <v>16</v>
      </c>
      <c r="D283" s="46">
        <v>3335.8064516129029</v>
      </c>
      <c r="E283" s="43">
        <v>1046.3104838709678</v>
      </c>
      <c r="F283" s="47">
        <v>2791.5857339163867</v>
      </c>
      <c r="G283" s="43"/>
    </row>
    <row r="284" spans="2:7" x14ac:dyDescent="0.25">
      <c r="B284" s="736"/>
      <c r="C284" s="451">
        <v>17</v>
      </c>
      <c r="D284" s="46">
        <v>3821.6129032258059</v>
      </c>
      <c r="E284" s="43">
        <v>1224.1935483870966</v>
      </c>
      <c r="F284" s="47">
        <v>2861.2589735769707</v>
      </c>
      <c r="G284" s="43"/>
    </row>
    <row r="285" spans="2:7" x14ac:dyDescent="0.25">
      <c r="B285" s="736"/>
      <c r="C285" s="451">
        <v>18</v>
      </c>
      <c r="D285" s="46">
        <v>4763.2258064516136</v>
      </c>
      <c r="E285" s="43">
        <v>1380.0604838709678</v>
      </c>
      <c r="F285" s="47">
        <v>2807.9183075589881</v>
      </c>
      <c r="G285" s="43"/>
    </row>
    <row r="286" spans="2:7" x14ac:dyDescent="0.25">
      <c r="B286" s="736"/>
      <c r="C286" s="451">
        <v>19</v>
      </c>
      <c r="D286" s="46">
        <v>4932.5806451612898</v>
      </c>
      <c r="E286" s="43">
        <v>1155.8467741935483</v>
      </c>
      <c r="F286" s="47">
        <v>2733.8554062818857</v>
      </c>
      <c r="G286" s="43"/>
    </row>
    <row r="287" spans="2:7" x14ac:dyDescent="0.25">
      <c r="B287" s="736"/>
      <c r="C287" s="451">
        <v>20</v>
      </c>
      <c r="D287" s="46">
        <v>4927.7419354838712</v>
      </c>
      <c r="E287" s="43">
        <v>990.66532258064512</v>
      </c>
      <c r="F287" s="47">
        <v>2604.9770511522602</v>
      </c>
      <c r="G287" s="43"/>
    </row>
    <row r="288" spans="2:7" x14ac:dyDescent="0.25">
      <c r="B288" s="736"/>
      <c r="C288" s="451">
        <v>21</v>
      </c>
      <c r="D288" s="46">
        <v>4916.854838709678</v>
      </c>
      <c r="E288" s="43">
        <v>966.35080645161293</v>
      </c>
      <c r="F288" s="47">
        <v>2498.1565506398756</v>
      </c>
      <c r="G288" s="43"/>
    </row>
    <row r="289" spans="2:7" x14ac:dyDescent="0.25">
      <c r="B289" s="736"/>
      <c r="C289" s="451">
        <v>22</v>
      </c>
      <c r="D289" s="46">
        <v>4505.8064516129034</v>
      </c>
      <c r="E289" s="43">
        <v>925.58467741935488</v>
      </c>
      <c r="F289" s="47">
        <v>2206.8938682453863</v>
      </c>
      <c r="G289" s="43"/>
    </row>
    <row r="290" spans="2:7" x14ac:dyDescent="0.25">
      <c r="B290" s="736"/>
      <c r="C290" s="451">
        <v>23</v>
      </c>
      <c r="D290" s="46">
        <v>3988.3064516129029</v>
      </c>
      <c r="E290" s="43">
        <v>785.5645161290322</v>
      </c>
      <c r="F290" s="47">
        <v>1837.1363801939062</v>
      </c>
      <c r="G290" s="43"/>
    </row>
    <row r="291" spans="2:7" x14ac:dyDescent="0.25">
      <c r="B291" s="736" t="s">
        <v>62</v>
      </c>
      <c r="C291" s="451">
        <v>0</v>
      </c>
      <c r="D291" s="46">
        <v>3621</v>
      </c>
      <c r="E291" s="43">
        <v>871.375</v>
      </c>
      <c r="F291" s="47">
        <v>1787.5442035426863</v>
      </c>
      <c r="G291" s="43"/>
    </row>
    <row r="292" spans="2:7" x14ac:dyDescent="0.25">
      <c r="B292" s="736"/>
      <c r="C292" s="451">
        <v>1</v>
      </c>
      <c r="D292" s="46">
        <v>3589.5</v>
      </c>
      <c r="E292" s="43">
        <v>853.06249999999989</v>
      </c>
      <c r="F292" s="47">
        <v>1729.739409142283</v>
      </c>
      <c r="G292" s="43"/>
    </row>
    <row r="293" spans="2:7" x14ac:dyDescent="0.25">
      <c r="B293" s="736"/>
      <c r="C293" s="451">
        <v>2</v>
      </c>
      <c r="D293" s="46">
        <v>3491.75</v>
      </c>
      <c r="E293" s="43">
        <v>811.1875</v>
      </c>
      <c r="F293" s="47">
        <v>1705.6896558528733</v>
      </c>
      <c r="G293" s="43"/>
    </row>
    <row r="294" spans="2:7" x14ac:dyDescent="0.25">
      <c r="B294" s="736"/>
      <c r="C294" s="451">
        <v>3</v>
      </c>
      <c r="D294" s="46">
        <v>3408.75</v>
      </c>
      <c r="E294" s="43">
        <v>790.24999999999989</v>
      </c>
      <c r="F294" s="47">
        <v>1683.6310160810667</v>
      </c>
      <c r="G294" s="43"/>
    </row>
    <row r="295" spans="2:7" x14ac:dyDescent="0.25">
      <c r="B295" s="736"/>
      <c r="C295" s="451">
        <v>4</v>
      </c>
      <c r="D295" s="46">
        <v>3373.5</v>
      </c>
      <c r="E295" s="43">
        <v>796.00000000000011</v>
      </c>
      <c r="F295" s="47">
        <v>1767.8902972865353</v>
      </c>
      <c r="G295" s="43"/>
    </row>
    <row r="296" spans="2:7" x14ac:dyDescent="0.25">
      <c r="B296" s="736"/>
      <c r="C296" s="451">
        <v>5</v>
      </c>
      <c r="D296" s="46">
        <v>3246.75</v>
      </c>
      <c r="E296" s="43">
        <v>807.75</v>
      </c>
      <c r="F296" s="47">
        <v>2003.6197920906156</v>
      </c>
      <c r="G296" s="43"/>
    </row>
    <row r="297" spans="2:7" x14ac:dyDescent="0.25">
      <c r="B297" s="736"/>
      <c r="C297" s="451">
        <v>6</v>
      </c>
      <c r="D297" s="46">
        <v>3375.5</v>
      </c>
      <c r="E297" s="43">
        <v>900.25</v>
      </c>
      <c r="F297" s="47">
        <v>2157.5297091469474</v>
      </c>
      <c r="G297" s="43"/>
    </row>
    <row r="298" spans="2:7" x14ac:dyDescent="0.25">
      <c r="B298" s="736"/>
      <c r="C298" s="451">
        <v>7</v>
      </c>
      <c r="D298" s="46">
        <v>3657.75</v>
      </c>
      <c r="E298" s="43">
        <v>1194.125</v>
      </c>
      <c r="F298" s="47">
        <v>2380.3390156036785</v>
      </c>
      <c r="G298" s="43"/>
    </row>
    <row r="299" spans="2:7" x14ac:dyDescent="0.25">
      <c r="B299" s="736"/>
      <c r="C299" s="451">
        <v>8</v>
      </c>
      <c r="D299" s="46">
        <v>3718</v>
      </c>
      <c r="E299" s="43">
        <v>1290.75</v>
      </c>
      <c r="F299" s="47">
        <v>2651.2063454414288</v>
      </c>
      <c r="G299" s="43"/>
    </row>
    <row r="300" spans="2:7" x14ac:dyDescent="0.25">
      <c r="B300" s="736"/>
      <c r="C300" s="451">
        <v>9</v>
      </c>
      <c r="D300" s="46">
        <v>3792.75</v>
      </c>
      <c r="E300" s="43">
        <v>1227</v>
      </c>
      <c r="F300" s="47">
        <v>2807.1514982749363</v>
      </c>
      <c r="G300" s="43"/>
    </row>
    <row r="301" spans="2:7" x14ac:dyDescent="0.25">
      <c r="B301" s="736"/>
      <c r="C301" s="451">
        <v>10</v>
      </c>
      <c r="D301" s="46">
        <v>3575.2500000000005</v>
      </c>
      <c r="E301" s="43">
        <v>1157.5625</v>
      </c>
      <c r="F301" s="47">
        <v>2809.0824217266768</v>
      </c>
      <c r="G301" s="43"/>
    </row>
    <row r="302" spans="2:7" x14ac:dyDescent="0.25">
      <c r="B302" s="736"/>
      <c r="C302" s="451">
        <v>11</v>
      </c>
      <c r="D302" s="46">
        <v>3274.0000000000005</v>
      </c>
      <c r="E302" s="43">
        <v>1129.1875</v>
      </c>
      <c r="F302" s="47">
        <v>2780.7459262881816</v>
      </c>
      <c r="G302" s="43"/>
    </row>
    <row r="303" spans="2:7" x14ac:dyDescent="0.25">
      <c r="B303" s="736"/>
      <c r="C303" s="451">
        <v>12</v>
      </c>
      <c r="D303" s="46">
        <v>3383</v>
      </c>
      <c r="E303" s="43">
        <v>1048.6875</v>
      </c>
      <c r="F303" s="47">
        <v>2883.2865625732334</v>
      </c>
      <c r="G303" s="43"/>
    </row>
    <row r="304" spans="2:7" x14ac:dyDescent="0.25">
      <c r="B304" s="736"/>
      <c r="C304" s="451">
        <v>13</v>
      </c>
      <c r="D304" s="46">
        <v>3782.7500000000005</v>
      </c>
      <c r="E304" s="43">
        <v>1150.3125</v>
      </c>
      <c r="F304" s="47">
        <v>2973.447133273804</v>
      </c>
      <c r="G304" s="43"/>
    </row>
    <row r="305" spans="2:7" x14ac:dyDescent="0.25">
      <c r="B305" s="736"/>
      <c r="C305" s="451">
        <v>14</v>
      </c>
      <c r="D305" s="46">
        <v>3991.75</v>
      </c>
      <c r="E305" s="43">
        <v>1180.8125</v>
      </c>
      <c r="F305" s="47">
        <v>2964.2342264440717</v>
      </c>
      <c r="G305" s="43"/>
    </row>
    <row r="306" spans="2:7" x14ac:dyDescent="0.25">
      <c r="B306" s="736"/>
      <c r="C306" s="451">
        <v>15</v>
      </c>
      <c r="D306" s="46">
        <v>3624.9999999999995</v>
      </c>
      <c r="E306" s="43">
        <v>1218.4375</v>
      </c>
      <c r="F306" s="47">
        <v>2882.7999571357414</v>
      </c>
      <c r="G306" s="43"/>
    </row>
    <row r="307" spans="2:7" x14ac:dyDescent="0.25">
      <c r="B307" s="736"/>
      <c r="C307" s="451">
        <v>16</v>
      </c>
      <c r="D307" s="46">
        <v>3390.2500000000005</v>
      </c>
      <c r="E307" s="43">
        <v>1264.6250000000002</v>
      </c>
      <c r="F307" s="47">
        <v>2870.2923178714977</v>
      </c>
      <c r="G307" s="43"/>
    </row>
    <row r="308" spans="2:7" x14ac:dyDescent="0.25">
      <c r="B308" s="736"/>
      <c r="C308" s="451">
        <v>17</v>
      </c>
      <c r="D308" s="46">
        <v>3653</v>
      </c>
      <c r="E308" s="43">
        <v>1414.6875</v>
      </c>
      <c r="F308" s="47">
        <v>2994.0992694119263</v>
      </c>
      <c r="G308" s="43"/>
    </row>
    <row r="309" spans="2:7" x14ac:dyDescent="0.25">
      <c r="B309" s="736"/>
      <c r="C309" s="451">
        <v>18</v>
      </c>
      <c r="D309" s="46">
        <v>4470.25</v>
      </c>
      <c r="E309" s="43">
        <v>1499.5625</v>
      </c>
      <c r="F309" s="47">
        <v>2972.402056608028</v>
      </c>
      <c r="G309" s="43"/>
    </row>
    <row r="310" spans="2:7" x14ac:dyDescent="0.25">
      <c r="B310" s="736"/>
      <c r="C310" s="451">
        <v>19</v>
      </c>
      <c r="D310" s="46">
        <v>4727.5000000000009</v>
      </c>
      <c r="E310" s="43">
        <v>1309.5624999999998</v>
      </c>
      <c r="F310" s="47">
        <v>2877.8705794623547</v>
      </c>
      <c r="G310" s="43"/>
    </row>
    <row r="311" spans="2:7" x14ac:dyDescent="0.25">
      <c r="B311" s="736"/>
      <c r="C311" s="451">
        <v>20</v>
      </c>
      <c r="D311" s="46">
        <v>4701.25</v>
      </c>
      <c r="E311" s="43">
        <v>1204.9375</v>
      </c>
      <c r="F311" s="47">
        <v>2750.4101042057946</v>
      </c>
      <c r="G311" s="43"/>
    </row>
    <row r="312" spans="2:7" x14ac:dyDescent="0.25">
      <c r="B312" s="736"/>
      <c r="C312" s="451">
        <v>21</v>
      </c>
      <c r="D312" s="46">
        <v>4504</v>
      </c>
      <c r="E312" s="43">
        <v>1164.6875</v>
      </c>
      <c r="F312" s="47">
        <v>2682.1958014107649</v>
      </c>
      <c r="G312" s="43"/>
    </row>
    <row r="313" spans="2:7" x14ac:dyDescent="0.25">
      <c r="B313" s="736"/>
      <c r="C313" s="451">
        <v>22</v>
      </c>
      <c r="D313" s="46">
        <v>4055.5</v>
      </c>
      <c r="E313" s="43">
        <v>1113.5625</v>
      </c>
      <c r="F313" s="47">
        <v>2389.4215972071784</v>
      </c>
      <c r="G313" s="43"/>
    </row>
    <row r="314" spans="2:7" x14ac:dyDescent="0.25">
      <c r="B314" s="736"/>
      <c r="C314" s="451">
        <v>23</v>
      </c>
      <c r="D314" s="46">
        <v>3656.5000000000005</v>
      </c>
      <c r="E314" s="43">
        <v>949.62499999999989</v>
      </c>
      <c r="F314" s="47">
        <v>1980.8711039176987</v>
      </c>
      <c r="G314" s="43"/>
    </row>
    <row r="315" spans="2:7" x14ac:dyDescent="0.25">
      <c r="B315" s="736" t="s">
        <v>63</v>
      </c>
      <c r="C315" s="451">
        <v>0</v>
      </c>
      <c r="D315" s="46">
        <v>3969.0120967741941</v>
      </c>
      <c r="E315" s="43">
        <v>919.90675403225805</v>
      </c>
      <c r="F315" s="47">
        <v>2277.6651771592187</v>
      </c>
      <c r="G315" s="43"/>
    </row>
    <row r="316" spans="2:7" x14ac:dyDescent="0.25">
      <c r="B316" s="736"/>
      <c r="C316" s="451">
        <v>1</v>
      </c>
      <c r="D316" s="46">
        <v>4044.7379032258059</v>
      </c>
      <c r="E316" s="43">
        <v>880.53175403225805</v>
      </c>
      <c r="F316" s="47">
        <v>2181.8461053885508</v>
      </c>
      <c r="G316" s="43"/>
    </row>
    <row r="317" spans="2:7" x14ac:dyDescent="0.25">
      <c r="B317" s="736"/>
      <c r="C317" s="451">
        <v>2</v>
      </c>
      <c r="D317" s="46">
        <v>3957.641129032258</v>
      </c>
      <c r="E317" s="43">
        <v>878.83820564516122</v>
      </c>
      <c r="F317" s="47">
        <v>2145.4090940528067</v>
      </c>
      <c r="G317" s="43"/>
    </row>
    <row r="318" spans="2:7" x14ac:dyDescent="0.25">
      <c r="B318" s="736"/>
      <c r="C318" s="451">
        <v>3</v>
      </c>
      <c r="D318" s="46">
        <v>3916.9959677419356</v>
      </c>
      <c r="E318" s="43">
        <v>824.34223790322574</v>
      </c>
      <c r="F318" s="47">
        <v>2105.0717984611583</v>
      </c>
      <c r="G318" s="43"/>
    </row>
    <row r="319" spans="2:7" x14ac:dyDescent="0.25">
      <c r="B319" s="736"/>
      <c r="C319" s="451">
        <v>4</v>
      </c>
      <c r="D319" s="46">
        <v>3885.786290322581</v>
      </c>
      <c r="E319" s="43">
        <v>818.2333669354839</v>
      </c>
      <c r="F319" s="47">
        <v>2205.1635198682966</v>
      </c>
      <c r="G319" s="43"/>
    </row>
    <row r="320" spans="2:7" x14ac:dyDescent="0.25">
      <c r="B320" s="736"/>
      <c r="C320" s="451">
        <v>5</v>
      </c>
      <c r="D320" s="46">
        <v>3836.1895161290322</v>
      </c>
      <c r="E320" s="43">
        <v>832.02368951612902</v>
      </c>
      <c r="F320" s="47">
        <v>2469.185120892761</v>
      </c>
      <c r="G320" s="43"/>
    </row>
    <row r="321" spans="2:7" x14ac:dyDescent="0.25">
      <c r="B321" s="736"/>
      <c r="C321" s="451">
        <v>6</v>
      </c>
      <c r="D321" s="46">
        <v>3962.7217741935483</v>
      </c>
      <c r="E321" s="43">
        <v>954.0801411290322</v>
      </c>
      <c r="F321" s="47">
        <v>2663.5432741145087</v>
      </c>
      <c r="G321" s="43"/>
    </row>
    <row r="322" spans="2:7" x14ac:dyDescent="0.25">
      <c r="B322" s="736"/>
      <c r="C322" s="451">
        <v>7</v>
      </c>
      <c r="D322" s="46">
        <v>4088.286290322581</v>
      </c>
      <c r="E322" s="43">
        <v>1221.1164314516129</v>
      </c>
      <c r="F322" s="47">
        <v>2983.6768558355784</v>
      </c>
      <c r="G322" s="43"/>
    </row>
    <row r="323" spans="2:7" x14ac:dyDescent="0.25">
      <c r="B323" s="736"/>
      <c r="C323" s="451">
        <v>8</v>
      </c>
      <c r="D323" s="46">
        <v>4066.9959677419356</v>
      </c>
      <c r="E323" s="43">
        <v>1282.749495967742</v>
      </c>
      <c r="F323" s="47">
        <v>3334.8903600168828</v>
      </c>
      <c r="G323" s="43"/>
    </row>
    <row r="324" spans="2:7" x14ac:dyDescent="0.25">
      <c r="B324" s="736"/>
      <c r="C324" s="451">
        <v>9</v>
      </c>
      <c r="D324" s="46">
        <v>4191.3508064516127</v>
      </c>
      <c r="E324" s="43">
        <v>1242.8301411290324</v>
      </c>
      <c r="F324" s="47">
        <v>3517.5862483876008</v>
      </c>
      <c r="G324" s="43"/>
    </row>
    <row r="325" spans="2:7" x14ac:dyDescent="0.25">
      <c r="B325" s="736"/>
      <c r="C325" s="451">
        <v>10</v>
      </c>
      <c r="D325" s="46">
        <v>3681.5322580645161</v>
      </c>
      <c r="E325" s="43">
        <v>1179.7983870967741</v>
      </c>
      <c r="F325" s="47">
        <v>3574.3189672821818</v>
      </c>
      <c r="G325" s="43"/>
    </row>
    <row r="326" spans="2:7" x14ac:dyDescent="0.25">
      <c r="B326" s="736"/>
      <c r="C326" s="451">
        <v>11</v>
      </c>
      <c r="D326" s="46">
        <v>3466.9354838709678</v>
      </c>
      <c r="E326" s="43">
        <v>1155.0604838709676</v>
      </c>
      <c r="F326" s="47">
        <v>3505.8683917462308</v>
      </c>
      <c r="G326" s="43"/>
    </row>
    <row r="327" spans="2:7" x14ac:dyDescent="0.25">
      <c r="B327" s="736"/>
      <c r="C327" s="451">
        <v>12</v>
      </c>
      <c r="D327" s="46">
        <v>3622.5</v>
      </c>
      <c r="E327" s="43">
        <v>1077.9435483870966</v>
      </c>
      <c r="F327" s="47">
        <v>3625.8108250819378</v>
      </c>
      <c r="G327" s="43"/>
    </row>
    <row r="328" spans="2:7" x14ac:dyDescent="0.25">
      <c r="B328" s="736"/>
      <c r="C328" s="451">
        <v>13</v>
      </c>
      <c r="D328" s="46">
        <v>3934.8387096774195</v>
      </c>
      <c r="E328" s="43">
        <v>1124.6975806451612</v>
      </c>
      <c r="F328" s="47">
        <v>3774.5794141336114</v>
      </c>
      <c r="G328" s="43"/>
    </row>
    <row r="329" spans="2:7" x14ac:dyDescent="0.25">
      <c r="B329" s="736"/>
      <c r="C329" s="451">
        <v>14</v>
      </c>
      <c r="D329" s="46">
        <v>4197.0967741935483</v>
      </c>
      <c r="E329" s="43">
        <v>1173.3266129032259</v>
      </c>
      <c r="F329" s="47">
        <v>3761.681681934218</v>
      </c>
      <c r="G329" s="43"/>
    </row>
    <row r="330" spans="2:7" x14ac:dyDescent="0.25">
      <c r="B330" s="736"/>
      <c r="C330" s="451">
        <v>15</v>
      </c>
      <c r="D330" s="46">
        <v>3798.8709677419356</v>
      </c>
      <c r="E330" s="43">
        <v>1192.3790322580644</v>
      </c>
      <c r="F330" s="47">
        <v>3651.5743396732223</v>
      </c>
      <c r="G330" s="43"/>
    </row>
    <row r="331" spans="2:7" x14ac:dyDescent="0.25">
      <c r="B331" s="736"/>
      <c r="C331" s="451">
        <v>16</v>
      </c>
      <c r="D331" s="46">
        <v>3742.5</v>
      </c>
      <c r="E331" s="43">
        <v>1291.9959677419356</v>
      </c>
      <c r="F331" s="47">
        <v>3585.2691601169413</v>
      </c>
      <c r="G331" s="43"/>
    </row>
    <row r="332" spans="2:7" x14ac:dyDescent="0.25">
      <c r="B332" s="736"/>
      <c r="C332" s="451">
        <v>17</v>
      </c>
      <c r="D332" s="46">
        <v>4085.5645161290322</v>
      </c>
      <c r="E332" s="43">
        <v>1501.5725806451612</v>
      </c>
      <c r="F332" s="47">
        <v>3731.1126596704689</v>
      </c>
      <c r="G332" s="43"/>
    </row>
    <row r="333" spans="2:7" x14ac:dyDescent="0.25">
      <c r="B333" s="736"/>
      <c r="C333" s="451">
        <v>18</v>
      </c>
      <c r="D333" s="46">
        <v>5021.4314516129025</v>
      </c>
      <c r="E333" s="43">
        <v>1562.6688508064515</v>
      </c>
      <c r="F333" s="47">
        <v>3718.0626395912918</v>
      </c>
      <c r="G333" s="43"/>
    </row>
    <row r="334" spans="2:7" x14ac:dyDescent="0.25">
      <c r="B334" s="736"/>
      <c r="C334" s="451">
        <v>19</v>
      </c>
      <c r="D334" s="46">
        <v>5070.5443548387102</v>
      </c>
      <c r="E334" s="43">
        <v>1378.132560483871</v>
      </c>
      <c r="F334" s="47">
        <v>3661.6043759763852</v>
      </c>
      <c r="G334" s="43"/>
    </row>
    <row r="335" spans="2:7" x14ac:dyDescent="0.25">
      <c r="B335" s="736"/>
      <c r="C335" s="451">
        <v>20</v>
      </c>
      <c r="D335" s="46">
        <v>4867.3185483870966</v>
      </c>
      <c r="E335" s="43">
        <v>1190.9954637096776</v>
      </c>
      <c r="F335" s="47">
        <v>3544.2927099167227</v>
      </c>
      <c r="G335" s="43"/>
    </row>
    <row r="336" spans="2:7" x14ac:dyDescent="0.25">
      <c r="B336" s="736"/>
      <c r="C336" s="451">
        <v>21</v>
      </c>
      <c r="D336" s="46">
        <v>4792.5604838709678</v>
      </c>
      <c r="E336" s="43">
        <v>1185.5519153225805</v>
      </c>
      <c r="F336" s="47">
        <v>3424.3297969811974</v>
      </c>
      <c r="G336" s="43"/>
    </row>
    <row r="337" spans="2:7" x14ac:dyDescent="0.25">
      <c r="B337" s="736"/>
      <c r="C337" s="451">
        <v>22</v>
      </c>
      <c r="D337" s="46">
        <v>4458.2056451612898</v>
      </c>
      <c r="E337" s="43">
        <v>1151.1365927419356</v>
      </c>
      <c r="F337" s="47">
        <v>3020.281358720194</v>
      </c>
      <c r="G337" s="43"/>
    </row>
    <row r="338" spans="2:7" x14ac:dyDescent="0.25">
      <c r="B338" s="736"/>
      <c r="C338" s="451">
        <v>23</v>
      </c>
      <c r="D338" s="48">
        <v>3992.9637096774195</v>
      </c>
      <c r="E338" s="106">
        <v>977.30594758064512</v>
      </c>
      <c r="F338" s="49">
        <v>2517.6062325249163</v>
      </c>
      <c r="G338" s="43"/>
    </row>
    <row r="339" spans="2:7" x14ac:dyDescent="0.25">
      <c r="G339" s="43"/>
    </row>
  </sheetData>
  <mergeCells count="12">
    <mergeCell ref="B315:B338"/>
    <mergeCell ref="B195:B218"/>
    <mergeCell ref="B219:B242"/>
    <mergeCell ref="B243:B266"/>
    <mergeCell ref="B267:B290"/>
    <mergeCell ref="B291:B314"/>
    <mergeCell ref="B123:B146"/>
    <mergeCell ref="B147:B170"/>
    <mergeCell ref="B171:B194"/>
    <mergeCell ref="B51:B74"/>
    <mergeCell ref="B75:B98"/>
    <mergeCell ref="B99:B122"/>
  </mergeCells>
  <conditionalFormatting sqref="D51:D74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:D98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9:D122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3:D146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47:D17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1:D19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95:D218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9:D24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43:D266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67:D290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1:D314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5:D338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1:E74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5:E9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9:E122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7:E17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71:E194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95:E218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9:E242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43:E266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67:E290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91:E314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15:E338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3:E146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0:G74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5:G98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9:G12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7:G170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71:G19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5:G218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9:G242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3:G26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67:G29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91:G31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15:G339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3:G14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:F7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:F9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9:F12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7:F17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1:F19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95:F21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9:F24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43:F26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67:F29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91:F31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5:F3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3:F14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B1:R46"/>
  <sheetViews>
    <sheetView showGridLines="0" zoomScaleNormal="10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E14" sqref="E14"/>
    </sheetView>
  </sheetViews>
  <sheetFormatPr baseColWidth="10" defaultRowHeight="15" outlineLevelRow="1" x14ac:dyDescent="0.25"/>
  <cols>
    <col min="1" max="1" width="8.7109375" customWidth="1"/>
    <col min="2" max="2" width="38.5703125" bestFit="1" customWidth="1"/>
    <col min="4" max="4" width="12.7109375" customWidth="1"/>
  </cols>
  <sheetData>
    <row r="1" spans="2:15" ht="6.75" customHeight="1" x14ac:dyDescent="0.25"/>
    <row r="2" spans="2:15" ht="8.25" customHeight="1" x14ac:dyDescent="0.25"/>
    <row r="3" spans="2:15" ht="18" x14ac:dyDescent="0.25">
      <c r="B3" s="738" t="s">
        <v>358</v>
      </c>
      <c r="C3" s="738"/>
      <c r="D3" s="738"/>
      <c r="E3" s="738"/>
      <c r="F3" s="738"/>
      <c r="G3" s="738"/>
      <c r="H3" s="738"/>
      <c r="I3" s="738"/>
      <c r="J3" s="738"/>
      <c r="K3" s="738"/>
      <c r="L3" s="738"/>
      <c r="M3" s="738"/>
    </row>
    <row r="4" spans="2:15" x14ac:dyDescent="0.25"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34">
        <v>0.01</v>
      </c>
    </row>
    <row r="5" spans="2:15" x14ac:dyDescent="0.25">
      <c r="B5" s="195"/>
      <c r="C5" s="191">
        <v>0</v>
      </c>
      <c r="D5" s="191">
        <v>1</v>
      </c>
      <c r="E5" s="191">
        <v>2</v>
      </c>
      <c r="F5" s="191">
        <v>3</v>
      </c>
      <c r="G5" s="191">
        <v>4</v>
      </c>
      <c r="H5" s="191">
        <v>5</v>
      </c>
      <c r="I5" s="191">
        <v>6</v>
      </c>
      <c r="J5" s="191">
        <v>7</v>
      </c>
      <c r="K5" s="191">
        <v>8</v>
      </c>
      <c r="L5" s="191">
        <v>9</v>
      </c>
      <c r="M5" s="191">
        <v>10</v>
      </c>
      <c r="N5" s="175"/>
    </row>
    <row r="6" spans="2:15" ht="18" x14ac:dyDescent="0.25">
      <c r="B6" s="375" t="s">
        <v>145</v>
      </c>
      <c r="C6" s="337"/>
      <c r="D6" s="337"/>
      <c r="E6" s="337"/>
      <c r="F6" s="337"/>
      <c r="G6" s="337"/>
      <c r="H6" s="337"/>
      <c r="I6" s="337"/>
      <c r="J6" s="337"/>
      <c r="K6" s="337"/>
      <c r="L6" s="337"/>
      <c r="M6" s="337"/>
      <c r="N6" s="175"/>
    </row>
    <row r="7" spans="2:15" ht="8.25" customHeight="1" x14ac:dyDescent="0.25"/>
    <row r="8" spans="2:15" outlineLevel="1" x14ac:dyDescent="0.25">
      <c r="B8" s="338" t="s">
        <v>374</v>
      </c>
      <c r="C8" s="360">
        <v>0</v>
      </c>
      <c r="D8" s="361">
        <v>0.05</v>
      </c>
      <c r="E8" s="361">
        <v>0.1</v>
      </c>
      <c r="F8" s="361">
        <v>0.15</v>
      </c>
      <c r="G8" s="361">
        <v>0.2</v>
      </c>
      <c r="H8" s="361">
        <v>0.25</v>
      </c>
      <c r="I8" s="361">
        <v>0.3</v>
      </c>
      <c r="J8" s="361">
        <v>0.35</v>
      </c>
      <c r="K8" s="361">
        <v>0.4</v>
      </c>
      <c r="L8" s="361">
        <v>0.45</v>
      </c>
      <c r="M8" s="362">
        <v>0.5</v>
      </c>
    </row>
    <row r="9" spans="2:15" outlineLevel="1" x14ac:dyDescent="0.25">
      <c r="B9" s="340" t="s">
        <v>372</v>
      </c>
      <c r="C9" s="363">
        <v>0</v>
      </c>
      <c r="D9" s="364">
        <v>0.05</v>
      </c>
      <c r="E9" s="364">
        <v>0.1</v>
      </c>
      <c r="F9" s="364">
        <v>0.15</v>
      </c>
      <c r="G9" s="364">
        <v>0.2</v>
      </c>
      <c r="H9" s="364">
        <v>0.25</v>
      </c>
      <c r="I9" s="364">
        <v>0.3</v>
      </c>
      <c r="J9" s="364">
        <v>0.35</v>
      </c>
      <c r="K9" s="364">
        <v>0.4</v>
      </c>
      <c r="L9" s="364">
        <v>0.45</v>
      </c>
      <c r="M9" s="365">
        <v>0.5</v>
      </c>
    </row>
    <row r="10" spans="2:15" outlineLevel="1" x14ac:dyDescent="0.25">
      <c r="B10" s="340" t="s">
        <v>379</v>
      </c>
      <c r="C10" s="363">
        <v>0</v>
      </c>
      <c r="D10" s="364">
        <v>0.05</v>
      </c>
      <c r="E10" s="364">
        <v>0.1</v>
      </c>
      <c r="F10" s="364">
        <v>0.15</v>
      </c>
      <c r="G10" s="364">
        <v>0.2</v>
      </c>
      <c r="H10" s="364">
        <v>0.25</v>
      </c>
      <c r="I10" s="364">
        <v>0.3</v>
      </c>
      <c r="J10" s="364">
        <v>0.35</v>
      </c>
      <c r="K10" s="364">
        <v>0.4</v>
      </c>
      <c r="L10" s="364">
        <v>0.45</v>
      </c>
      <c r="M10" s="365">
        <v>0.5</v>
      </c>
    </row>
    <row r="11" spans="2:15" outlineLevel="1" x14ac:dyDescent="0.25">
      <c r="B11" s="343" t="s">
        <v>382</v>
      </c>
      <c r="C11" s="366">
        <v>0</v>
      </c>
      <c r="D11" s="367">
        <v>0.03</v>
      </c>
      <c r="E11" s="367">
        <v>0.03</v>
      </c>
      <c r="F11" s="367">
        <v>0.03</v>
      </c>
      <c r="G11" s="367">
        <v>0.03</v>
      </c>
      <c r="H11" s="367">
        <v>0.03</v>
      </c>
      <c r="I11" s="367">
        <v>0.03</v>
      </c>
      <c r="J11" s="367">
        <v>0.03</v>
      </c>
      <c r="K11" s="367">
        <v>0.03</v>
      </c>
      <c r="L11" s="367">
        <v>0.03</v>
      </c>
      <c r="M11" s="368">
        <v>0.03</v>
      </c>
    </row>
    <row r="12" spans="2:15" x14ac:dyDescent="0.25">
      <c r="B12" s="338" t="s">
        <v>371</v>
      </c>
      <c r="C12" s="324" t="e">
        <f>+AVERAGE('Parámetros Planta'!#REF!)</f>
        <v>#REF!</v>
      </c>
      <c r="D12" s="324" t="e">
        <f>+$C$12*(1+D8)</f>
        <v>#REF!</v>
      </c>
      <c r="E12" s="324" t="e">
        <f>+$C$12*(1+E8)</f>
        <v>#REF!</v>
      </c>
      <c r="F12" s="324" t="e">
        <f t="shared" ref="F12:M12" si="0">+$C$12*(1+F8)</f>
        <v>#REF!</v>
      </c>
      <c r="G12" s="324" t="e">
        <f t="shared" si="0"/>
        <v>#REF!</v>
      </c>
      <c r="H12" s="324" t="e">
        <f t="shared" si="0"/>
        <v>#REF!</v>
      </c>
      <c r="I12" s="324" t="e">
        <f t="shared" si="0"/>
        <v>#REF!</v>
      </c>
      <c r="J12" s="324" t="e">
        <f t="shared" si="0"/>
        <v>#REF!</v>
      </c>
      <c r="K12" s="324" t="e">
        <f t="shared" si="0"/>
        <v>#REF!</v>
      </c>
      <c r="L12" s="324" t="e">
        <f t="shared" si="0"/>
        <v>#REF!</v>
      </c>
      <c r="M12" s="325" t="e">
        <f t="shared" si="0"/>
        <v>#REF!</v>
      </c>
      <c r="N12" s="175"/>
    </row>
    <row r="13" spans="2:15" x14ac:dyDescent="0.25">
      <c r="B13" s="340" t="s">
        <v>375</v>
      </c>
      <c r="C13" s="35" t="e">
        <f>+AVERAGE('Parámetros Planta'!#REF!)</f>
        <v>#REF!</v>
      </c>
      <c r="D13" s="35" t="e">
        <f>+$C$13*(1+D9)</f>
        <v>#REF!</v>
      </c>
      <c r="E13" s="35" t="e">
        <f t="shared" ref="E13:M13" si="1">+$C$13*(1+E9)</f>
        <v>#REF!</v>
      </c>
      <c r="F13" s="35" t="e">
        <f t="shared" si="1"/>
        <v>#REF!</v>
      </c>
      <c r="G13" s="35" t="e">
        <f t="shared" si="1"/>
        <v>#REF!</v>
      </c>
      <c r="H13" s="35" t="e">
        <f t="shared" si="1"/>
        <v>#REF!</v>
      </c>
      <c r="I13" s="35" t="e">
        <f t="shared" si="1"/>
        <v>#REF!</v>
      </c>
      <c r="J13" s="35" t="e">
        <f t="shared" si="1"/>
        <v>#REF!</v>
      </c>
      <c r="K13" s="35" t="e">
        <f t="shared" si="1"/>
        <v>#REF!</v>
      </c>
      <c r="L13" s="35" t="e">
        <f t="shared" si="1"/>
        <v>#REF!</v>
      </c>
      <c r="M13" s="322" t="e">
        <f t="shared" si="1"/>
        <v>#REF!</v>
      </c>
      <c r="N13" s="175"/>
    </row>
    <row r="14" spans="2:15" x14ac:dyDescent="0.25">
      <c r="B14" s="343" t="s">
        <v>378</v>
      </c>
      <c r="C14" s="335" t="e">
        <f>+AVERAGE('Parámetros Planta'!#REF!)</f>
        <v>#REF!</v>
      </c>
      <c r="D14" s="335" t="e">
        <f>+$C$14*(1+D10)</f>
        <v>#REF!</v>
      </c>
      <c r="E14" s="335" t="e">
        <f t="shared" ref="E14:M14" si="2">+$C$14*(1+E10)</f>
        <v>#REF!</v>
      </c>
      <c r="F14" s="335" t="e">
        <f t="shared" si="2"/>
        <v>#REF!</v>
      </c>
      <c r="G14" s="335" t="e">
        <f t="shared" si="2"/>
        <v>#REF!</v>
      </c>
      <c r="H14" s="335" t="e">
        <f t="shared" si="2"/>
        <v>#REF!</v>
      </c>
      <c r="I14" s="335" t="e">
        <f t="shared" si="2"/>
        <v>#REF!</v>
      </c>
      <c r="J14" s="335" t="e">
        <f t="shared" si="2"/>
        <v>#REF!</v>
      </c>
      <c r="K14" s="335" t="e">
        <f t="shared" si="2"/>
        <v>#REF!</v>
      </c>
      <c r="L14" s="335" t="e">
        <f t="shared" si="2"/>
        <v>#REF!</v>
      </c>
      <c r="M14" s="369" t="e">
        <f t="shared" si="2"/>
        <v>#REF!</v>
      </c>
      <c r="N14" s="175"/>
    </row>
    <row r="15" spans="2:15" ht="15.75" x14ac:dyDescent="0.3">
      <c r="B15" s="338" t="s">
        <v>359</v>
      </c>
      <c r="C15" s="324" t="e">
        <f ca="1">+#REF!</f>
        <v>#REF!</v>
      </c>
      <c r="D15" s="324" t="e">
        <f ca="1">+D12^3*'Parámetros Planta'!#REF!+'Parámetros Planta'!#REF!*'Est Sensibilidad'!D12^2+'Est Sensibilidad'!D12*'Parámetros Planta'!#REF!+'Parámetros Planta'!#REF!</f>
        <v>#REF!</v>
      </c>
      <c r="E15" s="324" t="e">
        <f ca="1">+E12^3*'Parámetros Planta'!#REF!+'Parámetros Planta'!#REF!*'Est Sensibilidad'!E12^2+'Est Sensibilidad'!E12*'Parámetros Planta'!#REF!+'Parámetros Planta'!#REF!</f>
        <v>#REF!</v>
      </c>
      <c r="F15" s="324" t="e">
        <f ca="1">+F12^3*'Parámetros Planta'!#REF!+'Parámetros Planta'!#REF!*'Est Sensibilidad'!F12^2+'Est Sensibilidad'!F12*'Parámetros Planta'!#REF!+'Parámetros Planta'!#REF!</f>
        <v>#REF!</v>
      </c>
      <c r="G15" s="324" t="e">
        <f ca="1">+G12^3*'Parámetros Planta'!#REF!+'Parámetros Planta'!#REF!*'Est Sensibilidad'!G12^2+'Est Sensibilidad'!G12*'Parámetros Planta'!#REF!+'Parámetros Planta'!#REF!</f>
        <v>#REF!</v>
      </c>
      <c r="H15" s="324" t="e">
        <f ca="1">+H12^3*'Parámetros Planta'!#REF!+'Parámetros Planta'!#REF!*'Est Sensibilidad'!H12^2+'Est Sensibilidad'!H12*'Parámetros Planta'!#REF!+'Parámetros Planta'!#REF!</f>
        <v>#REF!</v>
      </c>
      <c r="I15" s="324" t="e">
        <f ca="1">+I12^3*'Parámetros Planta'!#REF!+'Parámetros Planta'!#REF!*'Est Sensibilidad'!I12^2+'Est Sensibilidad'!I12*'Parámetros Planta'!#REF!+'Parámetros Planta'!#REF!</f>
        <v>#REF!</v>
      </c>
      <c r="J15" s="324" t="e">
        <f ca="1">+J12^3*'Parámetros Planta'!#REF!+'Parámetros Planta'!#REF!*'Est Sensibilidad'!J12^2+'Est Sensibilidad'!J12*'Parámetros Planta'!#REF!+'Parámetros Planta'!#REF!</f>
        <v>#REF!</v>
      </c>
      <c r="K15" s="324" t="e">
        <f ca="1">+K12^3*'Parámetros Planta'!#REF!+'Parámetros Planta'!#REF!*'Est Sensibilidad'!K12^2+'Est Sensibilidad'!K12*'Parámetros Planta'!#REF!+'Parámetros Planta'!#REF!</f>
        <v>#REF!</v>
      </c>
      <c r="L15" s="324" t="e">
        <f ca="1">+L12^3*'Parámetros Planta'!#REF!+'Parámetros Planta'!#REF!*'Est Sensibilidad'!L12^2+'Est Sensibilidad'!L12*'Parámetros Planta'!#REF!+'Parámetros Planta'!#REF!</f>
        <v>#REF!</v>
      </c>
      <c r="M15" s="325" t="e">
        <f ca="1">+M12^3*'Parámetros Planta'!#REF!+'Parámetros Planta'!#REF!*'Est Sensibilidad'!M12^2+'Est Sensibilidad'!M12*'Parámetros Planta'!#REF!+'Parámetros Planta'!#REF!</f>
        <v>#REF!</v>
      </c>
    </row>
    <row r="16" spans="2:15" ht="15.75" x14ac:dyDescent="0.3">
      <c r="B16" s="340" t="s">
        <v>377</v>
      </c>
      <c r="C16" s="35">
        <f ca="1">+#REF!*#REF!</f>
        <v>127.34739999999999</v>
      </c>
      <c r="D16" s="35" t="e">
        <f ca="1">+(D13^3*'Parámetros Planta'!#REF!+'Parámetros Planta'!#REF!*'Est Sensibilidad'!D13^2+'Est Sensibilidad'!D13*'Parámetros Planta'!#REF!+'Parámetros Planta'!#REF!)</f>
        <v>#REF!</v>
      </c>
      <c r="E16" s="35" t="e">
        <f ca="1">+(E13^3*'Parámetros Planta'!#REF!+'Parámetros Planta'!#REF!*'Est Sensibilidad'!E13^2+'Est Sensibilidad'!E13*'Parámetros Planta'!#REF!+'Parámetros Planta'!#REF!)</f>
        <v>#REF!</v>
      </c>
      <c r="F16" s="35" t="e">
        <f ca="1">+(F13^3*'Parámetros Planta'!#REF!+'Parámetros Planta'!#REF!*'Est Sensibilidad'!F13^2+'Est Sensibilidad'!F13*'Parámetros Planta'!#REF!+'Parámetros Planta'!#REF!)</f>
        <v>#REF!</v>
      </c>
      <c r="G16" s="35" t="e">
        <f ca="1">+(G13^3*'Parámetros Planta'!#REF!+'Parámetros Planta'!#REF!*'Est Sensibilidad'!G13^2+'Est Sensibilidad'!G13*'Parámetros Planta'!#REF!+'Parámetros Planta'!#REF!)</f>
        <v>#REF!</v>
      </c>
      <c r="H16" s="35" t="e">
        <f ca="1">+(H13^3*'Parámetros Planta'!#REF!+'Parámetros Planta'!#REF!*'Est Sensibilidad'!H13^2+'Est Sensibilidad'!H13*'Parámetros Planta'!#REF!+'Parámetros Planta'!#REF!)</f>
        <v>#REF!</v>
      </c>
      <c r="I16" s="35" t="e">
        <f ca="1">+(I13^3*'Parámetros Planta'!#REF!+'Parámetros Planta'!#REF!*'Est Sensibilidad'!I13^2+'Est Sensibilidad'!I13*'Parámetros Planta'!#REF!+'Parámetros Planta'!#REF!)</f>
        <v>#REF!</v>
      </c>
      <c r="J16" s="35" t="e">
        <f ca="1">+(J13^3*'Parámetros Planta'!#REF!+'Parámetros Planta'!#REF!*'Est Sensibilidad'!J13^2+'Est Sensibilidad'!J13*'Parámetros Planta'!#REF!+'Parámetros Planta'!#REF!)</f>
        <v>#REF!</v>
      </c>
      <c r="K16" s="35" t="e">
        <f ca="1">+(K13^3*'Parámetros Planta'!#REF!+'Parámetros Planta'!#REF!*'Est Sensibilidad'!K13^2+'Est Sensibilidad'!K13*'Parámetros Planta'!#REF!+'Parámetros Planta'!#REF!)</f>
        <v>#REF!</v>
      </c>
      <c r="L16" s="35" t="e">
        <f ca="1">+(L13^3*'Parámetros Planta'!#REF!+'Parámetros Planta'!#REF!*'Est Sensibilidad'!L13^2+'Est Sensibilidad'!L13*'Parámetros Planta'!#REF!+'Parámetros Planta'!#REF!)</f>
        <v>#REF!</v>
      </c>
      <c r="M16" s="322" t="e">
        <f ca="1">+(M13^3*'Parámetros Planta'!#REF!+'Parámetros Planta'!#REF!*'Est Sensibilidad'!M13^2+'Est Sensibilidad'!M13*'Parámetros Planta'!#REF!+'Parámetros Planta'!#REF!)</f>
        <v>#REF!</v>
      </c>
    </row>
    <row r="17" spans="2:13" ht="15.75" x14ac:dyDescent="0.3">
      <c r="B17" s="343" t="s">
        <v>360</v>
      </c>
      <c r="C17" s="370">
        <f ca="1">#REF!/3.785</f>
        <v>0.26307780857020463</v>
      </c>
      <c r="D17" s="370" t="e">
        <f ca="1">+(D13^3*'Parámetros Planta'!#REF!+'Parámetros Planta'!#REF!*'Est Sensibilidad'!D13^2+'Est Sensibilidad'!D13*'Parámetros Planta'!#REF!+'Parámetros Planta'!#REF!)/3.785/#REF!</f>
        <v>#REF!</v>
      </c>
      <c r="E17" s="370" t="e">
        <f ca="1">+(E13^3*'Parámetros Planta'!#REF!+'Parámetros Planta'!#REF!*'Est Sensibilidad'!E13^2+'Est Sensibilidad'!E13*'Parámetros Planta'!#REF!+'Parámetros Planta'!#REF!)/3.785/#REF!</f>
        <v>#REF!</v>
      </c>
      <c r="F17" s="370" t="e">
        <f ca="1">+(F13^3*'Parámetros Planta'!#REF!+'Parámetros Planta'!#REF!*'Est Sensibilidad'!F13^2+'Est Sensibilidad'!F13*'Parámetros Planta'!#REF!+'Parámetros Planta'!#REF!)/3.785/#REF!</f>
        <v>#REF!</v>
      </c>
      <c r="G17" s="370" t="e">
        <f ca="1">+(G13^3*'Parámetros Planta'!#REF!+'Parámetros Planta'!#REF!*'Est Sensibilidad'!G13^2+'Est Sensibilidad'!G13*'Parámetros Planta'!#REF!+'Parámetros Planta'!#REF!)/3.785/#REF!</f>
        <v>#REF!</v>
      </c>
      <c r="H17" s="370" t="e">
        <f ca="1">+(H13^3*'Parámetros Planta'!#REF!+'Parámetros Planta'!#REF!*'Est Sensibilidad'!H13^2+'Est Sensibilidad'!H13*'Parámetros Planta'!#REF!+'Parámetros Planta'!#REF!)/3.785/#REF!</f>
        <v>#REF!</v>
      </c>
      <c r="I17" s="370" t="e">
        <f ca="1">+(I13^3*'Parámetros Planta'!#REF!+'Parámetros Planta'!#REF!*'Est Sensibilidad'!I13^2+'Est Sensibilidad'!I13*'Parámetros Planta'!#REF!+'Parámetros Planta'!#REF!)/3.785/#REF!</f>
        <v>#REF!</v>
      </c>
      <c r="J17" s="370" t="e">
        <f ca="1">+(J13^3*'Parámetros Planta'!#REF!+'Parámetros Planta'!#REF!*'Est Sensibilidad'!J13^2+'Est Sensibilidad'!J13*'Parámetros Planta'!#REF!+'Parámetros Planta'!#REF!)/3.785/#REF!</f>
        <v>#REF!</v>
      </c>
      <c r="K17" s="370" t="e">
        <f ca="1">+(K13^3*'Parámetros Planta'!#REF!+'Parámetros Planta'!#REF!*'Est Sensibilidad'!K13^2+'Est Sensibilidad'!K13*'Parámetros Planta'!#REF!+'Parámetros Planta'!#REF!)/3.785/#REF!</f>
        <v>#REF!</v>
      </c>
      <c r="L17" s="370" t="e">
        <f ca="1">+(L13^3*'Parámetros Planta'!#REF!+'Parámetros Planta'!#REF!*'Est Sensibilidad'!L13^2+'Est Sensibilidad'!L13*'Parámetros Planta'!#REF!+'Parámetros Planta'!#REF!)/3.785/#REF!</f>
        <v>#REF!</v>
      </c>
      <c r="M17" s="371" t="e">
        <f ca="1">+(M13^3*'Parámetros Planta'!#REF!+'Parámetros Planta'!#REF!*'Est Sensibilidad'!M13^2+'Est Sensibilidad'!M13*'Parámetros Planta'!#REF!+'Parámetros Planta'!#REF!)/3.785/#REF!</f>
        <v>#REF!</v>
      </c>
    </row>
    <row r="18" spans="2:13" x14ac:dyDescent="0.25">
      <c r="B18" s="199"/>
    </row>
    <row r="19" spans="2:13" x14ac:dyDescent="0.25">
      <c r="B19" s="338" t="s">
        <v>361</v>
      </c>
      <c r="C19" s="336" t="e">
        <f ca="1">+Fórmulas!$B$8+Fórmulas!$B$6*'Est Sensibilidad'!C15+Fórmulas!$B$7*'Est Sensibilidad'!C17</f>
        <v>#REF!</v>
      </c>
      <c r="D19" s="336" t="e">
        <f ca="1">+Fórmulas!$B$8+Fórmulas!$B$6*'Est Sensibilidad'!D15+Fórmulas!$B$7*'Est Sensibilidad'!D17</f>
        <v>#REF!</v>
      </c>
      <c r="E19" s="336" t="e">
        <f ca="1">+Fórmulas!$B$8+Fórmulas!$B$6*'Est Sensibilidad'!E15+Fórmulas!$B$7*'Est Sensibilidad'!E17</f>
        <v>#REF!</v>
      </c>
      <c r="F19" s="336" t="e">
        <f ca="1">+Fórmulas!$B$8+Fórmulas!$B$6*'Est Sensibilidad'!F15+Fórmulas!$B$7*'Est Sensibilidad'!F17</f>
        <v>#REF!</v>
      </c>
      <c r="G19" s="336" t="e">
        <f ca="1">+Fórmulas!$B$8+Fórmulas!$B$6*'Est Sensibilidad'!G15+Fórmulas!$B$7*'Est Sensibilidad'!G17</f>
        <v>#REF!</v>
      </c>
      <c r="H19" s="336" t="e">
        <f ca="1">+Fórmulas!$B$8+Fórmulas!$B$6*'Est Sensibilidad'!H15+Fórmulas!$B$7*'Est Sensibilidad'!H17</f>
        <v>#REF!</v>
      </c>
      <c r="I19" s="336" t="e">
        <f ca="1">+Fórmulas!$B$8+Fórmulas!$B$6*'Est Sensibilidad'!I15+Fórmulas!$B$7*'Est Sensibilidad'!I17</f>
        <v>#REF!</v>
      </c>
      <c r="J19" s="336" t="e">
        <f ca="1">+Fórmulas!$B$8+Fórmulas!$B$6*'Est Sensibilidad'!J15+Fórmulas!$B$7*'Est Sensibilidad'!J17</f>
        <v>#REF!</v>
      </c>
      <c r="K19" s="336" t="e">
        <f ca="1">+Fórmulas!$B$8+Fórmulas!$B$6*'Est Sensibilidad'!K15+Fórmulas!$B$7*'Est Sensibilidad'!K17</f>
        <v>#REF!</v>
      </c>
      <c r="L19" s="336" t="e">
        <f ca="1">+Fórmulas!$B$8+Fórmulas!$B$6*'Est Sensibilidad'!L15+Fórmulas!$B$7*'Est Sensibilidad'!L17</f>
        <v>#REF!</v>
      </c>
      <c r="M19" s="339" t="e">
        <f ca="1">+Fórmulas!$B$8+Fórmulas!$B$6*'Est Sensibilidad'!M15+Fórmulas!$B$7*'Est Sensibilidad'!M17</f>
        <v>#REF!</v>
      </c>
    </row>
    <row r="20" spans="2:13" x14ac:dyDescent="0.25">
      <c r="B20" s="340" t="s">
        <v>362</v>
      </c>
      <c r="C20" s="341" t="e">
        <f>+Fórmulas!$B$12+Fórmulas!$B$11*'Est Sensibilidad'!C15</f>
        <v>#REF!</v>
      </c>
      <c r="D20" s="341" t="e">
        <f>+Fórmulas!$B$12+Fórmulas!$B$11*'Est Sensibilidad'!D15</f>
        <v>#REF!</v>
      </c>
      <c r="E20" s="341" t="e">
        <f>+Fórmulas!$B$12+Fórmulas!$B$11*'Est Sensibilidad'!E15</f>
        <v>#REF!</v>
      </c>
      <c r="F20" s="341" t="e">
        <f>+Fórmulas!$B$12+Fórmulas!$B$11*'Est Sensibilidad'!F15</f>
        <v>#REF!</v>
      </c>
      <c r="G20" s="341" t="e">
        <f>+Fórmulas!$B$12+Fórmulas!$B$11*'Est Sensibilidad'!G15</f>
        <v>#REF!</v>
      </c>
      <c r="H20" s="341" t="e">
        <f>+Fórmulas!$B$12+Fórmulas!$B$11*'Est Sensibilidad'!H15</f>
        <v>#REF!</v>
      </c>
      <c r="I20" s="341" t="e">
        <f>+Fórmulas!$B$12+Fórmulas!$B$11*'Est Sensibilidad'!I15</f>
        <v>#REF!</v>
      </c>
      <c r="J20" s="341" t="e">
        <f>+Fórmulas!$B$12+Fórmulas!$B$11*'Est Sensibilidad'!J15</f>
        <v>#REF!</v>
      </c>
      <c r="K20" s="341" t="e">
        <f>+Fórmulas!$B$12+Fórmulas!$B$11*'Est Sensibilidad'!K15</f>
        <v>#REF!</v>
      </c>
      <c r="L20" s="341" t="e">
        <f>+Fórmulas!$B$12+Fórmulas!$B$11*'Est Sensibilidad'!L15</f>
        <v>#REF!</v>
      </c>
      <c r="M20" s="342" t="e">
        <f>+Fórmulas!$B$12+Fórmulas!$B$11*'Est Sensibilidad'!M15</f>
        <v>#REF!</v>
      </c>
    </row>
    <row r="21" spans="2:13" x14ac:dyDescent="0.25">
      <c r="B21" s="343" t="s">
        <v>363</v>
      </c>
      <c r="C21" s="344" t="e">
        <f ca="1">+Fórmulas!$B$16+Fórmulas!$B$15*'Est Sensibilidad'!C19</f>
        <v>#REF!</v>
      </c>
      <c r="D21" s="344" t="e">
        <f ca="1">+Fórmulas!$B$16+Fórmulas!$B$15*'Est Sensibilidad'!D19</f>
        <v>#REF!</v>
      </c>
      <c r="E21" s="344" t="e">
        <f ca="1">+Fórmulas!$B$16+Fórmulas!$B$15*'Est Sensibilidad'!E19</f>
        <v>#REF!</v>
      </c>
      <c r="F21" s="344" t="e">
        <f ca="1">+Fórmulas!$B$16+Fórmulas!$B$15*'Est Sensibilidad'!F19</f>
        <v>#REF!</v>
      </c>
      <c r="G21" s="344" t="e">
        <f ca="1">+Fórmulas!$B$16+Fórmulas!$B$15*'Est Sensibilidad'!G19</f>
        <v>#REF!</v>
      </c>
      <c r="H21" s="344" t="e">
        <f ca="1">+Fórmulas!$B$16+Fórmulas!$B$15*'Est Sensibilidad'!H19</f>
        <v>#REF!</v>
      </c>
      <c r="I21" s="344" t="e">
        <f ca="1">+Fórmulas!$B$16+Fórmulas!$B$15*'Est Sensibilidad'!I19</f>
        <v>#REF!</v>
      </c>
      <c r="J21" s="344" t="e">
        <f ca="1">+Fórmulas!$B$16+Fórmulas!$B$15*'Est Sensibilidad'!J19</f>
        <v>#REF!</v>
      </c>
      <c r="K21" s="344" t="e">
        <f ca="1">+Fórmulas!$B$16+Fórmulas!$B$15*'Est Sensibilidad'!K19</f>
        <v>#REF!</v>
      </c>
      <c r="L21" s="344" t="e">
        <f ca="1">+Fórmulas!$B$16+Fórmulas!$B$15*'Est Sensibilidad'!L19</f>
        <v>#REF!</v>
      </c>
      <c r="M21" s="345" t="e">
        <f ca="1">+Fórmulas!$B$16+Fórmulas!$B$15*'Est Sensibilidad'!M19</f>
        <v>#REF!</v>
      </c>
    </row>
    <row r="22" spans="2:13" ht="9.75" customHeight="1" x14ac:dyDescent="0.25">
      <c r="B22" s="199"/>
    </row>
    <row r="23" spans="2:13" x14ac:dyDescent="0.25">
      <c r="B23" s="346" t="s">
        <v>364</v>
      </c>
      <c r="C23" s="347">
        <f ca="1">+#REF!</f>
        <v>1104897.9371228749</v>
      </c>
      <c r="D23" s="347">
        <f ca="1">+C23</f>
        <v>1104897.9371228749</v>
      </c>
      <c r="E23" s="347">
        <f t="shared" ref="E23:M23" si="3">+D23</f>
        <v>1104897.9371228749</v>
      </c>
      <c r="F23" s="347">
        <f t="shared" si="3"/>
        <v>1104897.9371228749</v>
      </c>
      <c r="G23" s="347">
        <f t="shared" si="3"/>
        <v>1104897.9371228749</v>
      </c>
      <c r="H23" s="347">
        <f t="shared" si="3"/>
        <v>1104897.9371228749</v>
      </c>
      <c r="I23" s="347">
        <f t="shared" si="3"/>
        <v>1104897.9371228749</v>
      </c>
      <c r="J23" s="347">
        <f t="shared" si="3"/>
        <v>1104897.9371228749</v>
      </c>
      <c r="K23" s="347">
        <f t="shared" si="3"/>
        <v>1104897.9371228749</v>
      </c>
      <c r="L23" s="347">
        <f t="shared" si="3"/>
        <v>1104897.9371228749</v>
      </c>
      <c r="M23" s="348">
        <f t="shared" si="3"/>
        <v>1104897.9371228749</v>
      </c>
    </row>
    <row r="24" spans="2:13" x14ac:dyDescent="0.25">
      <c r="B24" s="340" t="s">
        <v>365</v>
      </c>
      <c r="C24" s="64" t="e">
        <f ca="1">+#REF!*'Est Sensibilidad'!C19*1000</f>
        <v>#REF!</v>
      </c>
      <c r="D24" s="64" t="e">
        <f ca="1">+#REF!*'Est Sensibilidad'!D19*1000</f>
        <v>#REF!</v>
      </c>
      <c r="E24" s="64" t="e">
        <f ca="1">+#REF!*'Est Sensibilidad'!E19*1000</f>
        <v>#REF!</v>
      </c>
      <c r="F24" s="64" t="e">
        <f ca="1">+#REF!*'Est Sensibilidad'!F19*1000</f>
        <v>#REF!</v>
      </c>
      <c r="G24" s="64" t="e">
        <f ca="1">+#REF!*'Est Sensibilidad'!G19*1000</f>
        <v>#REF!</v>
      </c>
      <c r="H24" s="64" t="e">
        <f ca="1">+#REF!*'Est Sensibilidad'!H19*1000</f>
        <v>#REF!</v>
      </c>
      <c r="I24" s="64" t="e">
        <f ca="1">+#REF!*'Est Sensibilidad'!I19*1000</f>
        <v>#REF!</v>
      </c>
      <c r="J24" s="64" t="e">
        <f ca="1">+#REF!*'Est Sensibilidad'!J19*1000</f>
        <v>#REF!</v>
      </c>
      <c r="K24" s="64" t="e">
        <f ca="1">+#REF!*'Est Sensibilidad'!K19*1000</f>
        <v>#REF!</v>
      </c>
      <c r="L24" s="64" t="e">
        <f ca="1">+#REF!*'Est Sensibilidad'!L19*1000</f>
        <v>#REF!</v>
      </c>
      <c r="M24" s="65" t="e">
        <f ca="1">+#REF!*'Est Sensibilidad'!M19*1000</f>
        <v>#REF!</v>
      </c>
    </row>
    <row r="25" spans="2:13" x14ac:dyDescent="0.25">
      <c r="B25" s="340" t="s">
        <v>366</v>
      </c>
      <c r="C25" s="64" t="e">
        <f ca="1">+C20*#REF!*1000</f>
        <v>#REF!</v>
      </c>
      <c r="D25" s="64" t="e">
        <f ca="1">+#REF!*'Est Sensibilidad'!D20*1000</f>
        <v>#REF!</v>
      </c>
      <c r="E25" s="64" t="e">
        <f ca="1">+#REF!*'Est Sensibilidad'!E20*1000</f>
        <v>#REF!</v>
      </c>
      <c r="F25" s="64" t="e">
        <f ca="1">+#REF!*'Est Sensibilidad'!F20*1000</f>
        <v>#REF!</v>
      </c>
      <c r="G25" s="64" t="e">
        <f ca="1">+#REF!*'Est Sensibilidad'!G20*1000</f>
        <v>#REF!</v>
      </c>
      <c r="H25" s="64" t="e">
        <f ca="1">+#REF!*'Est Sensibilidad'!H20*1000</f>
        <v>#REF!</v>
      </c>
      <c r="I25" s="64" t="e">
        <f ca="1">+#REF!*'Est Sensibilidad'!I20*1000</f>
        <v>#REF!</v>
      </c>
      <c r="J25" s="64" t="e">
        <f ca="1">+#REF!*'Est Sensibilidad'!J20*1000</f>
        <v>#REF!</v>
      </c>
      <c r="K25" s="64" t="e">
        <f ca="1">+#REF!*'Est Sensibilidad'!K20*1000</f>
        <v>#REF!</v>
      </c>
      <c r="L25" s="64" t="e">
        <f ca="1">+#REF!*'Est Sensibilidad'!L20*1000</f>
        <v>#REF!</v>
      </c>
      <c r="M25" s="65" t="e">
        <f ca="1">+#REF!*'Est Sensibilidad'!M20*1000</f>
        <v>#REF!</v>
      </c>
    </row>
    <row r="26" spans="2:13" x14ac:dyDescent="0.25">
      <c r="B26" s="340" t="s">
        <v>367</v>
      </c>
      <c r="C26" s="64" t="e">
        <f ca="1">+C21*#REF!*1000</f>
        <v>#REF!</v>
      </c>
      <c r="D26" s="64" t="e">
        <f ca="1">+#REF!*'Est Sensibilidad'!D21*1000</f>
        <v>#REF!</v>
      </c>
      <c r="E26" s="64" t="e">
        <f ca="1">+#REF!*'Est Sensibilidad'!E21*1000</f>
        <v>#REF!</v>
      </c>
      <c r="F26" s="64" t="e">
        <f ca="1">+#REF!*'Est Sensibilidad'!F21*1000</f>
        <v>#REF!</v>
      </c>
      <c r="G26" s="64" t="e">
        <f ca="1">+#REF!*'Est Sensibilidad'!G21*1000</f>
        <v>#REF!</v>
      </c>
      <c r="H26" s="64" t="e">
        <f ca="1">+#REF!*'Est Sensibilidad'!H21*1000</f>
        <v>#REF!</v>
      </c>
      <c r="I26" s="64" t="e">
        <f ca="1">+#REF!*'Est Sensibilidad'!I21*1000</f>
        <v>#REF!</v>
      </c>
      <c r="J26" s="64" t="e">
        <f ca="1">+#REF!*'Est Sensibilidad'!J21*1000</f>
        <v>#REF!</v>
      </c>
      <c r="K26" s="64" t="e">
        <f ca="1">+#REF!*'Est Sensibilidad'!K21*1000</f>
        <v>#REF!</v>
      </c>
      <c r="L26" s="64" t="e">
        <f ca="1">+#REF!*'Est Sensibilidad'!L21*1000</f>
        <v>#REF!</v>
      </c>
      <c r="M26" s="65" t="e">
        <f ca="1">+#REF!*'Est Sensibilidad'!M21*1000</f>
        <v>#REF!</v>
      </c>
    </row>
    <row r="27" spans="2:13" x14ac:dyDescent="0.25">
      <c r="B27" s="343" t="s">
        <v>356</v>
      </c>
      <c r="C27" s="104">
        <v>0</v>
      </c>
      <c r="D27" s="104">
        <f>+C27</f>
        <v>0</v>
      </c>
      <c r="E27" s="104">
        <f t="shared" ref="E27:M27" si="4">+D27</f>
        <v>0</v>
      </c>
      <c r="F27" s="104">
        <f t="shared" si="4"/>
        <v>0</v>
      </c>
      <c r="G27" s="104">
        <f t="shared" si="4"/>
        <v>0</v>
      </c>
      <c r="H27" s="104">
        <f t="shared" si="4"/>
        <v>0</v>
      </c>
      <c r="I27" s="104">
        <f t="shared" si="4"/>
        <v>0</v>
      </c>
      <c r="J27" s="104">
        <f t="shared" si="4"/>
        <v>0</v>
      </c>
      <c r="K27" s="104">
        <f t="shared" si="4"/>
        <v>0</v>
      </c>
      <c r="L27" s="104">
        <f t="shared" si="4"/>
        <v>0</v>
      </c>
      <c r="M27" s="123">
        <f t="shared" si="4"/>
        <v>0</v>
      </c>
    </row>
    <row r="28" spans="2:13" x14ac:dyDescent="0.25">
      <c r="B28" s="349" t="s">
        <v>368</v>
      </c>
      <c r="C28" s="350" t="e">
        <f ca="1">SUM(C23:C27)</f>
        <v>#REF!</v>
      </c>
      <c r="D28" s="350" t="e">
        <f t="shared" ref="D28:M28" ca="1" si="5">SUM(D23:D27)</f>
        <v>#REF!</v>
      </c>
      <c r="E28" s="350" t="e">
        <f t="shared" ca="1" si="5"/>
        <v>#REF!</v>
      </c>
      <c r="F28" s="350" t="e">
        <f t="shared" ca="1" si="5"/>
        <v>#REF!</v>
      </c>
      <c r="G28" s="350" t="e">
        <f t="shared" ca="1" si="5"/>
        <v>#REF!</v>
      </c>
      <c r="H28" s="350" t="e">
        <f t="shared" ca="1" si="5"/>
        <v>#REF!</v>
      </c>
      <c r="I28" s="350" t="e">
        <f t="shared" ca="1" si="5"/>
        <v>#REF!</v>
      </c>
      <c r="J28" s="350" t="e">
        <f t="shared" ca="1" si="5"/>
        <v>#REF!</v>
      </c>
      <c r="K28" s="350" t="e">
        <f t="shared" ca="1" si="5"/>
        <v>#REF!</v>
      </c>
      <c r="L28" s="350" t="e">
        <f t="shared" ca="1" si="5"/>
        <v>#REF!</v>
      </c>
      <c r="M28" s="351" t="e">
        <f t="shared" ca="1" si="5"/>
        <v>#REF!</v>
      </c>
    </row>
    <row r="29" spans="2:13" ht="9" customHeight="1" x14ac:dyDescent="0.25">
      <c r="B29" s="199"/>
    </row>
    <row r="30" spans="2:13" ht="18" x14ac:dyDescent="0.25">
      <c r="B30" s="375" t="s">
        <v>144</v>
      </c>
      <c r="C30" s="337"/>
      <c r="D30" s="337"/>
      <c r="E30" s="337"/>
      <c r="F30" s="337"/>
      <c r="G30" s="337"/>
      <c r="H30" s="337"/>
      <c r="I30" s="337"/>
      <c r="J30" s="337"/>
      <c r="K30" s="337"/>
      <c r="L30" s="337"/>
      <c r="M30" s="337"/>
    </row>
    <row r="31" spans="2:13" ht="7.5" customHeight="1" x14ac:dyDescent="0.25"/>
    <row r="32" spans="2:13" ht="15.75" thickBot="1" x14ac:dyDescent="0.3">
      <c r="B32" s="338" t="s">
        <v>369</v>
      </c>
      <c r="C32" s="336" t="e">
        <f ca="1">+#REF!/1000</f>
        <v>#REF!</v>
      </c>
      <c r="D32" s="336" t="e">
        <f ca="1">+(('Parámetros Planta'!#REF!*'Est Sensibilidad'!D14^3+'Est Sensibilidad'!D14^2*'Parámetros Planta'!#REF!+'Parámetros Planta'!#REF!*'Est Sensibilidad'!D14+'Parámetros Planta'!#REF!)/1000)*(1+$O$4)</f>
        <v>#REF!</v>
      </c>
      <c r="E32" s="336" t="e">
        <f ca="1">+('Parámetros Planta'!#REF!*'Est Sensibilidad'!E14^3+'Est Sensibilidad'!E14^2*'Parámetros Planta'!#REF!+'Parámetros Planta'!#REF!*'Est Sensibilidad'!E14+'Parámetros Planta'!#REF!)/1000</f>
        <v>#REF!</v>
      </c>
      <c r="F32" s="336" t="e">
        <f ca="1">+('Parámetros Planta'!#REF!*'Est Sensibilidad'!F14^3+'Est Sensibilidad'!F14^2*'Parámetros Planta'!#REF!+'Parámetros Planta'!#REF!*'Est Sensibilidad'!F14+'Parámetros Planta'!#REF!)/1000</f>
        <v>#REF!</v>
      </c>
      <c r="G32" s="336" t="e">
        <f ca="1">+('Parámetros Planta'!#REF!*'Est Sensibilidad'!G14^3+'Est Sensibilidad'!G14^2*'Parámetros Planta'!#REF!+'Parámetros Planta'!#REF!*'Est Sensibilidad'!G14+'Parámetros Planta'!#REF!)/1000</f>
        <v>#REF!</v>
      </c>
      <c r="H32" s="336" t="e">
        <f ca="1">+('Parámetros Planta'!#REF!*'Est Sensibilidad'!H14^3+'Est Sensibilidad'!H14^2*'Parámetros Planta'!#REF!+'Parámetros Planta'!#REF!*'Est Sensibilidad'!H14+'Parámetros Planta'!#REF!)/1000</f>
        <v>#REF!</v>
      </c>
      <c r="I32" s="336" t="e">
        <f ca="1">+('Parámetros Planta'!#REF!*'Est Sensibilidad'!I14^3+'Est Sensibilidad'!I14^2*'Parámetros Planta'!#REF!+'Parámetros Planta'!#REF!*'Est Sensibilidad'!I14+'Parámetros Planta'!#REF!)/1000</f>
        <v>#REF!</v>
      </c>
      <c r="J32" s="336" t="e">
        <f ca="1">+('Parámetros Planta'!#REF!*'Est Sensibilidad'!J14^3+'Est Sensibilidad'!J14^2*'Parámetros Planta'!#REF!+'Parámetros Planta'!#REF!*'Est Sensibilidad'!J14+'Parámetros Planta'!#REF!)/1000</f>
        <v>#REF!</v>
      </c>
      <c r="K32" s="336" t="e">
        <f ca="1">+('Parámetros Planta'!#REF!*'Est Sensibilidad'!K14^3+'Est Sensibilidad'!K14^2*'Parámetros Planta'!#REF!+'Parámetros Planta'!#REF!*'Est Sensibilidad'!K14+'Parámetros Planta'!#REF!)/1000</f>
        <v>#REF!</v>
      </c>
      <c r="L32" s="336" t="e">
        <f ca="1">+('Parámetros Planta'!#REF!*'Est Sensibilidad'!L14^3+'Est Sensibilidad'!L14^2*'Parámetros Planta'!#REF!+'Parámetros Planta'!#REF!*'Est Sensibilidad'!L14+'Parámetros Planta'!#REF!)/1000</f>
        <v>#REF!</v>
      </c>
      <c r="M32" s="339" t="e">
        <f ca="1">+('Parámetros Planta'!#REF!*'Est Sensibilidad'!M14^3+'Est Sensibilidad'!M14^2*'Parámetros Planta'!#REF!+'Parámetros Planta'!#REF!*'Est Sensibilidad'!M14+'Parámetros Planta'!#REF!)/1000</f>
        <v>#REF!</v>
      </c>
    </row>
    <row r="33" spans="2:18" ht="31.5" thickBot="1" x14ac:dyDescent="0.35">
      <c r="B33" s="340" t="s">
        <v>360</v>
      </c>
      <c r="C33" s="334">
        <f ca="1">+C17</f>
        <v>0.26307780857020463</v>
      </c>
      <c r="D33" s="334" t="e">
        <f t="shared" ref="D33:M33" si="6">+D17</f>
        <v>#REF!</v>
      </c>
      <c r="E33" s="334" t="e">
        <f t="shared" si="6"/>
        <v>#REF!</v>
      </c>
      <c r="F33" s="334" t="e">
        <f t="shared" si="6"/>
        <v>#REF!</v>
      </c>
      <c r="G33" s="334" t="e">
        <f t="shared" si="6"/>
        <v>#REF!</v>
      </c>
      <c r="H33" s="334" t="e">
        <f t="shared" si="6"/>
        <v>#REF!</v>
      </c>
      <c r="I33" s="334" t="e">
        <f t="shared" si="6"/>
        <v>#REF!</v>
      </c>
      <c r="J33" s="334" t="e">
        <f t="shared" si="6"/>
        <v>#REF!</v>
      </c>
      <c r="K33" s="334" t="e">
        <f t="shared" si="6"/>
        <v>#REF!</v>
      </c>
      <c r="L33" s="334" t="e">
        <f t="shared" si="6"/>
        <v>#REF!</v>
      </c>
      <c r="M33" s="352" t="e">
        <f t="shared" si="6"/>
        <v>#REF!</v>
      </c>
      <c r="O33" s="376" t="s">
        <v>373</v>
      </c>
      <c r="P33" s="376" t="s">
        <v>384</v>
      </c>
      <c r="Q33" s="376" t="s">
        <v>385</v>
      </c>
    </row>
    <row r="34" spans="2:18" ht="16.5" thickTop="1" thickBot="1" x14ac:dyDescent="0.3">
      <c r="B34" s="340" t="s">
        <v>380</v>
      </c>
      <c r="C34" s="341" t="e">
        <f ca="1">+#REF!/1000</f>
        <v>#REF!</v>
      </c>
      <c r="D34" s="353" t="e">
        <f ca="1">+((#REF!*D32*1000+#REF!*1000/rend_CAT/PCI_DO_kWh_L/3.785*'Est Sensibilidad'!D17*3.785)/(#REF!+#REF!))/1000</f>
        <v>#REF!</v>
      </c>
      <c r="E34" s="353" t="e">
        <f ca="1">+((#REF!*E32*1000+#REF!*1000/rend_CAT/PCI_DO_kWh_L/3.785*'Est Sensibilidad'!E17*3.785)/(#REF!+#REF!))/1000</f>
        <v>#REF!</v>
      </c>
      <c r="F34" s="353" t="e">
        <f ca="1">+((#REF!*F32*1000+#REF!*1000/rend_CAT/PCI_DO_kWh_L/3.785*'Est Sensibilidad'!F17*3.785)/(#REF!+#REF!))/1000</f>
        <v>#REF!</v>
      </c>
      <c r="G34" s="353" t="e">
        <f ca="1">+((#REF!*G32*1000+#REF!*1000/rend_CAT/PCI_DO_kWh_L/3.785*'Est Sensibilidad'!G17*3.785)/(#REF!+#REF!))/1000</f>
        <v>#REF!</v>
      </c>
      <c r="H34" s="353" t="e">
        <f ca="1">+((#REF!*H32*1000+#REF!*1000/rend_CAT/PCI_DO_kWh_L/3.785*'Est Sensibilidad'!H17*3.785)/(#REF!+#REF!))/1000</f>
        <v>#REF!</v>
      </c>
      <c r="I34" s="353" t="e">
        <f ca="1">+((#REF!*I32*1000+#REF!*1000/rend_CAT/PCI_DO_kWh_L/3.785*'Est Sensibilidad'!I17*3.785)/(#REF!+#REF!))/1000</f>
        <v>#REF!</v>
      </c>
      <c r="J34" s="353" t="e">
        <f ca="1">+((#REF!*J32*1000+#REF!*1000/rend_CAT/PCI_DO_kWh_L/3.785*'Est Sensibilidad'!J17*3.785)/(#REF!+#REF!))/1000</f>
        <v>#REF!</v>
      </c>
      <c r="K34" s="353" t="e">
        <f ca="1">+((#REF!*K32*1000+#REF!*1000/rend_CAT/PCI_DO_kWh_L/3.785*'Est Sensibilidad'!K17*3.785)/(#REF!+#REF!))/1000</f>
        <v>#REF!</v>
      </c>
      <c r="L34" s="353" t="e">
        <f ca="1">+((#REF!*L32*1000+#REF!*1000/rend_CAT/PCI_DO_kWh_L/3.785*'Est Sensibilidad'!L17*3.785)/(#REF!+#REF!))/1000</f>
        <v>#REF!</v>
      </c>
      <c r="M34" s="354" t="e">
        <f ca="1">+((#REF!*M32*1000+#REF!*1000/rend_CAT/PCI_DO_kWh_L/3.785*'Est Sensibilidad'!M17*3.785)/(#REF!+#REF!))/1000</f>
        <v>#REF!</v>
      </c>
      <c r="O34" s="377" t="s">
        <v>376</v>
      </c>
      <c r="P34" s="377" t="s">
        <v>311</v>
      </c>
      <c r="Q34" s="377" t="s">
        <v>311</v>
      </c>
    </row>
    <row r="35" spans="2:18" ht="15.75" thickBot="1" x14ac:dyDescent="0.3">
      <c r="B35" s="340" t="s">
        <v>370</v>
      </c>
      <c r="C35" s="355" t="e">
        <f ca="1">+(#REF!/0.293071/rend_caldera_vapor*0.4+C34/COP_ele_AIRE*0.6)/1000</f>
        <v>#REF!</v>
      </c>
      <c r="D35" s="355" t="e">
        <f ca="1">+(#REF!*(1+D8*0.5)/0.293071/rend_caldera_vapor*0.4+'Est Sensibilidad'!D34/COP_ele_AIRE*0.6)/1000</f>
        <v>#REF!</v>
      </c>
      <c r="E35" s="355" t="e">
        <f ca="1">+(#REF!*(1+E8*0.5)/0.293071/rend_caldera_vapor*0.4+'Est Sensibilidad'!E34/COP_ele_AIRE*0.6)/1000</f>
        <v>#REF!</v>
      </c>
      <c r="F35" s="355" t="e">
        <f ca="1">+(#REF!*(1+F8*0.5)/0.293071/rend_caldera_vapor*0.4+'Est Sensibilidad'!F34/COP_ele_AIRE*0.6)/1000</f>
        <v>#REF!</v>
      </c>
      <c r="G35" s="355" t="e">
        <f ca="1">+(#REF!*(1+G8*0.5)/0.293071/rend_caldera_vapor*0.4+'Est Sensibilidad'!G34/COP_ele_AIRE*0.6)/1000</f>
        <v>#REF!</v>
      </c>
      <c r="H35" s="355" t="e">
        <f ca="1">+(#REF!*(1+H8*0.5)/0.293071/rend_caldera_vapor*0.4+'Est Sensibilidad'!H34/COP_ele_AIRE*0.6)/1000</f>
        <v>#REF!</v>
      </c>
      <c r="I35" s="355" t="e">
        <f ca="1">+(#REF!*(1+I8*0.5)/0.293071/rend_caldera_vapor*0.4+'Est Sensibilidad'!I34/COP_ele_AIRE*0.6)/1000</f>
        <v>#REF!</v>
      </c>
      <c r="J35" s="355" t="e">
        <f ca="1">+(#REF!*(1+J8*0.5)/0.293071/rend_caldera_vapor*0.4+'Est Sensibilidad'!J34/COP_ele_AIRE*0.6)/1000</f>
        <v>#REF!</v>
      </c>
      <c r="K35" s="355" t="e">
        <f ca="1">+(#REF!*(1+K8*0.5)/0.293071/rend_caldera_vapor*0.4+'Est Sensibilidad'!K34/COP_ele_AIRE*0.6)/1000</f>
        <v>#REF!</v>
      </c>
      <c r="L35" s="355" t="e">
        <f ca="1">+(#REF!*(1+L8*0.5)/0.293071/rend_caldera_vapor*0.4+'Est Sensibilidad'!L34/COP_ele_AIRE*0.6)/1000</f>
        <v>#REF!</v>
      </c>
      <c r="M35" s="356" t="e">
        <f ca="1">+(#REF!*(1+M8*0.5)/0.293071/rend_caldera_vapor*0.4+'Est Sensibilidad'!M34/COP_ele_AIRE*0.6)/1000</f>
        <v>#REF!</v>
      </c>
      <c r="O35" s="378">
        <v>25</v>
      </c>
      <c r="P35" s="378">
        <v>140</v>
      </c>
      <c r="Q35" s="378">
        <v>138</v>
      </c>
      <c r="R35" s="5">
        <f>+(P35-Q35)/P35</f>
        <v>1.4285714285714285E-2</v>
      </c>
    </row>
    <row r="36" spans="2:18" ht="15.75" thickBot="1" x14ac:dyDescent="0.3">
      <c r="B36" s="343" t="s">
        <v>381</v>
      </c>
      <c r="C36" s="373" t="e">
        <f>+C34</f>
        <v>#REF!</v>
      </c>
      <c r="D36" s="373" t="e">
        <f t="shared" ref="D36:M36" si="7">+D34</f>
        <v>#REF!</v>
      </c>
      <c r="E36" s="373" t="e">
        <f t="shared" si="7"/>
        <v>#REF!</v>
      </c>
      <c r="F36" s="373" t="e">
        <f t="shared" si="7"/>
        <v>#REF!</v>
      </c>
      <c r="G36" s="373" t="e">
        <f t="shared" si="7"/>
        <v>#REF!</v>
      </c>
      <c r="H36" s="373" t="e">
        <f t="shared" si="7"/>
        <v>#REF!</v>
      </c>
      <c r="I36" s="373" t="e">
        <f t="shared" si="7"/>
        <v>#REF!</v>
      </c>
      <c r="J36" s="373" t="e">
        <f t="shared" si="7"/>
        <v>#REF!</v>
      </c>
      <c r="K36" s="373" t="e">
        <f t="shared" si="7"/>
        <v>#REF!</v>
      </c>
      <c r="L36" s="373" t="e">
        <f t="shared" si="7"/>
        <v>#REF!</v>
      </c>
      <c r="M36" s="374" t="e">
        <f t="shared" si="7"/>
        <v>#REF!</v>
      </c>
      <c r="O36" s="379">
        <v>50</v>
      </c>
      <c r="P36" s="379">
        <v>175</v>
      </c>
      <c r="Q36" s="379">
        <v>156</v>
      </c>
      <c r="R36" s="5">
        <f>+(P36-Q36)/P36</f>
        <v>0.10857142857142857</v>
      </c>
    </row>
    <row r="37" spans="2:18" ht="15.75" thickBot="1" x14ac:dyDescent="0.3">
      <c r="B37" s="196"/>
      <c r="O37" s="378">
        <v>75</v>
      </c>
      <c r="P37" s="378">
        <v>225</v>
      </c>
      <c r="Q37" s="378">
        <v>210</v>
      </c>
      <c r="R37" s="5">
        <f>+(P37-Q37)/P37</f>
        <v>6.6666666666666666E-2</v>
      </c>
    </row>
    <row r="38" spans="2:18" ht="15.75" thickBot="1" x14ac:dyDescent="0.3">
      <c r="B38" s="338" t="s">
        <v>365</v>
      </c>
      <c r="C38" s="347" t="e">
        <f ca="1">+C34*(#REF!+#REF!)*1000</f>
        <v>#REF!</v>
      </c>
      <c r="D38" s="347" t="e">
        <f ca="1">+D34*(#REF!+#REF!)*1000</f>
        <v>#REF!</v>
      </c>
      <c r="E38" s="347" t="e">
        <f ca="1">+E34*(#REF!+#REF!)*1000</f>
        <v>#REF!</v>
      </c>
      <c r="F38" s="347" t="e">
        <f ca="1">+F34*(#REF!+#REF!)*1000</f>
        <v>#REF!</v>
      </c>
      <c r="G38" s="347" t="e">
        <f ca="1">+G34*(#REF!+#REF!)*1000</f>
        <v>#REF!</v>
      </c>
      <c r="H38" s="347" t="e">
        <f ca="1">+H34*(#REF!+#REF!)*1000</f>
        <v>#REF!</v>
      </c>
      <c r="I38" s="347" t="e">
        <f ca="1">+I34*(#REF!+#REF!)*1000</f>
        <v>#REF!</v>
      </c>
      <c r="J38" s="347" t="e">
        <f ca="1">+J34*(#REF!+#REF!)*1000</f>
        <v>#REF!</v>
      </c>
      <c r="K38" s="347" t="e">
        <f ca="1">+K34*(#REF!+#REF!)*1000</f>
        <v>#REF!</v>
      </c>
      <c r="L38" s="347" t="e">
        <f ca="1">+L34*(#REF!+#REF!)*1000</f>
        <v>#REF!</v>
      </c>
      <c r="M38" s="348" t="e">
        <f ca="1">+M34*(#REF!+#REF!)*1000</f>
        <v>#REF!</v>
      </c>
      <c r="O38" s="379">
        <v>100</v>
      </c>
      <c r="P38" s="379">
        <v>258</v>
      </c>
      <c r="Q38" s="379">
        <v>238</v>
      </c>
      <c r="R38" s="5">
        <f>+(P38-Q38)/P38</f>
        <v>7.7519379844961239E-2</v>
      </c>
    </row>
    <row r="39" spans="2:18" x14ac:dyDescent="0.25">
      <c r="B39" s="340" t="s">
        <v>366</v>
      </c>
      <c r="C39" s="64" t="e">
        <f ca="1">+#REF!*'Est Sensibilidad'!C35*1000</f>
        <v>#REF!</v>
      </c>
      <c r="D39" s="64" t="e">
        <f ca="1">+#REF!*'Est Sensibilidad'!D35*1000</f>
        <v>#REF!</v>
      </c>
      <c r="E39" s="64" t="e">
        <f ca="1">+#REF!*'Est Sensibilidad'!E35*1000</f>
        <v>#REF!</v>
      </c>
      <c r="F39" s="64" t="e">
        <f ca="1">+#REF!*'Est Sensibilidad'!F35*1000</f>
        <v>#REF!</v>
      </c>
      <c r="G39" s="64" t="e">
        <f ca="1">+#REF!*'Est Sensibilidad'!G35*1000</f>
        <v>#REF!</v>
      </c>
      <c r="H39" s="64" t="e">
        <f ca="1">+#REF!*'Est Sensibilidad'!H35*1000</f>
        <v>#REF!</v>
      </c>
      <c r="I39" s="64" t="e">
        <f ca="1">+#REF!*'Est Sensibilidad'!I35*1000</f>
        <v>#REF!</v>
      </c>
      <c r="J39" s="64" t="e">
        <f ca="1">+#REF!*'Est Sensibilidad'!J35*1000</f>
        <v>#REF!</v>
      </c>
      <c r="K39" s="64" t="e">
        <f ca="1">+#REF!*'Est Sensibilidad'!K35*1000</f>
        <v>#REF!</v>
      </c>
      <c r="L39" s="64" t="e">
        <f ca="1">+#REF!*'Est Sensibilidad'!L35*1000</f>
        <v>#REF!</v>
      </c>
      <c r="M39" s="65" t="e">
        <f ca="1">+#REF!*'Est Sensibilidad'!M35*1000</f>
        <v>#REF!</v>
      </c>
    </row>
    <row r="40" spans="2:18" x14ac:dyDescent="0.25">
      <c r="B40" s="340" t="s">
        <v>367</v>
      </c>
      <c r="C40" s="64" t="e">
        <f ca="1">+#REF!*'Est Sensibilidad'!C34*1000</f>
        <v>#REF!</v>
      </c>
      <c r="D40" s="64" t="e">
        <f ca="1">+#REF!*'Est Sensibilidad'!D34*1000</f>
        <v>#REF!</v>
      </c>
      <c r="E40" s="64" t="e">
        <f ca="1">+#REF!*'Est Sensibilidad'!E34*1000</f>
        <v>#REF!</v>
      </c>
      <c r="F40" s="64" t="e">
        <f ca="1">+#REF!*'Est Sensibilidad'!F34*1000</f>
        <v>#REF!</v>
      </c>
      <c r="G40" s="64" t="e">
        <f ca="1">+#REF!*'Est Sensibilidad'!G34*1000</f>
        <v>#REF!</v>
      </c>
      <c r="H40" s="64" t="e">
        <f ca="1">+#REF!*'Est Sensibilidad'!H34*1000</f>
        <v>#REF!</v>
      </c>
      <c r="I40" s="64" t="e">
        <f ca="1">+#REF!*'Est Sensibilidad'!I34*1000</f>
        <v>#REF!</v>
      </c>
      <c r="J40" s="64" t="e">
        <f ca="1">+#REF!*'Est Sensibilidad'!J34*1000</f>
        <v>#REF!</v>
      </c>
      <c r="K40" s="64" t="e">
        <f ca="1">+#REF!*'Est Sensibilidad'!K34*1000</f>
        <v>#REF!</v>
      </c>
      <c r="L40" s="64" t="e">
        <f ca="1">+#REF!*'Est Sensibilidad'!L34*1000</f>
        <v>#REF!</v>
      </c>
      <c r="M40" s="65" t="e">
        <f ca="1">+#REF!*'Est Sensibilidad'!M34*1000</f>
        <v>#REF!</v>
      </c>
    </row>
    <row r="41" spans="2:18" ht="15.75" thickBot="1" x14ac:dyDescent="0.3">
      <c r="B41" s="343" t="s">
        <v>356</v>
      </c>
      <c r="C41" s="104">
        <f ca="1">+#REF!</f>
        <v>400000</v>
      </c>
      <c r="D41" s="104">
        <f ca="1">+$C$41*(1+D11)</f>
        <v>412000</v>
      </c>
      <c r="E41" s="104">
        <f t="shared" ref="E41:M41" si="8">+$C$41*(1+E11)</f>
        <v>412000</v>
      </c>
      <c r="F41" s="104">
        <f t="shared" si="8"/>
        <v>412000</v>
      </c>
      <c r="G41" s="104">
        <f t="shared" si="8"/>
        <v>412000</v>
      </c>
      <c r="H41" s="104">
        <f t="shared" si="8"/>
        <v>412000</v>
      </c>
      <c r="I41" s="104">
        <f t="shared" si="8"/>
        <v>412000</v>
      </c>
      <c r="J41" s="104">
        <f t="shared" si="8"/>
        <v>412000</v>
      </c>
      <c r="K41" s="104">
        <f t="shared" si="8"/>
        <v>412000</v>
      </c>
      <c r="L41" s="104">
        <f t="shared" si="8"/>
        <v>412000</v>
      </c>
      <c r="M41" s="123">
        <f t="shared" si="8"/>
        <v>412000</v>
      </c>
    </row>
    <row r="42" spans="2:18" ht="30.75" thickBot="1" x14ac:dyDescent="0.3">
      <c r="B42" s="357" t="s">
        <v>368</v>
      </c>
      <c r="C42" s="358" t="e">
        <f>SUM(C38:C41)</f>
        <v>#REF!</v>
      </c>
      <c r="D42" s="358" t="e">
        <f t="shared" ref="D42:M42" si="9">SUM(D38:D41)</f>
        <v>#REF!</v>
      </c>
      <c r="E42" s="358" t="e">
        <f t="shared" si="9"/>
        <v>#REF!</v>
      </c>
      <c r="F42" s="358" t="e">
        <f t="shared" si="9"/>
        <v>#REF!</v>
      </c>
      <c r="G42" s="358" t="e">
        <f t="shared" si="9"/>
        <v>#REF!</v>
      </c>
      <c r="H42" s="358" t="e">
        <f t="shared" si="9"/>
        <v>#REF!</v>
      </c>
      <c r="I42" s="358" t="e">
        <f t="shared" si="9"/>
        <v>#REF!</v>
      </c>
      <c r="J42" s="358" t="e">
        <f t="shared" si="9"/>
        <v>#REF!</v>
      </c>
      <c r="K42" s="358" t="e">
        <f t="shared" si="9"/>
        <v>#REF!</v>
      </c>
      <c r="L42" s="358" t="e">
        <f t="shared" si="9"/>
        <v>#REF!</v>
      </c>
      <c r="M42" s="359" t="e">
        <f t="shared" si="9"/>
        <v>#REF!</v>
      </c>
      <c r="O42" s="376" t="s">
        <v>373</v>
      </c>
      <c r="P42" s="376" t="s">
        <v>386</v>
      </c>
      <c r="Q42" s="376" t="s">
        <v>385</v>
      </c>
    </row>
    <row r="43" spans="2:18" ht="16.5" thickTop="1" thickBot="1" x14ac:dyDescent="0.3">
      <c r="B43" s="196"/>
      <c r="O43" s="380">
        <v>25</v>
      </c>
      <c r="P43" s="380">
        <v>130</v>
      </c>
      <c r="Q43" s="380">
        <v>129</v>
      </c>
      <c r="R43" s="5">
        <f>+(P43-Q43)/P43</f>
        <v>7.6923076923076927E-3</v>
      </c>
    </row>
    <row r="44" spans="2:18" ht="15.75" thickBot="1" x14ac:dyDescent="0.3">
      <c r="B44" s="372" t="s">
        <v>383</v>
      </c>
      <c r="C44" s="350" t="e">
        <f ca="1">+C42-C28</f>
        <v>#REF!</v>
      </c>
      <c r="D44" s="350" t="e">
        <f t="shared" ref="D44:M44" ca="1" si="10">+D42-D28</f>
        <v>#REF!</v>
      </c>
      <c r="E44" s="350" t="e">
        <f t="shared" ca="1" si="10"/>
        <v>#REF!</v>
      </c>
      <c r="F44" s="350" t="e">
        <f t="shared" ca="1" si="10"/>
        <v>#REF!</v>
      </c>
      <c r="G44" s="350" t="e">
        <f t="shared" ca="1" si="10"/>
        <v>#REF!</v>
      </c>
      <c r="H44" s="350" t="e">
        <f t="shared" ca="1" si="10"/>
        <v>#REF!</v>
      </c>
      <c r="I44" s="350" t="e">
        <f t="shared" ca="1" si="10"/>
        <v>#REF!</v>
      </c>
      <c r="J44" s="350" t="e">
        <f t="shared" ca="1" si="10"/>
        <v>#REF!</v>
      </c>
      <c r="K44" s="350" t="e">
        <f t="shared" ca="1" si="10"/>
        <v>#REF!</v>
      </c>
      <c r="L44" s="350" t="e">
        <f t="shared" ca="1" si="10"/>
        <v>#REF!</v>
      </c>
      <c r="M44" s="351" t="e">
        <f t="shared" ca="1" si="10"/>
        <v>#REF!</v>
      </c>
      <c r="O44" s="378">
        <v>50</v>
      </c>
      <c r="P44" s="378">
        <v>204</v>
      </c>
      <c r="Q44" s="378">
        <v>175</v>
      </c>
      <c r="R44" s="5">
        <f>+(P44-Q44)/P44</f>
        <v>0.14215686274509803</v>
      </c>
    </row>
    <row r="45" spans="2:18" ht="15.75" thickBot="1" x14ac:dyDescent="0.3">
      <c r="O45" s="379">
        <v>75</v>
      </c>
      <c r="P45" s="379">
        <v>242</v>
      </c>
      <c r="Q45" s="379">
        <v>210</v>
      </c>
      <c r="R45" s="5">
        <f>+(P45-Q45)/P45</f>
        <v>0.13223140495867769</v>
      </c>
    </row>
    <row r="46" spans="2:18" ht="15.75" thickBot="1" x14ac:dyDescent="0.3">
      <c r="O46" s="378">
        <v>100</v>
      </c>
      <c r="P46" s="378">
        <v>290</v>
      </c>
      <c r="Q46" s="378">
        <v>240</v>
      </c>
      <c r="R46" s="5">
        <f>+(P46-Q46)/P46</f>
        <v>0.17241379310344829</v>
      </c>
    </row>
  </sheetData>
  <mergeCells count="1">
    <mergeCell ref="B3:M3"/>
  </mergeCells>
  <pageMargins left="0.7" right="0.7" top="0.75" bottom="0.75" header="0.3" footer="0.3"/>
  <pageSetup paperSize="9" scale="72" orientation="landscape" verticalDpi="120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C1:K44"/>
  <sheetViews>
    <sheetView zoomScale="90" zoomScaleNormal="90" workbookViewId="0">
      <selection activeCell="I36" sqref="I36"/>
    </sheetView>
  </sheetViews>
  <sheetFormatPr baseColWidth="10" defaultRowHeight="15" x14ac:dyDescent="0.25"/>
  <cols>
    <col min="3" max="3" width="42.7109375" customWidth="1"/>
    <col min="5" max="5" width="13" customWidth="1"/>
    <col min="6" max="6" width="8.7109375" customWidth="1"/>
    <col min="7" max="7" width="39.85546875" customWidth="1"/>
    <col min="9" max="9" width="13.28515625" customWidth="1"/>
    <col min="10" max="10" width="6.5703125" customWidth="1"/>
    <col min="11" max="11" width="11.7109375" customWidth="1"/>
    <col min="12" max="12" width="7.28515625" customWidth="1"/>
  </cols>
  <sheetData>
    <row r="1" spans="3:11" ht="6.75" customHeight="1" thickBot="1" x14ac:dyDescent="0.3">
      <c r="J1" s="126"/>
    </row>
    <row r="2" spans="3:11" ht="21.75" thickBot="1" x14ac:dyDescent="0.4">
      <c r="C2" s="731" t="s">
        <v>143</v>
      </c>
      <c r="D2" s="732"/>
      <c r="E2" s="732"/>
      <c r="F2" s="732"/>
      <c r="G2" s="732"/>
      <c r="H2" s="732"/>
      <c r="I2" s="733"/>
      <c r="J2" s="127"/>
    </row>
    <row r="3" spans="3:11" ht="8.25" customHeight="1" x14ac:dyDescent="0.35">
      <c r="C3" s="128"/>
      <c r="D3" s="128"/>
      <c r="E3" s="128"/>
      <c r="F3" s="128"/>
      <c r="G3" s="128"/>
      <c r="H3" s="128"/>
      <c r="I3" s="128"/>
      <c r="J3" s="127"/>
    </row>
    <row r="4" spans="3:11" ht="21" x14ac:dyDescent="0.35">
      <c r="C4" s="730" t="s">
        <v>144</v>
      </c>
      <c r="D4" s="730"/>
      <c r="E4" s="730"/>
      <c r="F4" s="129"/>
      <c r="G4" s="730" t="s">
        <v>344</v>
      </c>
      <c r="H4" s="730"/>
      <c r="I4" s="730"/>
      <c r="J4" s="127"/>
      <c r="K4" s="130"/>
    </row>
    <row r="5" spans="3:11" ht="15.75" thickBot="1" x14ac:dyDescent="0.3">
      <c r="C5" s="131"/>
      <c r="D5" s="131"/>
      <c r="E5" s="131"/>
      <c r="F5" s="131"/>
      <c r="G5" s="131"/>
      <c r="H5" s="131"/>
      <c r="I5" s="131"/>
      <c r="J5" s="126"/>
    </row>
    <row r="6" spans="3:11" x14ac:dyDescent="0.25">
      <c r="C6" s="132" t="s">
        <v>146</v>
      </c>
      <c r="D6" s="133" t="s">
        <v>147</v>
      </c>
      <c r="E6" s="134" t="s">
        <v>148</v>
      </c>
      <c r="F6" s="135"/>
      <c r="G6" s="132" t="s">
        <v>126</v>
      </c>
      <c r="H6" s="133" t="s">
        <v>147</v>
      </c>
      <c r="I6" s="134" t="s">
        <v>148</v>
      </c>
      <c r="J6" s="136"/>
    </row>
    <row r="7" spans="3:11" ht="18.75" customHeight="1" x14ac:dyDescent="0.25">
      <c r="C7" s="137" t="s">
        <v>314</v>
      </c>
      <c r="D7" s="138" t="s">
        <v>149</v>
      </c>
      <c r="E7" s="139" t="e">
        <f ca="1">+(#REF!-E20)*(1-'Parámetros Planta'!#REF!)</f>
        <v>#REF!</v>
      </c>
      <c r="F7" s="140"/>
      <c r="G7" s="137" t="s">
        <v>133</v>
      </c>
      <c r="H7" s="138" t="s">
        <v>136</v>
      </c>
      <c r="I7" s="139" t="e">
        <f ca="1">+#REF!</f>
        <v>#REF!</v>
      </c>
      <c r="J7" s="141"/>
    </row>
    <row r="8" spans="3:11" ht="18.75" customHeight="1" x14ac:dyDescent="0.25">
      <c r="C8" s="137" t="s">
        <v>334</v>
      </c>
      <c r="D8" s="138" t="s">
        <v>149</v>
      </c>
      <c r="E8" s="139" t="e">
        <f ca="1">+(#REF!-E20)*'Parámetros Planta'!#REF!</f>
        <v>#REF!</v>
      </c>
      <c r="F8" s="143"/>
      <c r="G8" s="137" t="s">
        <v>125</v>
      </c>
      <c r="H8" s="138" t="s">
        <v>136</v>
      </c>
      <c r="I8" s="139">
        <f ca="1">+#REF!</f>
        <v>5531.4654554768158</v>
      </c>
      <c r="J8" s="144"/>
    </row>
    <row r="9" spans="3:11" x14ac:dyDescent="0.25">
      <c r="C9" s="137" t="s">
        <v>309</v>
      </c>
      <c r="D9" s="138" t="s">
        <v>333</v>
      </c>
      <c r="E9" s="142" t="e">
        <f>+'Parámetros Planta'!#REF!</f>
        <v>#REF!</v>
      </c>
      <c r="F9" s="143"/>
      <c r="G9" s="137" t="s">
        <v>132</v>
      </c>
      <c r="H9" s="138" t="s">
        <v>136</v>
      </c>
      <c r="I9" s="139">
        <f ca="1">+#REF!</f>
        <v>10088.425793326531</v>
      </c>
      <c r="J9" s="141"/>
    </row>
    <row r="10" spans="3:11" x14ac:dyDescent="0.25">
      <c r="C10" s="137" t="s">
        <v>339</v>
      </c>
      <c r="D10" s="138" t="s">
        <v>161</v>
      </c>
      <c r="E10" s="153">
        <f ca="1">+#REF!</f>
        <v>0.9957495054382246</v>
      </c>
      <c r="F10" s="143"/>
      <c r="G10" s="318" t="s">
        <v>347</v>
      </c>
      <c r="H10" s="138" t="s">
        <v>136</v>
      </c>
      <c r="I10" s="145" t="e">
        <f ca="1">+I7+I8+I9</f>
        <v>#REF!</v>
      </c>
      <c r="J10" s="141"/>
      <c r="K10" s="7"/>
    </row>
    <row r="11" spans="3:11" ht="15.75" thickBot="1" x14ac:dyDescent="0.3">
      <c r="C11" s="137" t="s">
        <v>335</v>
      </c>
      <c r="D11" s="138" t="s">
        <v>333</v>
      </c>
      <c r="E11" s="153" t="e">
        <f>+E12/(E7+E8)</f>
        <v>#REF!</v>
      </c>
      <c r="F11" s="313"/>
      <c r="I11" s="124"/>
      <c r="J11" s="136"/>
    </row>
    <row r="12" spans="3:11" x14ac:dyDescent="0.25">
      <c r="C12" s="137" t="s">
        <v>150</v>
      </c>
      <c r="D12" s="138" t="s">
        <v>136</v>
      </c>
      <c r="E12" s="145" t="e">
        <f>+E7*E9+E8/rend_CAT/3.785/PCI_DO_kWh_L*E10*1000</f>
        <v>#REF!</v>
      </c>
      <c r="F12" s="313"/>
      <c r="G12" s="150" t="s">
        <v>128</v>
      </c>
      <c r="H12" s="151"/>
      <c r="I12" s="152"/>
      <c r="J12" s="136"/>
    </row>
    <row r="13" spans="3:11" ht="15.75" thickBot="1" x14ac:dyDescent="0.3">
      <c r="C13" s="146"/>
      <c r="D13" s="147"/>
      <c r="E13" s="148"/>
      <c r="F13" s="313"/>
      <c r="G13" s="137" t="s">
        <v>345</v>
      </c>
      <c r="H13" s="138" t="s">
        <v>136</v>
      </c>
      <c r="I13" s="139">
        <f ca="1">+(#REF!+#REF!)/(1-#REF!)</f>
        <v>480800</v>
      </c>
      <c r="J13" s="141"/>
    </row>
    <row r="14" spans="3:11" x14ac:dyDescent="0.25">
      <c r="C14" s="150" t="s">
        <v>141</v>
      </c>
      <c r="D14" s="151"/>
      <c r="E14" s="152"/>
      <c r="F14" s="143"/>
      <c r="G14" s="137" t="s">
        <v>346</v>
      </c>
      <c r="H14" s="138" t="s">
        <v>135</v>
      </c>
      <c r="I14" s="320" t="e">
        <f ca="1">+#REF!/(1-#REF!)</f>
        <v>#REF!</v>
      </c>
      <c r="J14" s="154"/>
    </row>
    <row r="15" spans="3:11" x14ac:dyDescent="0.25">
      <c r="C15" s="137" t="s">
        <v>153</v>
      </c>
      <c r="D15" s="138" t="s">
        <v>79</v>
      </c>
      <c r="E15" s="139">
        <f ca="1">+#REF!</f>
        <v>5110.7142857142908</v>
      </c>
      <c r="F15" s="143"/>
      <c r="G15" s="137" t="s">
        <v>346</v>
      </c>
      <c r="H15" s="138" t="s">
        <v>136</v>
      </c>
      <c r="I15" s="139" t="e">
        <f ca="1">+I14*#REF!</f>
        <v>#REF!</v>
      </c>
      <c r="J15" s="319"/>
    </row>
    <row r="16" spans="3:11" x14ac:dyDescent="0.25">
      <c r="C16" s="137" t="s">
        <v>315</v>
      </c>
      <c r="D16" s="138" t="s">
        <v>134</v>
      </c>
      <c r="E16" s="153">
        <f ca="1">+#REF!*1000</f>
        <v>70.560080575693405</v>
      </c>
      <c r="F16" s="143"/>
      <c r="G16" s="318" t="s">
        <v>347</v>
      </c>
      <c r="H16" s="138" t="s">
        <v>136</v>
      </c>
      <c r="I16" s="145" t="e">
        <f ca="1">+I13+I15</f>
        <v>#REF!</v>
      </c>
      <c r="J16" s="149"/>
    </row>
    <row r="17" spans="3:10" ht="15.75" thickBot="1" x14ac:dyDescent="0.3">
      <c r="C17" s="137" t="s">
        <v>154</v>
      </c>
      <c r="D17" s="138" t="s">
        <v>136</v>
      </c>
      <c r="E17" s="145">
        <f ca="1">+E15*E16</f>
        <v>360612.41179934773</v>
      </c>
      <c r="F17" s="143"/>
      <c r="G17" s="157"/>
      <c r="I17" s="158"/>
      <c r="J17" s="149"/>
    </row>
    <row r="18" spans="3:10" ht="15.75" thickBot="1" x14ac:dyDescent="0.3">
      <c r="C18" s="146"/>
      <c r="D18" s="147"/>
      <c r="E18" s="160"/>
      <c r="F18" s="155"/>
      <c r="G18" s="150" t="s">
        <v>340</v>
      </c>
      <c r="H18" s="151"/>
      <c r="I18" s="152"/>
      <c r="J18" s="136"/>
    </row>
    <row r="19" spans="3:10" x14ac:dyDescent="0.25">
      <c r="C19" s="150" t="s">
        <v>151</v>
      </c>
      <c r="D19" s="151"/>
      <c r="E19" s="152"/>
      <c r="F19" s="140"/>
      <c r="G19" s="137" t="s">
        <v>129</v>
      </c>
      <c r="H19" s="138" t="s">
        <v>136</v>
      </c>
      <c r="I19" s="139">
        <f ca="1">IF(#REF!="NO",#REF!*#REF!,#REF!)</f>
        <v>77718.401064595251</v>
      </c>
      <c r="J19" s="136"/>
    </row>
    <row r="20" spans="3:10" x14ac:dyDescent="0.25">
      <c r="C20" s="137" t="s">
        <v>312</v>
      </c>
      <c r="D20" s="138" t="s">
        <v>310</v>
      </c>
      <c r="E20" s="139" t="e">
        <f ca="1">+#REF!-#REF!</f>
        <v>#REF!</v>
      </c>
      <c r="F20" s="156"/>
      <c r="G20" s="137" t="s">
        <v>338</v>
      </c>
      <c r="H20" s="138" t="s">
        <v>136</v>
      </c>
      <c r="I20" s="139">
        <f ca="1">IF(#REF!="NO",-#REF!*0.4/3,0)</f>
        <v>0</v>
      </c>
      <c r="J20" s="136"/>
    </row>
    <row r="21" spans="3:10" x14ac:dyDescent="0.25">
      <c r="C21" s="137" t="s">
        <v>313</v>
      </c>
      <c r="D21" s="138" t="s">
        <v>311</v>
      </c>
      <c r="E21" s="153" t="e">
        <f>+E9</f>
        <v>#REF!</v>
      </c>
      <c r="F21" s="140"/>
      <c r="G21" s="137" t="s">
        <v>341</v>
      </c>
      <c r="H21" s="138" t="s">
        <v>136</v>
      </c>
      <c r="I21" s="139">
        <f ca="1">+(IF(#REF!="NO",#REF!,0)+IF(#REF!="NO",#REF!,0)+IF(#REF!="NO",#REF!,0))/#REF!</f>
        <v>0</v>
      </c>
      <c r="J21" s="136"/>
    </row>
    <row r="22" spans="3:10" x14ac:dyDescent="0.25">
      <c r="C22" s="137" t="s">
        <v>152</v>
      </c>
      <c r="D22" s="138" t="s">
        <v>136</v>
      </c>
      <c r="E22" s="145" t="e">
        <f>+E20*E21</f>
        <v>#REF!</v>
      </c>
      <c r="F22" s="140"/>
      <c r="G22" s="318" t="s">
        <v>347</v>
      </c>
      <c r="H22" s="138" t="s">
        <v>136</v>
      </c>
      <c r="I22" s="145">
        <f>+I19+I20+I21</f>
        <v>77718.401064595251</v>
      </c>
      <c r="J22" s="159"/>
    </row>
    <row r="23" spans="3:10" ht="15.75" thickBot="1" x14ac:dyDescent="0.3">
      <c r="C23" s="137"/>
      <c r="D23" s="138"/>
      <c r="E23" s="145"/>
      <c r="F23" s="140"/>
      <c r="G23" s="157"/>
      <c r="I23" s="158"/>
      <c r="J23" s="159"/>
    </row>
    <row r="24" spans="3:10" ht="15.75" thickBot="1" x14ac:dyDescent="0.3">
      <c r="C24" s="150" t="s">
        <v>155</v>
      </c>
      <c r="D24" s="151"/>
      <c r="E24" s="152"/>
      <c r="F24" s="140"/>
      <c r="G24" s="280" t="s">
        <v>157</v>
      </c>
      <c r="H24" s="165" t="s">
        <v>136</v>
      </c>
      <c r="I24" s="166" t="e">
        <f ca="1">+I10+I16+I22</f>
        <v>#REF!</v>
      </c>
      <c r="J24" s="161"/>
    </row>
    <row r="25" spans="3:10" x14ac:dyDescent="0.25">
      <c r="C25" s="137" t="s">
        <v>124</v>
      </c>
      <c r="D25" s="138" t="s">
        <v>136</v>
      </c>
      <c r="E25" s="139">
        <v>0</v>
      </c>
      <c r="F25" s="162"/>
      <c r="J25" s="163"/>
    </row>
    <row r="26" spans="3:10" x14ac:dyDescent="0.25">
      <c r="C26" s="137" t="s">
        <v>156</v>
      </c>
      <c r="D26" s="138" t="s">
        <v>136</v>
      </c>
      <c r="E26" s="139">
        <f ca="1">+#REF!</f>
        <v>400000</v>
      </c>
      <c r="F26" s="162"/>
      <c r="G26" s="281" t="s">
        <v>158</v>
      </c>
      <c r="H26" s="283" t="e">
        <f ca="1">E29-I24</f>
        <v>#REF!</v>
      </c>
      <c r="I26" s="282" t="e">
        <f ca="1">(E29-I24)/E29</f>
        <v>#REF!</v>
      </c>
      <c r="J26" s="164"/>
    </row>
    <row r="27" spans="3:10" x14ac:dyDescent="0.25">
      <c r="C27" s="137" t="s">
        <v>294</v>
      </c>
      <c r="D27" s="138" t="s">
        <v>136</v>
      </c>
      <c r="E27" s="145">
        <f>+E25+E26</f>
        <v>400000</v>
      </c>
      <c r="F27" s="162"/>
    </row>
    <row r="28" spans="3:10" ht="15.75" thickBot="1" x14ac:dyDescent="0.3">
      <c r="C28" s="137" t="s">
        <v>293</v>
      </c>
      <c r="D28" s="138"/>
      <c r="E28" s="145"/>
      <c r="F28" s="162"/>
      <c r="G28" s="281" t="s">
        <v>348</v>
      </c>
      <c r="H28" s="283" t="e">
        <f ca="1">+I16-#REF!-#REF!-#REF!</f>
        <v>#REF!</v>
      </c>
      <c r="I28" s="282" t="e">
        <f ca="1">+H28/I16</f>
        <v>#REF!</v>
      </c>
    </row>
    <row r="29" spans="3:10" ht="15.75" thickBot="1" x14ac:dyDescent="0.3">
      <c r="C29" s="280" t="s">
        <v>157</v>
      </c>
      <c r="D29" s="165" t="s">
        <v>136</v>
      </c>
      <c r="E29" s="166" t="e">
        <f ca="1">+E27+E22+E12+E17</f>
        <v>#REF!</v>
      </c>
      <c r="F29" s="162"/>
    </row>
    <row r="30" spans="3:10" x14ac:dyDescent="0.25">
      <c r="F30" s="162"/>
    </row>
    <row r="31" spans="3:10" x14ac:dyDescent="0.25">
      <c r="C31" s="317" t="s">
        <v>159</v>
      </c>
      <c r="F31" s="162"/>
    </row>
    <row r="32" spans="3:10" x14ac:dyDescent="0.25">
      <c r="C32" s="168" t="s">
        <v>292</v>
      </c>
      <c r="D32" s="164"/>
      <c r="E32" s="163"/>
      <c r="F32" s="162"/>
    </row>
    <row r="33" spans="3:10" x14ac:dyDescent="0.25">
      <c r="C33" s="168" t="s">
        <v>332</v>
      </c>
      <c r="D33" s="164"/>
      <c r="E33" s="163"/>
      <c r="F33" s="162"/>
    </row>
    <row r="34" spans="3:10" x14ac:dyDescent="0.25">
      <c r="C34" s="168" t="s">
        <v>163</v>
      </c>
      <c r="D34" s="164"/>
      <c r="E34" s="163"/>
      <c r="F34" s="162"/>
    </row>
    <row r="35" spans="3:10" x14ac:dyDescent="0.25">
      <c r="C35" s="167" t="s">
        <v>316</v>
      </c>
      <c r="D35" s="164"/>
      <c r="E35" s="163"/>
      <c r="F35" s="162"/>
    </row>
    <row r="36" spans="3:10" x14ac:dyDescent="0.25">
      <c r="C36" s="167" t="s">
        <v>331</v>
      </c>
      <c r="D36" s="164"/>
      <c r="E36" s="163"/>
      <c r="J36" s="126"/>
    </row>
    <row r="37" spans="3:10" x14ac:dyDescent="0.25">
      <c r="C37" s="168" t="s">
        <v>160</v>
      </c>
      <c r="D37" s="164"/>
      <c r="E37" s="163"/>
      <c r="H37" s="5"/>
    </row>
    <row r="38" spans="3:10" x14ac:dyDescent="0.25">
      <c r="C38" s="168" t="s">
        <v>342</v>
      </c>
      <c r="H38" s="5"/>
    </row>
    <row r="39" spans="3:10" x14ac:dyDescent="0.25">
      <c r="C39" s="316" t="s">
        <v>343</v>
      </c>
    </row>
    <row r="44" spans="3:10" x14ac:dyDescent="0.25">
      <c r="C44" s="168"/>
    </row>
  </sheetData>
  <mergeCells count="3">
    <mergeCell ref="C2:I2"/>
    <mergeCell ref="C4:E4"/>
    <mergeCell ref="G4:I4"/>
  </mergeCells>
  <pageMargins left="0.7" right="0.7" top="0.75" bottom="0.75" header="0.3" footer="0.3"/>
  <pageSetup paperSize="9" scale="72" orientation="landscape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3:P16"/>
  <sheetViews>
    <sheetView workbookViewId="0">
      <selection activeCell="K20" sqref="K20"/>
    </sheetView>
  </sheetViews>
  <sheetFormatPr baseColWidth="10" defaultRowHeight="15" x14ac:dyDescent="0.25"/>
  <cols>
    <col min="3" max="3" width="13.140625" customWidth="1"/>
  </cols>
  <sheetData>
    <row r="3" spans="2:16" x14ac:dyDescent="0.25">
      <c r="B3" s="737" t="s">
        <v>317</v>
      </c>
      <c r="C3" s="737"/>
      <c r="D3" s="737"/>
      <c r="E3" s="737"/>
      <c r="F3" s="737"/>
      <c r="G3" s="737"/>
      <c r="H3" s="737"/>
    </row>
    <row r="4" spans="2:16" x14ac:dyDescent="0.25">
      <c r="B4" s="297"/>
      <c r="C4" s="298"/>
      <c r="D4" s="298"/>
      <c r="E4" s="299" t="s">
        <v>318</v>
      </c>
      <c r="F4" s="299" t="s">
        <v>319</v>
      </c>
      <c r="G4" s="299" t="s">
        <v>320</v>
      </c>
      <c r="H4" s="299" t="s">
        <v>321</v>
      </c>
      <c r="I4" s="299" t="s">
        <v>322</v>
      </c>
      <c r="J4" s="299" t="s">
        <v>323</v>
      </c>
      <c r="K4" s="299" t="s">
        <v>324</v>
      </c>
      <c r="L4" s="299" t="s">
        <v>325</v>
      </c>
      <c r="M4" s="299" t="s">
        <v>326</v>
      </c>
      <c r="N4" s="299" t="s">
        <v>327</v>
      </c>
      <c r="O4" s="299" t="s">
        <v>336</v>
      </c>
      <c r="P4" s="300" t="s">
        <v>337</v>
      </c>
    </row>
    <row r="5" spans="2:16" x14ac:dyDescent="0.25">
      <c r="B5" s="71"/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P5" s="122"/>
    </row>
    <row r="6" spans="2:16" x14ac:dyDescent="0.25">
      <c r="B6" s="71"/>
      <c r="C6" s="301" t="s">
        <v>328</v>
      </c>
      <c r="D6" s="302">
        <f ca="1">-IF(#REF!="COSTE",D12,D13)</f>
        <v>0</v>
      </c>
      <c r="E6" s="303">
        <v>109443.8938113168</v>
      </c>
      <c r="F6" s="304">
        <f t="shared" ref="F6:N6" si="0">+E6</f>
        <v>109443.8938113168</v>
      </c>
      <c r="G6" s="304">
        <f t="shared" si="0"/>
        <v>109443.8938113168</v>
      </c>
      <c r="H6" s="312">
        <f t="shared" si="0"/>
        <v>109443.8938113168</v>
      </c>
      <c r="I6" s="311">
        <f t="shared" si="0"/>
        <v>109443.8938113168</v>
      </c>
      <c r="J6" s="304">
        <f t="shared" si="0"/>
        <v>109443.8938113168</v>
      </c>
      <c r="K6" s="312">
        <f t="shared" si="0"/>
        <v>109443.8938113168</v>
      </c>
      <c r="L6" s="311">
        <f t="shared" si="0"/>
        <v>109443.8938113168</v>
      </c>
      <c r="M6" s="304">
        <f t="shared" si="0"/>
        <v>109443.8938113168</v>
      </c>
      <c r="N6" s="312">
        <f t="shared" si="0"/>
        <v>109443.8938113168</v>
      </c>
      <c r="O6" s="311">
        <f>+N6</f>
        <v>109443.8938113168</v>
      </c>
      <c r="P6" s="304">
        <f>+O6</f>
        <v>109443.8938113168</v>
      </c>
    </row>
    <row r="7" spans="2:16" x14ac:dyDescent="0.25">
      <c r="B7" s="71"/>
      <c r="C7" s="301"/>
      <c r="D7" s="321" t="s">
        <v>353</v>
      </c>
      <c r="E7" s="303">
        <v>121604.32645701866</v>
      </c>
      <c r="F7" s="304">
        <v>121604.32645701866</v>
      </c>
      <c r="G7" s="304">
        <v>121604.32645701866</v>
      </c>
      <c r="H7" s="312">
        <v>121604.32645701866</v>
      </c>
      <c r="I7" s="311">
        <v>121604.32645701866</v>
      </c>
      <c r="J7" s="304">
        <v>121604.32645701866</v>
      </c>
      <c r="K7" s="312">
        <v>121604.32645701866</v>
      </c>
      <c r="L7" s="311">
        <v>121604.32645701866</v>
      </c>
      <c r="M7" s="304">
        <v>121604.32645701866</v>
      </c>
      <c r="N7" s="312">
        <v>121604.32645701866</v>
      </c>
      <c r="O7" s="311">
        <v>121604.32645701866</v>
      </c>
      <c r="P7" s="304">
        <v>121604.32645701866</v>
      </c>
    </row>
    <row r="8" spans="2:16" x14ac:dyDescent="0.25">
      <c r="B8" s="71" t="s">
        <v>329</v>
      </c>
      <c r="C8" s="305">
        <v>7.1999999999999995E-2</v>
      </c>
      <c r="D8" s="301"/>
      <c r="E8" s="301"/>
      <c r="F8" s="301"/>
      <c r="G8" s="301"/>
      <c r="H8" s="301"/>
      <c r="I8" s="301"/>
      <c r="J8" s="301"/>
      <c r="K8" s="301"/>
      <c r="L8" s="301"/>
      <c r="M8" s="301"/>
      <c r="N8" s="301"/>
      <c r="P8" s="122"/>
    </row>
    <row r="9" spans="2:16" x14ac:dyDescent="0.25">
      <c r="B9" s="306" t="s">
        <v>330</v>
      </c>
      <c r="C9" s="310">
        <f>+NPV(C8,D6:P6)</f>
        <v>802320.89552237513</v>
      </c>
      <c r="D9" s="307"/>
      <c r="E9" s="307"/>
      <c r="F9" s="307"/>
      <c r="G9" s="307"/>
      <c r="H9" s="307"/>
      <c r="I9" s="307"/>
      <c r="J9" s="307"/>
      <c r="K9" s="307"/>
      <c r="L9" s="307"/>
      <c r="M9" s="307"/>
      <c r="N9" s="307"/>
      <c r="O9" s="307"/>
      <c r="P9" s="308"/>
    </row>
    <row r="12" spans="2:16" x14ac:dyDescent="0.25">
      <c r="C12" t="s">
        <v>350</v>
      </c>
      <c r="D12" s="304">
        <f ca="1">+#REF!</f>
        <v>0</v>
      </c>
    </row>
    <row r="13" spans="2:16" x14ac:dyDescent="0.25">
      <c r="C13" t="s">
        <v>351</v>
      </c>
      <c r="D13" s="304">
        <f ca="1">+D12/(1-#REF!)</f>
        <v>0</v>
      </c>
    </row>
    <row r="14" spans="2:16" x14ac:dyDescent="0.25">
      <c r="C14" t="s">
        <v>352</v>
      </c>
    </row>
    <row r="16" spans="2:16" x14ac:dyDescent="0.25">
      <c r="D16" s="309"/>
    </row>
  </sheetData>
  <mergeCells count="1">
    <mergeCell ref="B3:H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3:P16"/>
  <sheetViews>
    <sheetView workbookViewId="0">
      <selection activeCell="E8" sqref="E8"/>
    </sheetView>
  </sheetViews>
  <sheetFormatPr baseColWidth="10" defaultRowHeight="15" x14ac:dyDescent="0.25"/>
  <cols>
    <col min="3" max="3" width="13.140625" customWidth="1"/>
    <col min="4" max="4" width="12" bestFit="1" customWidth="1"/>
  </cols>
  <sheetData>
    <row r="3" spans="2:16" x14ac:dyDescent="0.25">
      <c r="B3" s="737" t="s">
        <v>317</v>
      </c>
      <c r="C3" s="737"/>
      <c r="D3" s="737"/>
      <c r="E3" s="737"/>
      <c r="F3" s="737"/>
      <c r="G3" s="737"/>
      <c r="H3" s="737"/>
    </row>
    <row r="4" spans="2:16" x14ac:dyDescent="0.25">
      <c r="B4" s="297"/>
      <c r="C4" s="298"/>
      <c r="D4" s="298"/>
      <c r="E4" s="299" t="s">
        <v>318</v>
      </c>
      <c r="F4" s="299" t="s">
        <v>319</v>
      </c>
      <c r="G4" s="299" t="s">
        <v>320</v>
      </c>
      <c r="H4" s="299" t="s">
        <v>321</v>
      </c>
      <c r="I4" s="299" t="s">
        <v>322</v>
      </c>
      <c r="J4" s="299" t="s">
        <v>323</v>
      </c>
      <c r="K4" s="299" t="s">
        <v>324</v>
      </c>
      <c r="L4" s="299" t="s">
        <v>325</v>
      </c>
      <c r="M4" s="299" t="s">
        <v>326</v>
      </c>
      <c r="N4" s="299" t="s">
        <v>327</v>
      </c>
      <c r="O4" s="299" t="s">
        <v>336</v>
      </c>
      <c r="P4" s="300" t="s">
        <v>337</v>
      </c>
    </row>
    <row r="5" spans="2:16" x14ac:dyDescent="0.25">
      <c r="B5" s="71"/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7"/>
      <c r="P5" s="308"/>
    </row>
    <row r="6" spans="2:16" x14ac:dyDescent="0.25">
      <c r="B6" s="71"/>
      <c r="C6" s="301" t="s">
        <v>328</v>
      </c>
      <c r="D6" s="302">
        <f ca="1">-IF(#REF!="COSTE",'TF POT'!D12,'TF POT'!D13)</f>
        <v>0</v>
      </c>
      <c r="E6" s="303">
        <v>0</v>
      </c>
      <c r="F6" s="304">
        <f t="shared" ref="F6:N6" si="0">+E6</f>
        <v>0</v>
      </c>
      <c r="G6" s="304">
        <f t="shared" si="0"/>
        <v>0</v>
      </c>
      <c r="H6" s="304">
        <f t="shared" si="0"/>
        <v>0</v>
      </c>
      <c r="I6" s="304">
        <f t="shared" si="0"/>
        <v>0</v>
      </c>
      <c r="J6" s="304">
        <f t="shared" si="0"/>
        <v>0</v>
      </c>
      <c r="K6" s="304">
        <f t="shared" si="0"/>
        <v>0</v>
      </c>
      <c r="L6" s="304">
        <f t="shared" si="0"/>
        <v>0</v>
      </c>
      <c r="M6" s="304">
        <f t="shared" si="0"/>
        <v>0</v>
      </c>
      <c r="N6" s="304">
        <f t="shared" si="0"/>
        <v>0</v>
      </c>
      <c r="O6" s="304">
        <f t="shared" ref="O6" si="1">+N6</f>
        <v>0</v>
      </c>
      <c r="P6" s="304">
        <f t="shared" ref="P6" si="2">+O6</f>
        <v>0</v>
      </c>
    </row>
    <row r="7" spans="2:16" x14ac:dyDescent="0.25">
      <c r="B7" s="71"/>
      <c r="C7" s="301"/>
      <c r="D7" s="321" t="s">
        <v>349</v>
      </c>
      <c r="E7" s="544">
        <f>+E6</f>
        <v>0</v>
      </c>
      <c r="F7" s="544">
        <f t="shared" ref="F7:P7" si="3">+F6</f>
        <v>0</v>
      </c>
      <c r="G7" s="544">
        <f t="shared" si="3"/>
        <v>0</v>
      </c>
      <c r="H7" s="545">
        <f t="shared" si="3"/>
        <v>0</v>
      </c>
      <c r="I7" s="546">
        <f t="shared" si="3"/>
        <v>0</v>
      </c>
      <c r="J7" s="544">
        <f t="shared" si="3"/>
        <v>0</v>
      </c>
      <c r="K7" s="545">
        <f t="shared" si="3"/>
        <v>0</v>
      </c>
      <c r="L7" s="546">
        <f t="shared" si="3"/>
        <v>0</v>
      </c>
      <c r="M7" s="544">
        <f t="shared" si="3"/>
        <v>0</v>
      </c>
      <c r="N7" s="544">
        <f t="shared" si="3"/>
        <v>0</v>
      </c>
      <c r="O7" s="544">
        <f t="shared" si="3"/>
        <v>0</v>
      </c>
      <c r="P7" s="544">
        <f t="shared" si="3"/>
        <v>0</v>
      </c>
    </row>
    <row r="8" spans="2:16" x14ac:dyDescent="0.25">
      <c r="B8" s="71" t="s">
        <v>329</v>
      </c>
      <c r="C8" s="305">
        <v>7.1999999999999995E-2</v>
      </c>
      <c r="D8" s="301"/>
      <c r="E8" s="301"/>
      <c r="F8" s="301"/>
      <c r="G8" s="301"/>
      <c r="H8" s="301"/>
      <c r="I8" s="301"/>
      <c r="J8" s="301"/>
      <c r="K8" s="301"/>
      <c r="L8" s="301"/>
      <c r="M8" s="301"/>
      <c r="N8" s="301"/>
      <c r="O8" s="301"/>
      <c r="P8" s="122"/>
    </row>
    <row r="9" spans="2:16" x14ac:dyDescent="0.25">
      <c r="B9" s="306" t="s">
        <v>330</v>
      </c>
      <c r="C9" s="310">
        <f>+NPV(C8,D6:P6)</f>
        <v>0</v>
      </c>
      <c r="D9" s="307"/>
      <c r="E9" s="307"/>
      <c r="F9" s="307"/>
      <c r="G9" s="307"/>
      <c r="H9" s="307"/>
      <c r="I9" s="307"/>
      <c r="J9" s="307"/>
      <c r="K9" s="307"/>
      <c r="L9" s="307"/>
      <c r="M9" s="307"/>
      <c r="N9" s="307"/>
      <c r="O9" s="307"/>
      <c r="P9" s="308"/>
    </row>
    <row r="12" spans="2:16" x14ac:dyDescent="0.25">
      <c r="C12" t="s">
        <v>350</v>
      </c>
      <c r="D12" s="304">
        <f ca="1">+#REF!</f>
        <v>0</v>
      </c>
    </row>
    <row r="13" spans="2:16" x14ac:dyDescent="0.25">
      <c r="C13" t="s">
        <v>351</v>
      </c>
      <c r="D13" s="304">
        <f ca="1">+D12/(1-#REF!)</f>
        <v>0</v>
      </c>
    </row>
    <row r="14" spans="2:16" x14ac:dyDescent="0.25">
      <c r="C14" t="s">
        <v>352</v>
      </c>
    </row>
    <row r="16" spans="2:16" x14ac:dyDescent="0.25">
      <c r="D16" s="309"/>
    </row>
  </sheetData>
  <mergeCells count="1">
    <mergeCell ref="B3:H3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15</vt:i4>
      </vt:variant>
      <vt:variant>
        <vt:lpstr>Rangos con nombre</vt:lpstr>
      </vt:variant>
      <vt:variant>
        <vt:i4>101</vt:i4>
      </vt:variant>
    </vt:vector>
  </HeadingPairs>
  <TitlesOfParts>
    <vt:vector size="116" baseType="lpstr">
      <vt:lpstr>Absorción</vt:lpstr>
      <vt:lpstr>Trane</vt:lpstr>
      <vt:lpstr>Trane II</vt:lpstr>
      <vt:lpstr>Auxiliares</vt:lpstr>
      <vt:lpstr>Balance</vt:lpstr>
      <vt:lpstr>Parametrización</vt:lpstr>
      <vt:lpstr>Parámetros Planta</vt:lpstr>
      <vt:lpstr>PPT</vt:lpstr>
      <vt:lpstr>Fórmulas</vt:lpstr>
      <vt:lpstr>POT</vt:lpstr>
      <vt:lpstr>Presentación ESCO</vt:lpstr>
      <vt:lpstr>Est Sensibilidad</vt:lpstr>
      <vt:lpstr>Resultados BP</vt:lpstr>
      <vt:lpstr>TF GNL</vt:lpstr>
      <vt:lpstr>TF POT</vt:lpstr>
      <vt:lpstr>Absorción!_2</vt:lpstr>
      <vt:lpstr>Auxiliares!_4</vt:lpstr>
      <vt:lpstr>Autoconsumo_cogeneración</vt:lpstr>
      <vt:lpstr>Carga_max_motor</vt:lpstr>
      <vt:lpstr>Carga_min_centrif</vt:lpstr>
      <vt:lpstr>Carga_min_motor_DO</vt:lpstr>
      <vt:lpstr>Carga_min_motor_GN</vt:lpstr>
      <vt:lpstr>Caudal_GE_x0</vt:lpstr>
      <vt:lpstr>Caudal_GE_x1</vt:lpstr>
      <vt:lpstr>Caudal_GE_x2</vt:lpstr>
      <vt:lpstr>Caudal_GE_x3</vt:lpstr>
      <vt:lpstr>Cons_DO_X0</vt:lpstr>
      <vt:lpstr>Cons_DO_X1</vt:lpstr>
      <vt:lpstr>Cons_DO_X2</vt:lpstr>
      <vt:lpstr>Cons_DO_X3</vt:lpstr>
      <vt:lpstr>Cons_gas_x0</vt:lpstr>
      <vt:lpstr>Cons_gas_x1</vt:lpstr>
      <vt:lpstr>Cons_gas_x2</vt:lpstr>
      <vt:lpstr>Cons_gas_x3</vt:lpstr>
      <vt:lpstr>Consumo_aceite</vt:lpstr>
      <vt:lpstr>'Trane II'!COP</vt:lpstr>
      <vt:lpstr>COP</vt:lpstr>
      <vt:lpstr>COP_ele_Absorción</vt:lpstr>
      <vt:lpstr>COP_ele_bomba_tornillo</vt:lpstr>
      <vt:lpstr>COP_ele_centrif</vt:lpstr>
      <vt:lpstr>COPe_Absorcion_GE_x0</vt:lpstr>
      <vt:lpstr>COPe_Absorcion_GE_x1</vt:lpstr>
      <vt:lpstr>COPe_Absorcion_GE_x2</vt:lpstr>
      <vt:lpstr>COPe_Absorcion_GE_x3</vt:lpstr>
      <vt:lpstr>COPe_Absorcion_GE_x4</vt:lpstr>
      <vt:lpstr>COPe_absorcion_HT_x0</vt:lpstr>
      <vt:lpstr>COPe_absorcion_HT_x1</vt:lpstr>
      <vt:lpstr>COPe_absorcion_HT_x2</vt:lpstr>
      <vt:lpstr>COPe_absorcion_HT_x3</vt:lpstr>
      <vt:lpstr>COPe_absorcion_HT_x4</vt:lpstr>
      <vt:lpstr>COPe_Centrif_x0</vt:lpstr>
      <vt:lpstr>COPe_Centrif_x1</vt:lpstr>
      <vt:lpstr>COPe_Centrif_x2</vt:lpstr>
      <vt:lpstr>COPe_Centrif_x3</vt:lpstr>
      <vt:lpstr>COPe_Centrif_x4</vt:lpstr>
      <vt:lpstr>Densidad_DO</vt:lpstr>
      <vt:lpstr>Densidad_GLP</vt:lpstr>
      <vt:lpstr>Disponibilidad_CHP</vt:lpstr>
      <vt:lpstr>Incremento_caudal_GE</vt:lpstr>
      <vt:lpstr>'Trane II'!kW</vt:lpstr>
      <vt:lpstr>kW</vt:lpstr>
      <vt:lpstr>Margen_min_entrada_motor</vt:lpstr>
      <vt:lpstr>num_bombas_calor</vt:lpstr>
      <vt:lpstr>num_calderas_ACS</vt:lpstr>
      <vt:lpstr>num_calderas_THO</vt:lpstr>
      <vt:lpstr>num_motores_GAS</vt:lpstr>
      <vt:lpstr>PCI_DO_kWh_kg</vt:lpstr>
      <vt:lpstr>PCI_DO_kWh_L</vt:lpstr>
      <vt:lpstr>PCI_GLP_kWh_kg</vt:lpstr>
      <vt:lpstr>PCI_GLP_kWh_L</vt:lpstr>
      <vt:lpstr>PCI_HFO</vt:lpstr>
      <vt:lpstr>PCI_PCS</vt:lpstr>
      <vt:lpstr>PCS_DO</vt:lpstr>
      <vt:lpstr>Pin_max_Chiller_abs_GE</vt:lpstr>
      <vt:lpstr>Pin_max_chiller_abs_HT</vt:lpstr>
      <vt:lpstr>Pot_ele_DO_X0</vt:lpstr>
      <vt:lpstr>Pot_ele_DO_X1</vt:lpstr>
      <vt:lpstr>Pot_ele_DO_X2</vt:lpstr>
      <vt:lpstr>Pot_ele_DO_X3</vt:lpstr>
      <vt:lpstr>Pot_ele_GN_x0</vt:lpstr>
      <vt:lpstr>Pot_ele_GN_x1</vt:lpstr>
      <vt:lpstr>Pot_ele_GN_x2</vt:lpstr>
      <vt:lpstr>Pot_ele_GN_x3</vt:lpstr>
      <vt:lpstr>Pot_frio_absorción</vt:lpstr>
      <vt:lpstr>Pot_frio_centrif_I</vt:lpstr>
      <vt:lpstr>Pot_frio_centrif_II</vt:lpstr>
      <vt:lpstr>Pot_frio_centrif_III</vt:lpstr>
      <vt:lpstr>Pot_GE_x0</vt:lpstr>
      <vt:lpstr>Pot_GE_x1</vt:lpstr>
      <vt:lpstr>Pot_GE_x2</vt:lpstr>
      <vt:lpstr>Pot_GE_x3</vt:lpstr>
      <vt:lpstr>Pot_HT_x0</vt:lpstr>
      <vt:lpstr>Pot_HT_x1</vt:lpstr>
      <vt:lpstr>Pot_HT_x2</vt:lpstr>
      <vt:lpstr>Pot_HT_x3</vt:lpstr>
      <vt:lpstr>Pot_LT_x0</vt:lpstr>
      <vt:lpstr>Pot_LT_x1</vt:lpstr>
      <vt:lpstr>Pot_LT_x2</vt:lpstr>
      <vt:lpstr>Pot_LT_x3</vt:lpstr>
      <vt:lpstr>pot_max_bombas_cal</vt:lpstr>
      <vt:lpstr>pot_max_caldera_ACS</vt:lpstr>
      <vt:lpstr>pot_max_caldera_THO</vt:lpstr>
      <vt:lpstr>Potencia_bruta_motor_612</vt:lpstr>
      <vt:lpstr>Potencia_bruta_motor_DO</vt:lpstr>
      <vt:lpstr>Potencia_bruta_motor_GN</vt:lpstr>
      <vt:lpstr>Potencia_neta_motor_612</vt:lpstr>
      <vt:lpstr>Potencia_neta_motor_DO</vt:lpstr>
      <vt:lpstr>Potencia_Neta_Motor_GN</vt:lpstr>
      <vt:lpstr>rend_cald_THO</vt:lpstr>
      <vt:lpstr>rend_caldera_ACS</vt:lpstr>
      <vt:lpstr>rend_CAT</vt:lpstr>
      <vt:lpstr>rend_interc_HT_ACS</vt:lpstr>
      <vt:lpstr>Temp_GE_x0</vt:lpstr>
      <vt:lpstr>Temp_GE_x1</vt:lpstr>
      <vt:lpstr>Temp_GE_x2</vt:lpstr>
      <vt:lpstr>Temp_GE_x3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Sánchez Ferrer</dc:creator>
  <cp:lastModifiedBy>José Luis Merino Panadés</cp:lastModifiedBy>
  <cp:lastPrinted>2018-03-22T10:41:26Z</cp:lastPrinted>
  <dcterms:created xsi:type="dcterms:W3CDTF">2016-04-21T10:34:31Z</dcterms:created>
  <dcterms:modified xsi:type="dcterms:W3CDTF">2020-06-01T14:37:29Z</dcterms:modified>
</cp:coreProperties>
</file>