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b2472_cam_ac_uk/Documents/PhD/yr3/Paper 2/Code_and_Data/Data/"/>
    </mc:Choice>
  </mc:AlternateContent>
  <xr:revisionPtr revIDLastSave="91" documentId="8_{6318AD8B-C348-48D8-8E97-79AF5A1A6D9A}" xr6:coauthVersionLast="47" xr6:coauthVersionMax="47" xr10:uidLastSave="{1F20744E-AE79-44D0-9311-7AFD2D8B79C5}"/>
  <bookViews>
    <workbookView xWindow="28680" yWindow="-120" windowWidth="29040" windowHeight="15720" xr2:uid="{96CE705F-8E8E-487B-B579-D7BC6F65EFB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F81" i="1" l="1"/>
  <c r="E81" i="1"/>
  <c r="F76" i="1"/>
  <c r="F77" i="1"/>
  <c r="F78" i="1"/>
  <c r="F79" i="1"/>
  <c r="F80" i="1"/>
  <c r="F75" i="1"/>
  <c r="E76" i="1"/>
  <c r="E77" i="1"/>
  <c r="E78" i="1"/>
  <c r="E79" i="1"/>
  <c r="E80" i="1"/>
  <c r="E75" i="1"/>
  <c r="B78" i="1"/>
  <c r="H69" i="1"/>
  <c r="G72" i="1"/>
  <c r="G73" i="1" s="1"/>
  <c r="H65" i="1"/>
  <c r="H72" i="1" s="1"/>
  <c r="H73" i="1" s="1"/>
  <c r="H66" i="1"/>
  <c r="H67" i="1"/>
  <c r="H68" i="1"/>
  <c r="H64" i="1"/>
  <c r="G70" i="1"/>
  <c r="G65" i="1"/>
  <c r="G66" i="1"/>
  <c r="G67" i="1"/>
  <c r="G68" i="1"/>
  <c r="G64" i="1"/>
  <c r="K43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9" i="1"/>
  <c r="W23" i="1"/>
  <c r="W24" i="1"/>
  <c r="W25" i="1"/>
  <c r="AA25" i="1" s="1"/>
  <c r="V23" i="1"/>
  <c r="V24" i="1"/>
  <c r="V25" i="1"/>
  <c r="X25" i="1" s="1"/>
  <c r="H56" i="1" l="1"/>
  <c r="F56" i="1"/>
  <c r="G56" i="1"/>
  <c r="I56" i="1"/>
  <c r="Z25" i="1"/>
  <c r="Y25" i="1"/>
  <c r="X42" i="1"/>
  <c r="Y42" i="1"/>
  <c r="AA42" i="1"/>
  <c r="Z42" i="1"/>
  <c r="L3" i="1" l="1"/>
  <c r="W18" i="1" s="1"/>
  <c r="L33" i="1"/>
  <c r="K33" i="1"/>
  <c r="M33" i="1" s="1"/>
  <c r="L32" i="1"/>
  <c r="K32" i="1"/>
  <c r="M32" i="1" s="1"/>
  <c r="Z35" i="1" l="1"/>
  <c r="AA35" i="1"/>
  <c r="Z18" i="1"/>
  <c r="AA18" i="1"/>
  <c r="L30" i="1"/>
  <c r="K30" i="1"/>
  <c r="M30" i="1" s="1"/>
  <c r="K29" i="1"/>
  <c r="M29" i="1" s="1"/>
  <c r="L29" i="1"/>
  <c r="L28" i="1"/>
  <c r="K28" i="1"/>
  <c r="M28" i="1" s="1"/>
  <c r="M26" i="1"/>
  <c r="D26" i="1"/>
  <c r="C26" i="1"/>
  <c r="M14" i="1"/>
  <c r="M15" i="1"/>
  <c r="M16" i="1"/>
  <c r="M17" i="1"/>
  <c r="M18" i="1"/>
  <c r="M19" i="1"/>
  <c r="M20" i="1"/>
  <c r="M21" i="1"/>
  <c r="M22" i="1"/>
  <c r="M23" i="1"/>
  <c r="M24" i="1"/>
  <c r="M25" i="1"/>
  <c r="F9" i="1"/>
  <c r="E9" i="1"/>
  <c r="D9" i="1"/>
  <c r="C9" i="1"/>
  <c r="K3" i="1"/>
  <c r="M3" i="1" s="1"/>
  <c r="V18" i="1" s="1"/>
  <c r="K4" i="1"/>
  <c r="M4" i="1" s="1"/>
  <c r="T4" i="1" s="1"/>
  <c r="K5" i="1"/>
  <c r="M5" i="1" s="1"/>
  <c r="K6" i="1"/>
  <c r="M6" i="1" s="1"/>
  <c r="K7" i="1"/>
  <c r="M7" i="1" s="1"/>
  <c r="T8" i="1" s="1"/>
  <c r="V8" i="1" s="1"/>
  <c r="K8" i="1"/>
  <c r="M8" i="1" s="1"/>
  <c r="T9" i="1" s="1"/>
  <c r="V9" i="1" s="1"/>
  <c r="F8" i="1"/>
  <c r="D8" i="1"/>
  <c r="E8" i="1"/>
  <c r="C8" i="1"/>
  <c r="V19" i="1" l="1"/>
  <c r="T6" i="1"/>
  <c r="V21" i="1"/>
  <c r="T7" i="1"/>
  <c r="W4" i="1"/>
  <c r="V4" i="1"/>
  <c r="W9" i="1"/>
  <c r="W8" i="1"/>
  <c r="Y18" i="1"/>
  <c r="X18" i="1"/>
  <c r="Y35" i="1"/>
  <c r="X35" i="1"/>
  <c r="L4" i="1"/>
  <c r="U4" i="1" s="1"/>
  <c r="L5" i="1"/>
  <c r="L6" i="1"/>
  <c r="L7" i="1"/>
  <c r="U8" i="1" s="1"/>
  <c r="L8" i="1"/>
  <c r="U9" i="1" s="1"/>
  <c r="K9" i="1"/>
  <c r="M9" i="1" s="1"/>
  <c r="T10" i="1" s="1"/>
  <c r="L9" i="1"/>
  <c r="U10" i="1" s="1"/>
  <c r="K10" i="1"/>
  <c r="M10" i="1" s="1"/>
  <c r="T11" i="1" s="1"/>
  <c r="L10" i="1"/>
  <c r="U11" i="1" s="1"/>
  <c r="K11" i="1"/>
  <c r="M11" i="1" s="1"/>
  <c r="V22" i="1" s="1"/>
  <c r="L11" i="1"/>
  <c r="W22" i="1" s="1"/>
  <c r="K12" i="1"/>
  <c r="M12" i="1" s="1"/>
  <c r="L12" i="1"/>
  <c r="K13" i="1"/>
  <c r="M13" i="1" s="1"/>
  <c r="L13" i="1"/>
  <c r="W20" i="1" l="1"/>
  <c r="U5" i="1"/>
  <c r="V20" i="1"/>
  <c r="T5" i="1"/>
  <c r="Z39" i="1"/>
  <c r="AA39" i="1"/>
  <c r="AA22" i="1"/>
  <c r="Z22" i="1"/>
  <c r="Y39" i="1"/>
  <c r="X22" i="1"/>
  <c r="Y22" i="1"/>
  <c r="X39" i="1"/>
  <c r="Y11" i="1"/>
  <c r="X11" i="1"/>
  <c r="W11" i="1"/>
  <c r="V11" i="1"/>
  <c r="V10" i="1"/>
  <c r="W10" i="1"/>
  <c r="W21" i="1"/>
  <c r="U7" i="1"/>
  <c r="W19" i="1"/>
  <c r="U6" i="1"/>
  <c r="Y21" i="1"/>
  <c r="X21" i="1"/>
  <c r="X38" i="1"/>
  <c r="Y38" i="1"/>
  <c r="X8" i="1"/>
  <c r="Y8" i="1"/>
  <c r="X4" i="1"/>
  <c r="Y4" i="1"/>
  <c r="W6" i="1"/>
  <c r="V6" i="1"/>
  <c r="Y10" i="1"/>
  <c r="X10" i="1"/>
  <c r="Y9" i="1"/>
  <c r="X9" i="1"/>
  <c r="W7" i="1"/>
  <c r="V7" i="1"/>
  <c r="Y36" i="1"/>
  <c r="X19" i="1"/>
  <c r="Y19" i="1"/>
  <c r="X36" i="1"/>
  <c r="Z19" i="1" l="1"/>
  <c r="AA36" i="1"/>
  <c r="AA19" i="1"/>
  <c r="Z36" i="1"/>
  <c r="W5" i="1"/>
  <c r="W12" i="1" s="1"/>
  <c r="W14" i="1" s="1"/>
  <c r="V5" i="1"/>
  <c r="V12" i="1" s="1"/>
  <c r="V14" i="1" s="1"/>
  <c r="X6" i="1"/>
  <c r="Y6" i="1"/>
  <c r="X5" i="1"/>
  <c r="X12" i="1" s="1"/>
  <c r="X14" i="1" s="1"/>
  <c r="Y5" i="1"/>
  <c r="Y12" i="1" s="1"/>
  <c r="Y14" i="1" s="1"/>
  <c r="X7" i="1"/>
  <c r="Y7" i="1"/>
  <c r="Z38" i="1"/>
  <c r="AA38" i="1"/>
  <c r="AA21" i="1"/>
  <c r="Z21" i="1"/>
  <c r="X20" i="1"/>
  <c r="X26" i="1" s="1"/>
  <c r="X29" i="1" s="1"/>
  <c r="Y37" i="1"/>
  <c r="Y43" i="1" s="1"/>
  <c r="X37" i="1"/>
  <c r="X43" i="1" s="1"/>
  <c r="Y20" i="1"/>
  <c r="Y26" i="1" s="1"/>
  <c r="Y29" i="1" s="1"/>
  <c r="AA37" i="1"/>
  <c r="AA20" i="1"/>
  <c r="Z20" i="1"/>
  <c r="Z37" i="1"/>
  <c r="AA43" i="1" l="1"/>
  <c r="Z43" i="1"/>
  <c r="AA26" i="1"/>
  <c r="AA29" i="1" s="1"/>
  <c r="Z26" i="1"/>
  <c r="Z29" i="1" s="1"/>
</calcChain>
</file>

<file path=xl/sharedStrings.xml><?xml version="1.0" encoding="utf-8"?>
<sst xmlns="http://schemas.openxmlformats.org/spreadsheetml/2006/main" count="180" uniqueCount="120">
  <si>
    <t>Min Max Primary Production</t>
  </si>
  <si>
    <t>Min Max Processing Production</t>
  </si>
  <si>
    <t>Material</t>
  </si>
  <si>
    <t>Process</t>
  </si>
  <si>
    <t>Energy MJ/kg</t>
  </si>
  <si>
    <t>Emissions kgCO2e/kg</t>
  </si>
  <si>
    <t>Total energy</t>
  </si>
  <si>
    <t>Total Carbon (kgCO2e/kg)</t>
  </si>
  <si>
    <t>Energy (kWh/kg)</t>
  </si>
  <si>
    <t>Low Alloy Steel</t>
  </si>
  <si>
    <t>roll forming</t>
  </si>
  <si>
    <t>Titanium</t>
  </si>
  <si>
    <t>Stainless Steel</t>
  </si>
  <si>
    <t>Copper</t>
  </si>
  <si>
    <t>wire drawing</t>
  </si>
  <si>
    <t>Nafion® (PTFE)</t>
  </si>
  <si>
    <t>polymerextrusion</t>
  </si>
  <si>
    <t>Activated Carbon</t>
  </si>
  <si>
    <t>Iridium</t>
  </si>
  <si>
    <t>Platinum</t>
  </si>
  <si>
    <t>Polyethylene</t>
  </si>
  <si>
    <t>extrusion</t>
  </si>
  <si>
    <t>Nickel</t>
  </si>
  <si>
    <t>Calendered rigid plastic</t>
  </si>
  <si>
    <t>General</t>
  </si>
  <si>
    <t>ICE</t>
  </si>
  <si>
    <t>Acrylonitrile butadiene styrene</t>
  </si>
  <si>
    <t>http://www.epicdatabase.com.au/</t>
  </si>
  <si>
    <t>Polyphenylene sulfide</t>
  </si>
  <si>
    <t>Plastics Europe</t>
  </si>
  <si>
    <t>Polysulfones</t>
  </si>
  <si>
    <t>Ecoinvent</t>
  </si>
  <si>
    <t>N-Methyl-2-pyrrolidone</t>
  </si>
  <si>
    <t>Aniline</t>
  </si>
  <si>
    <t>Acetic anhydride</t>
  </si>
  <si>
    <t>Terephthalic acid</t>
  </si>
  <si>
    <t>Nitric acid</t>
  </si>
  <si>
    <t>Hydrochloric acid</t>
  </si>
  <si>
    <t>Graphite</t>
  </si>
  <si>
    <t>battery grade</t>
  </si>
  <si>
    <t>Lubricating oil</t>
  </si>
  <si>
    <t>Zirconium oxide</t>
  </si>
  <si>
    <t>Concrete</t>
  </si>
  <si>
    <t>iron</t>
  </si>
  <si>
    <t>Cement</t>
  </si>
  <si>
    <t>stainless steel, austenitic, AISI 304, annealed wrought</t>
  </si>
  <si>
    <t>ethylene glycol</t>
  </si>
  <si>
    <t>no data on energy or emissions</t>
  </si>
  <si>
    <t>high carbon steel</t>
  </si>
  <si>
    <t>Tin</t>
  </si>
  <si>
    <t>Aluminium</t>
  </si>
  <si>
    <t>Material (kg)</t>
  </si>
  <si>
    <t>Near future</t>
  </si>
  <si>
    <t>Stainless steel</t>
  </si>
  <si>
    <t>Activated carbon</t>
  </si>
  <si>
    <t>kwh/kg</t>
  </si>
  <si>
    <t>kgCO2e/kg</t>
  </si>
  <si>
    <t>Energy Min Max</t>
  </si>
  <si>
    <t>Emissions Min Max</t>
  </si>
  <si>
    <t xml:space="preserve">Material (Ecoinvent) </t>
  </si>
  <si>
    <t>Weight (kg/1GW)</t>
  </si>
  <si>
    <t>Baseline (kg)</t>
  </si>
  <si>
    <t>Future (kg)</t>
  </si>
  <si>
    <t>Tetrafluoroethylene {GLO}| market for | APOS, S</t>
  </si>
  <si>
    <t>Platinum {GLO}| market for | APOS, U</t>
  </si>
  <si>
    <t>Carbon black {GLO}| market for | APOS, S</t>
  </si>
  <si>
    <t>water, deionised {Europe without Switzerland}| market for water, deionised | APOS, U</t>
  </si>
  <si>
    <t>Methanol {GLO}| market for | APOS, S</t>
  </si>
  <si>
    <t>Rhodium {GLO}| market for | APOS, U</t>
  </si>
  <si>
    <t>Carbon fibre reinforced plastic, injection moulded {GLO}| market for carbon fibre reinforced plastic, injection moulded | APOS, S</t>
  </si>
  <si>
    <t>Titanium, primary {GLO}| market for | APOS, U</t>
  </si>
  <si>
    <t>Gold {GLO}| market for | APOS, U</t>
  </si>
  <si>
    <t>Steel, chromium steel 18/8 {GLO}| market for | APOS, U</t>
  </si>
  <si>
    <t>Tantalum, powder, capacitor-grade {GLO}| market for, 2030 | APOS, U*</t>
  </si>
  <si>
    <t>Glass fibre reinforced plastic, polyamide, injection moulded {GLO}| market for | APOS, S</t>
  </si>
  <si>
    <t>Aluminium alloy, metal matrix composite {GLO}| market for | APOS, S</t>
  </si>
  <si>
    <t>Materials</t>
  </si>
  <si>
    <t>Decentralised (t/MW)</t>
  </si>
  <si>
    <t>Centralised (t/MW)</t>
  </si>
  <si>
    <t>Mass (t)</t>
  </si>
  <si>
    <t>Near Future (t)</t>
  </si>
  <si>
    <t>Electronic material (power, control)</t>
  </si>
  <si>
    <t>Process material (adsorbent, lubricant)</t>
  </si>
  <si>
    <t>Centralised</t>
  </si>
  <si>
    <t>Decentralised</t>
  </si>
  <si>
    <t>kgCo2e/kg</t>
  </si>
  <si>
    <t>Mj/kg</t>
  </si>
  <si>
    <t>kWh/kg</t>
  </si>
  <si>
    <t xml:space="preserve">Emissions </t>
  </si>
  <si>
    <t>Energy</t>
  </si>
  <si>
    <t>Drawing of pipe, steel</t>
  </si>
  <si>
    <t>Kg/km</t>
  </si>
  <si>
    <t>[53]</t>
  </si>
  <si>
    <t>Min 50% lower</t>
  </si>
  <si>
    <t>Same assumptions for embodied emissions ranges as NG pipelines</t>
  </si>
  <si>
    <t>FBE powder coat, steel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</si>
  <si>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/km</t>
    </r>
  </si>
  <si>
    <r>
      <t>Galvalume</t>
    </r>
    <r>
      <rPr>
        <vertAlign val="superscript"/>
        <sz val="11"/>
        <color theme="1"/>
        <rFont val="Calibri"/>
        <family val="2"/>
        <scheme val="minor"/>
      </rPr>
      <t>®</t>
    </r>
    <r>
      <rPr>
        <sz val="11"/>
        <color theme="1"/>
        <rFont val="Calibri"/>
        <family val="2"/>
        <scheme val="minor"/>
      </rPr>
      <t xml:space="preserve"> coat, pieces</t>
    </r>
  </si>
  <si>
    <t>HDPE coat, extruded</t>
  </si>
  <si>
    <t>kg/km</t>
  </si>
  <si>
    <t>Steel, low-alloyed</t>
  </si>
  <si>
    <t>Energy Use Construction (Onshore)</t>
  </si>
  <si>
    <t>MJ/km</t>
  </si>
  <si>
    <t>[45]</t>
  </si>
  <si>
    <r>
      <t>2.65-3.97</t>
    </r>
    <r>
      <rPr>
        <sz val="11"/>
        <color theme="1"/>
        <rFont val="Calibri"/>
        <family val="2"/>
        <scheme val="minor"/>
      </rPr>
      <t>*10^6</t>
    </r>
  </si>
  <si>
    <t>Same assumptions for embodied energy ranges as NG pipelines</t>
  </si>
  <si>
    <t>Energy Use Construction (Offshore)</t>
  </si>
  <si>
    <t>[50]</t>
  </si>
  <si>
    <r>
      <t>2.02-3.04</t>
    </r>
    <r>
      <rPr>
        <sz val="11"/>
        <color theme="1"/>
        <rFont val="Calibri"/>
        <family val="2"/>
        <scheme val="minor"/>
      </rPr>
      <t>*10^6</t>
    </r>
  </si>
  <si>
    <t>kgCO2e/km</t>
  </si>
  <si>
    <t>kWh/km</t>
  </si>
  <si>
    <t>Steel, low alloy (t)</t>
  </si>
  <si>
    <t>Stainless Steel (t)</t>
  </si>
  <si>
    <t>Water (l/kg H2)</t>
  </si>
  <si>
    <t>Aluminium (t)</t>
  </si>
  <si>
    <t>Copper (t)</t>
  </si>
  <si>
    <t>Concrete (t)</t>
  </si>
  <si>
    <t>kwh</t>
  </si>
  <si>
    <t>kg</t>
  </si>
  <si>
    <t>('EN_AMA', 'Wind(MA)', 'NH3') {'Stage 1': {'Embodied': 0, 'O_M': 0, 'Process': 0, 'Total': 0}, 'Stage 1 km': {'Embodied': 0, 'O_M': 0, 'Process': 0, 'Total': 0}, 'Stage 2': {'Embodied': 0.0029453918472579356, 'O_M': 0.0, 'Process': 13.478273588978647, 'H2 emissions': 0.0, 'Total': 13.481218980825904}, 'Stage 2 km': {'Embodied': 0.0, 'O_M': 0.0, 'Process': 0.0, 'H2 emissions': 0.0, 'Total': 0.0}, 'Stage 3': {'Embodied': 0, 'O_M': 0, 'Process': 0, 'Total': 0}, 'Stage 4': {'Embodied': 0.0, 'O_M': 0.0, 'Process': 5.62041663502969e-07, 'H2 emissions': 0.14965966846801426, 'Total': 0.14966023050967778}, 'Stage 4 km': {'Embodied': 0.0589291783548081, 'O_M': 0.0, 'Process': 3.4023790628065256e-06, 'H2 emissions': 0.24208718984629823, 'Total': 0.30101977058016915}, 'Stage 5': {'Embodied': 0.13206261666829688, 'O_M': 0.0, 'Process': 0.0006824366254954595, 'H2 emissions': 0.0, 'Total': 0.13274505329379235}, 'Stage 6': {'Embodied': 1.5022000809143028, 'O_M': 0.0, 'Process': 7.011415689882525e-06, 'H2 emissions': 0.1054965244980655, 'Total': 1.607703616828058}, 'Stage 7': {'Embodied': 0.017068806388236164, 'O_M': 0.0, 'Process': 5.225684866697134e-06, 'H2 emissions': 0.0, 'Total': 0.01707403207310286}, 'Stage 7 km': {'Embodied': 0.0, 'O_M': 0.0, 'Process': 0.33310039878647446, 'H2 emissions': 0.0, 'Total': 0.33310039878647446}, 'Stage 8': {'Embodied': 0.12335410641192406, 'O_M': 0.0, 'Process': 5.225684866697134e-06, 'H2 emissions': 0.28697531164460177, 'Total': 0.4103346437413925}, 'Stage 9': {'Embodied': 0.02266801803517257, 'O_M': 0.0, 'Process': 4.7785145183294675e-06, 'H2 emissions': 0.0, 'Total': 0.022672796549690902}, 'Stage 10': {'Embodied': 0.001251978105275139, 'O_M': 0.0, 'Process': 0.0004532733055141413, 'H2 emissions': 0.10149402386723196, 'Total': 0.10319927527802124}, 'Stage 10 km': {'Embodied': 0.0, 'O_M': 0.0, 'Process': 0.0, 'H2 emissions': 0.1120894795700447, 'Total': 0.1120894795700447}, 'Stage 3 km': {'Embodied': 0, 'O_M': 0, 'Process': 0, 'Total': 0}, 'Stage 5 km': {'Embodied': 0, 'O_M': 0, 'Process': 0, 'Total': 0}, 'Stage 6 km': {'Embodied': 0, 'O_M': 0, 'Process': 0, 'Total': 0}, 'Stage 8 km': {'Embodied': 0, 'O_M': 0, 'Process': 0, 'Total': 0}, 'Stage 9 km': {'Embodied': 0, 'O_M': 0, 'Process': 0, 'Total': 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</si>
</sst>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.5"/>
      <color theme="1"/>
      <name val="Calibri"/>
      <family val="2"/>
      <scheme val="minor"/>
    </font>
    <font>
      <sz val="11"/>
      <color rgb="FF231F1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rgb="FF231F1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2" fillId="0" borderId="1" xfId="0" applyFont="1" applyBorder="1"/>
    <xf numFmtId="3" fontId="0" fillId="0" borderId="1" xfId="0" applyNumberFormat="1" applyBorder="1"/>
    <xf numFmtId="0" fontId="3" fillId="0" borderId="1" xfId="0" applyFont="1" applyBorder="1"/>
    <xf numFmtId="0" fontId="1" fillId="0" borderId="1" xfId="0" applyFont="1" applyBorder="1"/>
    <xf numFmtId="3" fontId="3" fillId="0" borderId="1" xfId="0" applyNumberFormat="1" applyFont="1" applyBorder="1"/>
    <xf numFmtId="3" fontId="1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0" fillId="0" borderId="2" xfId="0" applyBorder="1"/>
    <xf numFmtId="9" fontId="0" fillId="0" borderId="0" xfId="0" applyNumberFormat="1"/>
    <xf numFmtId="0" fontId="2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11" fontId="0" fillId="0" borderId="0" xfId="0" applyNumberFormat="1"/>
    <xf numFmtId="11" fontId="9" fillId="2" borderId="0" xfId="0" applyNumberFormat="1" applyFont="1" applyFill="1" applyAlignment="1">
      <alignment vertical="center" wrapText="1"/>
    </xf>
    <xf numFmtId="0" fontId="7" fillId="0" borderId="8" xfId="0" applyFont="1" applyBorder="1" applyAlignment="1">
      <alignment horizontal="right" vertical="center" wrapText="1"/>
    </xf>
    <xf numFmtId="11" fontId="0" fillId="0" borderId="1" xfId="0" applyNumberFormat="1" applyBorder="1"/>
    <xf numFmtId="11" fontId="9" fillId="2" borderId="1" xfId="0" applyNumberFormat="1" applyFont="1" applyFill="1" applyBorder="1" applyAlignment="1">
      <alignment vertical="center" wrapText="1"/>
    </xf>
    <xf numFmtId="11" fontId="9" fillId="2" borderId="1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 wrapText="1"/>
    </xf>
    <xf numFmtId="11" fontId="2" fillId="0" borderId="0" xfId="0" applyNumberFormat="1" applyFont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4" fontId="0" fillId="0" borderId="4" xfId="0" applyNumberForma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4" fontId="0" fillId="0" borderId="6" xfId="0" applyNumberFormat="1" applyBorder="1" applyAlignment="1">
      <alignment vertical="center"/>
    </xf>
    <xf numFmtId="11" fontId="0" fillId="0" borderId="6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11" fontId="11" fillId="2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426B-0A65-477E-8B94-C9588642C334}">
  <dimension ref="A1:AD94"/>
  <sheetViews>
    <sheetView tabSelected="1" topLeftCell="A13" workbookViewId="0">
      <selection activeCell="E45" sqref="E45"/>
    </sheetView>
  </sheetViews>
  <sheetFormatPr defaultRowHeight="15" x14ac:dyDescent="0.25"/>
  <cols>
    <col min="1" max="1" width="29.28515625" bestFit="1" customWidth="1"/>
    <col min="3" max="3" width="11.28515625" customWidth="1"/>
    <col min="4" max="4" width="12.85546875" bestFit="1" customWidth="1"/>
    <col min="5" max="5" width="20" bestFit="1" customWidth="1"/>
    <col min="6" max="10" width="9.140625" customWidth="1"/>
    <col min="12" max="12" width="14.42578125" customWidth="1"/>
    <col min="17" max="17" width="12.7109375" customWidth="1"/>
    <col min="24" max="24" width="10" bestFit="1" customWidth="1"/>
  </cols>
  <sheetData>
    <row r="1" spans="1:30" x14ac:dyDescent="0.25">
      <c r="A1" s="2"/>
      <c r="B1" s="2"/>
      <c r="C1" s="48" t="s">
        <v>0</v>
      </c>
      <c r="D1" s="48"/>
      <c r="E1" s="48"/>
      <c r="F1" s="48"/>
      <c r="G1" s="48" t="s">
        <v>1</v>
      </c>
      <c r="H1" s="48"/>
      <c r="I1" s="48"/>
      <c r="J1" s="48"/>
      <c r="K1" s="2"/>
      <c r="L1" s="2"/>
      <c r="M1" s="2"/>
      <c r="N1" s="1"/>
    </row>
    <row r="2" spans="1:30" ht="45.75" thickBot="1" x14ac:dyDescent="0.3">
      <c r="A2" s="2" t="s">
        <v>2</v>
      </c>
      <c r="B2" s="2" t="s">
        <v>3</v>
      </c>
      <c r="C2" s="2" t="s">
        <v>4</v>
      </c>
      <c r="D2" s="2" t="s">
        <v>4</v>
      </c>
      <c r="E2" s="2" t="s">
        <v>5</v>
      </c>
      <c r="F2" s="2" t="s">
        <v>5</v>
      </c>
      <c r="G2" s="2" t="s">
        <v>4</v>
      </c>
      <c r="H2" s="2" t="s">
        <v>4</v>
      </c>
      <c r="I2" s="2" t="s">
        <v>5</v>
      </c>
      <c r="J2" s="2" t="s">
        <v>5</v>
      </c>
      <c r="K2" s="2" t="s">
        <v>6</v>
      </c>
      <c r="L2" s="17" t="s">
        <v>7</v>
      </c>
      <c r="M2" s="17" t="s">
        <v>8</v>
      </c>
      <c r="N2" s="1"/>
    </row>
    <row r="3" spans="1:30" ht="30.75" thickBot="1" x14ac:dyDescent="0.3">
      <c r="A3" s="1" t="s">
        <v>9</v>
      </c>
      <c r="B3" s="1" t="s">
        <v>10</v>
      </c>
      <c r="C3" s="1">
        <v>29.5</v>
      </c>
      <c r="D3" s="1">
        <v>32.6</v>
      </c>
      <c r="E3" s="1">
        <v>2.37</v>
      </c>
      <c r="F3" s="1">
        <v>2.61</v>
      </c>
      <c r="G3" s="1">
        <v>8.2799999999999994</v>
      </c>
      <c r="H3" s="1">
        <v>9.1300000000000008</v>
      </c>
      <c r="I3" s="1">
        <v>0.621</v>
      </c>
      <c r="J3" s="1">
        <v>0.68600000000000005</v>
      </c>
      <c r="K3" s="1">
        <f t="shared" ref="K3:K7" si="0">AVERAGE(C3:D3)+AVERAGE(G3:H3)</f>
        <v>39.755000000000003</v>
      </c>
      <c r="L3" s="2">
        <f>AVERAGE(E3:F3)+AVERAGE(I3:J3)</f>
        <v>3.1435000000000004</v>
      </c>
      <c r="M3" s="2">
        <f>K3*0.2778</f>
        <v>11.043939</v>
      </c>
      <c r="N3" s="1"/>
      <c r="Q3" s="13" t="s">
        <v>51</v>
      </c>
      <c r="R3" s="14">
        <v>2017</v>
      </c>
      <c r="S3" s="18" t="s">
        <v>52</v>
      </c>
      <c r="T3" s="2" t="s">
        <v>55</v>
      </c>
      <c r="U3" s="20" t="s">
        <v>56</v>
      </c>
      <c r="V3" s="48" t="s">
        <v>57</v>
      </c>
      <c r="W3" s="48"/>
      <c r="X3" s="48" t="s">
        <v>58</v>
      </c>
      <c r="Y3" s="48"/>
      <c r="AA3" t="s">
        <v>84</v>
      </c>
    </row>
    <row r="4" spans="1:30" ht="15.75" thickBot="1" x14ac:dyDescent="0.3">
      <c r="A4" s="1" t="s">
        <v>11</v>
      </c>
      <c r="B4" s="1" t="s">
        <v>10</v>
      </c>
      <c r="C4" s="1">
        <v>591</v>
      </c>
      <c r="D4" s="1">
        <v>652</v>
      </c>
      <c r="E4" s="1">
        <v>34.1</v>
      </c>
      <c r="F4" s="1">
        <v>37.6</v>
      </c>
      <c r="G4" s="1">
        <v>13</v>
      </c>
      <c r="H4" s="1">
        <v>14.4</v>
      </c>
      <c r="I4" s="1">
        <v>0.97699999999999998</v>
      </c>
      <c r="J4" s="1">
        <v>1.08</v>
      </c>
      <c r="K4" s="1">
        <f t="shared" si="0"/>
        <v>635.20000000000005</v>
      </c>
      <c r="L4" s="2">
        <f t="shared" ref="L4:L13" si="1">AVERAGE(E4:F4)+AVERAGE(I4:J4)</f>
        <v>36.878500000000003</v>
      </c>
      <c r="M4" s="2">
        <f t="shared" ref="M4:M26" si="2">K4*0.2778</f>
        <v>176.45856000000001</v>
      </c>
      <c r="N4" s="1"/>
      <c r="Q4" s="15" t="s">
        <v>11</v>
      </c>
      <c r="R4" s="16">
        <v>528</v>
      </c>
      <c r="S4" s="19">
        <v>37</v>
      </c>
      <c r="T4" s="1">
        <f>VLOOKUP(Q4,A$3:M33,13,FALSE)</f>
        <v>176.45856000000001</v>
      </c>
      <c r="U4" s="1">
        <f>VLOOKUP(Q4,A$3:M33,12,FALSE)</f>
        <v>36.878500000000003</v>
      </c>
      <c r="V4" s="1">
        <f>T4*R4</f>
        <v>93170.119680000003</v>
      </c>
      <c r="W4" s="1">
        <f>T4*S4</f>
        <v>6528.9667200000004</v>
      </c>
      <c r="X4" s="1">
        <f>R4*U4</f>
        <v>19471.848000000002</v>
      </c>
      <c r="Y4" s="1">
        <f>S4*U4</f>
        <v>1364.5045</v>
      </c>
      <c r="AA4">
        <v>53.010907199999998</v>
      </c>
      <c r="AB4">
        <v>26.505453599999999</v>
      </c>
      <c r="AC4">
        <v>15.088800000000001</v>
      </c>
      <c r="AD4">
        <v>15.088800000000001</v>
      </c>
    </row>
    <row r="5" spans="1:30" ht="15.75" thickBot="1" x14ac:dyDescent="0.3">
      <c r="A5" s="1" t="s">
        <v>12</v>
      </c>
      <c r="B5" s="1" t="s">
        <v>10</v>
      </c>
      <c r="C5" s="1">
        <v>69.099999999999994</v>
      </c>
      <c r="D5" s="1">
        <v>76.2</v>
      </c>
      <c r="E5" s="1">
        <v>5.18</v>
      </c>
      <c r="F5" s="1">
        <v>5.71</v>
      </c>
      <c r="G5" s="1">
        <v>4.9000000000000004</v>
      </c>
      <c r="H5" s="1">
        <v>5.4</v>
      </c>
      <c r="I5" s="1">
        <v>0.36699999999999999</v>
      </c>
      <c r="J5" s="1">
        <v>0.40500000000000003</v>
      </c>
      <c r="K5" s="1">
        <f t="shared" si="0"/>
        <v>77.800000000000011</v>
      </c>
      <c r="L5" s="2">
        <f t="shared" si="1"/>
        <v>5.8310000000000004</v>
      </c>
      <c r="M5" s="2">
        <f t="shared" si="2"/>
        <v>21.612840000000002</v>
      </c>
      <c r="N5" s="1"/>
      <c r="Q5" s="1" t="s">
        <v>50</v>
      </c>
      <c r="R5" s="16">
        <v>27</v>
      </c>
      <c r="S5" s="19">
        <v>54</v>
      </c>
      <c r="T5" s="1">
        <f>VLOOKUP(Q5,A$3:M34,13,FALSE)</f>
        <v>55.975310999999998</v>
      </c>
      <c r="U5" s="1">
        <f>VLOOKUP(Q5,A$3:M34,12,FALSE)</f>
        <v>13.075000000000001</v>
      </c>
      <c r="V5" s="1">
        <f t="shared" ref="V5:V11" si="3">T5*R5</f>
        <v>1511.3333969999999</v>
      </c>
      <c r="W5" s="1">
        <f t="shared" ref="W5:W11" si="4">T5*S5</f>
        <v>3022.6667939999998</v>
      </c>
      <c r="X5" s="1">
        <f t="shared" ref="X5:X11" si="5">R5*U5</f>
        <v>353.02500000000003</v>
      </c>
      <c r="Y5" s="1">
        <f t="shared" ref="Y5:Y10" si="6">S5*U5</f>
        <v>706.05000000000007</v>
      </c>
      <c r="AA5">
        <v>41.064396000000002</v>
      </c>
      <c r="AB5">
        <v>18.370914000000003</v>
      </c>
      <c r="AC5">
        <v>11.078900000000001</v>
      </c>
      <c r="AD5">
        <v>11.078900000000001</v>
      </c>
    </row>
    <row r="6" spans="1:30" ht="30.75" thickBot="1" x14ac:dyDescent="0.3">
      <c r="A6" s="1" t="s">
        <v>13</v>
      </c>
      <c r="B6" s="1" t="s">
        <v>14</v>
      </c>
      <c r="C6" s="1">
        <v>56.2</v>
      </c>
      <c r="D6" s="1">
        <v>62</v>
      </c>
      <c r="E6" s="1">
        <v>3.45</v>
      </c>
      <c r="F6" s="1">
        <v>3.8</v>
      </c>
      <c r="G6" s="1">
        <v>4.75</v>
      </c>
      <c r="H6" s="1">
        <v>5.24</v>
      </c>
      <c r="I6" s="1">
        <v>0.35599999999999998</v>
      </c>
      <c r="J6" s="1">
        <v>0.39300000000000002</v>
      </c>
      <c r="K6" s="1">
        <f t="shared" si="0"/>
        <v>64.094999999999999</v>
      </c>
      <c r="L6" s="2">
        <f t="shared" si="1"/>
        <v>3.9994999999999998</v>
      </c>
      <c r="M6" s="2">
        <f t="shared" si="2"/>
        <v>17.805591</v>
      </c>
      <c r="N6" s="1"/>
      <c r="Q6" s="15" t="s">
        <v>53</v>
      </c>
      <c r="R6" s="16">
        <v>100</v>
      </c>
      <c r="S6" s="19">
        <v>40</v>
      </c>
      <c r="T6" s="1">
        <f>VLOOKUP(Q6,A$3:M35,13,FALSE)</f>
        <v>21.612840000000002</v>
      </c>
      <c r="U6" s="1">
        <f>VLOOKUP(Q6,A$3:M35,12,FALSE)</f>
        <v>5.8310000000000004</v>
      </c>
      <c r="V6" s="1">
        <f t="shared" si="3"/>
        <v>2161.2840000000001</v>
      </c>
      <c r="W6" s="1">
        <f t="shared" si="4"/>
        <v>864.51360000000011</v>
      </c>
      <c r="X6" s="1">
        <f t="shared" si="5"/>
        <v>583.1</v>
      </c>
      <c r="Y6" s="1">
        <f t="shared" si="6"/>
        <v>233.24</v>
      </c>
      <c r="AA6">
        <v>5.5975311000000003</v>
      </c>
      <c r="AB6">
        <v>2.7987655500000002</v>
      </c>
      <c r="AC6">
        <v>1.3075000000000001</v>
      </c>
      <c r="AD6">
        <v>1.3075000000000001</v>
      </c>
    </row>
    <row r="7" spans="1:30" ht="15.75" thickBot="1" x14ac:dyDescent="0.3">
      <c r="A7" s="1" t="s">
        <v>15</v>
      </c>
      <c r="B7" s="1" t="s">
        <v>16</v>
      </c>
      <c r="C7" s="1">
        <v>281</v>
      </c>
      <c r="D7" s="1">
        <v>310</v>
      </c>
      <c r="E7" s="1">
        <v>15.4</v>
      </c>
      <c r="F7" s="1">
        <v>16.899999999999999</v>
      </c>
      <c r="G7" s="1">
        <v>8.01</v>
      </c>
      <c r="H7" s="1">
        <v>8.85</v>
      </c>
      <c r="I7" s="1">
        <v>0.64200000000000002</v>
      </c>
      <c r="J7" s="1">
        <v>0.70799999999999996</v>
      </c>
      <c r="K7" s="1">
        <f t="shared" si="0"/>
        <v>303.93</v>
      </c>
      <c r="L7" s="2">
        <f t="shared" si="1"/>
        <v>16.824999999999999</v>
      </c>
      <c r="M7" s="2">
        <f t="shared" si="2"/>
        <v>84.431753999999998</v>
      </c>
      <c r="N7" s="1"/>
      <c r="Q7" s="15" t="s">
        <v>13</v>
      </c>
      <c r="R7" s="16">
        <v>4.5</v>
      </c>
      <c r="S7" s="19">
        <v>9</v>
      </c>
      <c r="T7" s="1">
        <f>VLOOKUP(Q7,A$3:M36,13,FALSE)</f>
        <v>17.805591</v>
      </c>
      <c r="U7" s="1">
        <f>VLOOKUP(Q7,A$3:M36,12,FALSE)</f>
        <v>3.9994999999999998</v>
      </c>
      <c r="V7" s="1">
        <f t="shared" si="3"/>
        <v>80.125159499999995</v>
      </c>
      <c r="W7" s="1">
        <f t="shared" si="4"/>
        <v>160.25031899999999</v>
      </c>
      <c r="X7" s="1">
        <f t="shared" si="5"/>
        <v>17.99775</v>
      </c>
      <c r="Y7" s="1">
        <f t="shared" si="6"/>
        <v>35.9955</v>
      </c>
      <c r="AA7">
        <v>1.7805591000000001</v>
      </c>
      <c r="AB7">
        <v>0.89027955000000003</v>
      </c>
      <c r="AC7">
        <v>0.39995000000000003</v>
      </c>
      <c r="AD7">
        <v>0.39995000000000003</v>
      </c>
    </row>
    <row r="8" spans="1:30" ht="15.75" thickBot="1" x14ac:dyDescent="0.3">
      <c r="A8" s="1" t="s">
        <v>17</v>
      </c>
      <c r="B8" s="1"/>
      <c r="C8" s="1">
        <f>AVERAGE(43.4,277)</f>
        <v>160.19999999999999</v>
      </c>
      <c r="D8" s="1">
        <f>AVERAGE(43.4,277)</f>
        <v>160.19999999999999</v>
      </c>
      <c r="E8" s="1">
        <f>AVERAGE(3.96,22)</f>
        <v>12.98</v>
      </c>
      <c r="F8" s="1">
        <f>AVERAGE(3.96,22)</f>
        <v>12.98</v>
      </c>
      <c r="G8" s="1">
        <v>0</v>
      </c>
      <c r="H8" s="1">
        <v>0</v>
      </c>
      <c r="I8" s="1">
        <v>0</v>
      </c>
      <c r="J8" s="1">
        <v>0</v>
      </c>
      <c r="K8" s="1">
        <f>AVERAGE(C8:D8)+AVERAGE(G8:H8)</f>
        <v>160.19999999999999</v>
      </c>
      <c r="L8" s="2">
        <f>AVERAGE(E8:F8)+AVERAGE(I8:J8)</f>
        <v>12.98</v>
      </c>
      <c r="M8" s="2">
        <f t="shared" si="2"/>
        <v>44.503559999999993</v>
      </c>
      <c r="N8" s="1"/>
      <c r="Q8" s="1" t="s">
        <v>15</v>
      </c>
      <c r="R8" s="16">
        <v>16</v>
      </c>
      <c r="S8" s="19">
        <v>2</v>
      </c>
      <c r="T8" s="1">
        <f>VLOOKUP(Q8,A$3:M37,13,FALSE)</f>
        <v>84.431753999999998</v>
      </c>
      <c r="U8" s="1">
        <f>VLOOKUP(Q8,A$3:M37,12,FALSE)</f>
        <v>16.824999999999999</v>
      </c>
      <c r="V8" s="1">
        <f t="shared" si="3"/>
        <v>1350.908064</v>
      </c>
      <c r="W8" s="1">
        <f t="shared" si="4"/>
        <v>168.863508</v>
      </c>
      <c r="X8" s="1">
        <f t="shared" si="5"/>
        <v>269.2</v>
      </c>
      <c r="Y8" s="1">
        <f t="shared" si="6"/>
        <v>33.65</v>
      </c>
      <c r="AA8">
        <v>7.1847413999999992</v>
      </c>
      <c r="AB8">
        <v>3.5923706999999996</v>
      </c>
      <c r="AC8">
        <v>0.69764999999999999</v>
      </c>
      <c r="AD8">
        <v>0.69764999999999999</v>
      </c>
    </row>
    <row r="9" spans="1:30" ht="30.75" thickBot="1" x14ac:dyDescent="0.3">
      <c r="A9" s="1" t="s">
        <v>18</v>
      </c>
      <c r="B9" s="1"/>
      <c r="C9" s="1">
        <f>4.53*10^4</f>
        <v>45300</v>
      </c>
      <c r="D9" s="1">
        <f>4.99*10^4</f>
        <v>49900</v>
      </c>
      <c r="E9" s="1">
        <f>2.77*10^3</f>
        <v>2770</v>
      </c>
      <c r="F9" s="1">
        <f>3.05*10^3</f>
        <v>3050</v>
      </c>
      <c r="G9" s="1">
        <v>0</v>
      </c>
      <c r="H9" s="1">
        <v>0</v>
      </c>
      <c r="I9" s="1">
        <v>0</v>
      </c>
      <c r="J9" s="1">
        <v>0</v>
      </c>
      <c r="K9" s="1">
        <f t="shared" ref="K9:K13" si="7">AVERAGE(C9:D9)+AVERAGE(G9:H9)</f>
        <v>47600</v>
      </c>
      <c r="L9" s="2">
        <f t="shared" si="1"/>
        <v>2910</v>
      </c>
      <c r="M9" s="2">
        <f t="shared" si="2"/>
        <v>13223.279999999999</v>
      </c>
      <c r="N9" s="1"/>
      <c r="Q9" s="15" t="s">
        <v>54</v>
      </c>
      <c r="R9" s="16">
        <v>9</v>
      </c>
      <c r="S9" s="19">
        <v>4.5</v>
      </c>
      <c r="T9" s="1">
        <f>VLOOKUP(Q9,A$3:M38,13,FALSE)</f>
        <v>44.503559999999993</v>
      </c>
      <c r="U9" s="1">
        <f>VLOOKUP(Q9,A$3:M38,12,FALSE)</f>
        <v>12.98</v>
      </c>
      <c r="V9" s="1">
        <f t="shared" si="3"/>
        <v>400.53203999999994</v>
      </c>
      <c r="W9" s="1">
        <f t="shared" si="4"/>
        <v>200.26601999999997</v>
      </c>
      <c r="X9" s="1">
        <f t="shared" si="5"/>
        <v>116.82000000000001</v>
      </c>
      <c r="Y9" s="1">
        <f t="shared" si="6"/>
        <v>58.410000000000004</v>
      </c>
      <c r="AA9">
        <v>0</v>
      </c>
      <c r="AB9">
        <v>0</v>
      </c>
      <c r="AC9">
        <v>0</v>
      </c>
      <c r="AD9">
        <v>0</v>
      </c>
    </row>
    <row r="10" spans="1:30" ht="15.75" thickBot="1" x14ac:dyDescent="0.3">
      <c r="A10" s="1" t="s">
        <v>19</v>
      </c>
      <c r="B10" s="1"/>
      <c r="C10" s="1">
        <v>1120000</v>
      </c>
      <c r="D10" s="1">
        <v>1120000</v>
      </c>
      <c r="E10" s="1">
        <v>13900</v>
      </c>
      <c r="F10" s="1">
        <v>13900</v>
      </c>
      <c r="G10" s="1">
        <v>0</v>
      </c>
      <c r="H10" s="1">
        <v>0</v>
      </c>
      <c r="I10" s="1">
        <v>0</v>
      </c>
      <c r="J10" s="1">
        <v>0</v>
      </c>
      <c r="K10" s="1">
        <f t="shared" si="7"/>
        <v>1120000</v>
      </c>
      <c r="L10" s="2">
        <f t="shared" si="1"/>
        <v>13900</v>
      </c>
      <c r="M10" s="2">
        <f t="shared" si="2"/>
        <v>311136</v>
      </c>
      <c r="N10" s="1"/>
      <c r="Q10" s="15" t="s">
        <v>18</v>
      </c>
      <c r="R10" s="16">
        <v>0.75</v>
      </c>
      <c r="S10" s="19">
        <v>3.6999999999999998E-2</v>
      </c>
      <c r="T10" s="1">
        <f>VLOOKUP(Q10,A$3:M39,13,FALSE)</f>
        <v>13223.279999999999</v>
      </c>
      <c r="U10" s="1">
        <f>VLOOKUP(Q10,A$3:M39,12,FALSE)</f>
        <v>2910</v>
      </c>
      <c r="V10" s="1">
        <f t="shared" si="3"/>
        <v>9917.4599999999991</v>
      </c>
      <c r="W10" s="1">
        <f t="shared" si="4"/>
        <v>489.26135999999991</v>
      </c>
      <c r="X10" s="1">
        <f t="shared" si="5"/>
        <v>2182.5</v>
      </c>
      <c r="Y10" s="1">
        <f t="shared" si="6"/>
        <v>107.67</v>
      </c>
      <c r="AA10">
        <v>0</v>
      </c>
      <c r="AB10">
        <v>0</v>
      </c>
      <c r="AC10">
        <v>0</v>
      </c>
      <c r="AD10">
        <v>0</v>
      </c>
    </row>
    <row r="11" spans="1:30" ht="15.75" thickBot="1" x14ac:dyDescent="0.3">
      <c r="A11" s="1" t="s">
        <v>20</v>
      </c>
      <c r="B11" s="1" t="s">
        <v>21</v>
      </c>
      <c r="C11" s="1">
        <v>76.099999999999994</v>
      </c>
      <c r="D11" s="1">
        <v>83.9</v>
      </c>
      <c r="E11" s="1">
        <v>1.77</v>
      </c>
      <c r="F11" s="1">
        <v>1.95</v>
      </c>
      <c r="G11" s="1">
        <v>5.9</v>
      </c>
      <c r="H11" s="1">
        <v>6.52</v>
      </c>
      <c r="I11" s="1">
        <v>0.442</v>
      </c>
      <c r="J11" s="1">
        <v>0.48899999999999999</v>
      </c>
      <c r="K11" s="1">
        <f t="shared" si="7"/>
        <v>86.21</v>
      </c>
      <c r="L11" s="2">
        <f t="shared" si="1"/>
        <v>2.3254999999999999</v>
      </c>
      <c r="M11" s="2">
        <f t="shared" si="2"/>
        <v>23.949137999999998</v>
      </c>
      <c r="N11" s="1"/>
      <c r="Q11" s="15" t="s">
        <v>19</v>
      </c>
      <c r="R11" s="16">
        <v>7.4999999999999997E-2</v>
      </c>
      <c r="S11" s="19">
        <v>0.01</v>
      </c>
      <c r="T11" s="1">
        <f>VLOOKUP(Q11,A$3:M40,13,FALSE)</f>
        <v>311136</v>
      </c>
      <c r="U11" s="1">
        <f>VLOOKUP(Q11,A$3:M40,12,FALSE)</f>
        <v>13900</v>
      </c>
      <c r="V11" s="1">
        <f t="shared" si="3"/>
        <v>23335.200000000001</v>
      </c>
      <c r="W11" s="1">
        <f t="shared" si="4"/>
        <v>3111.36</v>
      </c>
      <c r="X11" s="1">
        <f t="shared" si="5"/>
        <v>1042.5</v>
      </c>
      <c r="Y11" s="1">
        <f>S11*U11</f>
        <v>139</v>
      </c>
      <c r="AA11">
        <v>1.1667599999999998</v>
      </c>
      <c r="AB11">
        <v>0.5833799999999999</v>
      </c>
      <c r="AC11">
        <v>0.55999999999999994</v>
      </c>
      <c r="AD11">
        <v>0.55999999999999994</v>
      </c>
    </row>
    <row r="12" spans="1:30" x14ac:dyDescent="0.25">
      <c r="A12" s="1" t="s">
        <v>50</v>
      </c>
      <c r="B12" s="1" t="s">
        <v>10</v>
      </c>
      <c r="C12" s="1">
        <v>183</v>
      </c>
      <c r="D12" s="1">
        <v>202</v>
      </c>
      <c r="E12" s="1">
        <v>11.8</v>
      </c>
      <c r="F12" s="1">
        <v>13</v>
      </c>
      <c r="G12" s="1">
        <v>8.56</v>
      </c>
      <c r="H12" s="1">
        <v>9.43</v>
      </c>
      <c r="I12" s="1">
        <v>0.64200000000000002</v>
      </c>
      <c r="J12" s="1">
        <v>0.70799999999999996</v>
      </c>
      <c r="K12" s="1">
        <f t="shared" si="7"/>
        <v>201.495</v>
      </c>
      <c r="L12" s="2">
        <f t="shared" si="1"/>
        <v>13.075000000000001</v>
      </c>
      <c r="M12" s="2">
        <f t="shared" si="2"/>
        <v>55.975310999999998</v>
      </c>
      <c r="N12" s="1"/>
      <c r="V12" s="12">
        <f>SUM(V4:V11)</f>
        <v>131926.96234050003</v>
      </c>
      <c r="W12" s="12">
        <f>SUM(W4:W11)</f>
        <v>14546.148321000002</v>
      </c>
      <c r="X12" s="12">
        <f>SUM(X4:X11)</f>
        <v>24036.990750000001</v>
      </c>
      <c r="Y12" s="12">
        <f>SUM(Y4:Y11)</f>
        <v>2678.52</v>
      </c>
      <c r="AA12">
        <v>109804.89479999999</v>
      </c>
      <c r="AB12">
        <v>52741.163399999998</v>
      </c>
      <c r="AC12">
        <v>29132.800000000003</v>
      </c>
      <c r="AD12">
        <v>29132.800000000003</v>
      </c>
    </row>
    <row r="13" spans="1:30" x14ac:dyDescent="0.25">
      <c r="A13" s="1" t="s">
        <v>22</v>
      </c>
      <c r="B13" s="1" t="s">
        <v>10</v>
      </c>
      <c r="C13" s="1">
        <v>159</v>
      </c>
      <c r="D13" s="1">
        <v>175</v>
      </c>
      <c r="E13" s="1">
        <v>11.2</v>
      </c>
      <c r="F13" s="1">
        <v>12.3</v>
      </c>
      <c r="G13" s="1">
        <v>1.29</v>
      </c>
      <c r="H13" s="1">
        <v>1.43</v>
      </c>
      <c r="I13" s="1">
        <v>9.7000000000000003E-2</v>
      </c>
      <c r="J13" s="1">
        <v>0.107</v>
      </c>
      <c r="K13" s="1">
        <f t="shared" si="7"/>
        <v>168.36</v>
      </c>
      <c r="L13" s="2">
        <f t="shared" si="1"/>
        <v>11.852</v>
      </c>
      <c r="M13" s="2">
        <f t="shared" si="2"/>
        <v>46.770408000000003</v>
      </c>
      <c r="N13" s="1"/>
    </row>
    <row r="14" spans="1:30" x14ac:dyDescent="0.25">
      <c r="A14" s="1" t="s">
        <v>23</v>
      </c>
      <c r="B14" s="1" t="s">
        <v>24</v>
      </c>
      <c r="C14" s="1"/>
      <c r="D14" s="1"/>
      <c r="E14" s="1"/>
      <c r="F14" s="1"/>
      <c r="G14" s="1"/>
      <c r="H14" s="1"/>
      <c r="I14" s="1"/>
      <c r="J14" s="1"/>
      <c r="K14" s="3">
        <v>80.5</v>
      </c>
      <c r="L14" s="2">
        <v>3.31</v>
      </c>
      <c r="M14" s="2">
        <f t="shared" si="2"/>
        <v>22.3629</v>
      </c>
      <c r="N14" s="1" t="s">
        <v>25</v>
      </c>
      <c r="V14">
        <f>V12+AA12</f>
        <v>241731.85714050004</v>
      </c>
      <c r="W14">
        <f t="shared" ref="W14:Y14" si="8">W12+AB12</f>
        <v>67287.311721000005</v>
      </c>
      <c r="X14">
        <f t="shared" si="8"/>
        <v>53169.79075</v>
      </c>
      <c r="Y14">
        <f t="shared" si="8"/>
        <v>31811.320000000003</v>
      </c>
    </row>
    <row r="15" spans="1:30" ht="15.75" thickBot="1" x14ac:dyDescent="0.3">
      <c r="A15" s="4" t="s">
        <v>26</v>
      </c>
      <c r="B15" s="4"/>
      <c r="C15" s="5"/>
      <c r="D15" s="1"/>
      <c r="E15" s="1"/>
      <c r="F15" s="1"/>
      <c r="G15" s="1"/>
      <c r="H15" s="1"/>
      <c r="I15" s="1"/>
      <c r="J15" s="1"/>
      <c r="K15" s="6">
        <v>270</v>
      </c>
      <c r="L15" s="8">
        <v>16</v>
      </c>
      <c r="M15" s="2">
        <f t="shared" si="2"/>
        <v>75.006</v>
      </c>
      <c r="N15" s="1" t="s">
        <v>27</v>
      </c>
    </row>
    <row r="16" spans="1:30" ht="30" customHeight="1" thickBot="1" x14ac:dyDescent="0.3">
      <c r="A16" s="5" t="s">
        <v>28</v>
      </c>
      <c r="B16" s="5"/>
      <c r="C16" s="5"/>
      <c r="D16" s="1"/>
      <c r="E16" s="1"/>
      <c r="F16" s="1"/>
      <c r="G16" s="1"/>
      <c r="H16" s="1"/>
      <c r="I16" s="1"/>
      <c r="J16" s="1"/>
      <c r="K16" s="7">
        <v>162</v>
      </c>
      <c r="L16" s="9">
        <v>7.58</v>
      </c>
      <c r="M16" s="2">
        <f t="shared" si="2"/>
        <v>45.003599999999999</v>
      </c>
      <c r="N16" s="5" t="s">
        <v>29</v>
      </c>
      <c r="Q16" s="52" t="s">
        <v>76</v>
      </c>
      <c r="R16" s="54" t="s">
        <v>77</v>
      </c>
      <c r="S16" s="55"/>
      <c r="T16" s="54" t="s">
        <v>78</v>
      </c>
      <c r="U16" s="55"/>
    </row>
    <row r="17" spans="1:27" ht="45.75" thickBot="1" x14ac:dyDescent="0.3">
      <c r="A17" s="5" t="s">
        <v>30</v>
      </c>
      <c r="B17" s="5"/>
      <c r="C17" s="5"/>
      <c r="D17" s="1"/>
      <c r="E17" s="1"/>
      <c r="F17" s="1"/>
      <c r="G17" s="1"/>
      <c r="H17" s="1"/>
      <c r="I17" s="1"/>
      <c r="J17" s="1"/>
      <c r="K17" s="7">
        <v>201.15</v>
      </c>
      <c r="L17" s="9">
        <v>7.6150000000000002</v>
      </c>
      <c r="M17" s="2">
        <f t="shared" si="2"/>
        <v>55.879469999999998</v>
      </c>
      <c r="N17" s="5" t="s">
        <v>31</v>
      </c>
      <c r="Q17" s="53"/>
      <c r="R17" s="24" t="s">
        <v>79</v>
      </c>
      <c r="S17" s="24" t="s">
        <v>80</v>
      </c>
      <c r="T17" s="24" t="s">
        <v>79</v>
      </c>
      <c r="U17" s="24" t="s">
        <v>80</v>
      </c>
      <c r="V17" s="2" t="s">
        <v>55</v>
      </c>
      <c r="W17" s="20" t="s">
        <v>56</v>
      </c>
      <c r="X17" s="48" t="s">
        <v>83</v>
      </c>
      <c r="Y17" s="48"/>
      <c r="Z17" s="48"/>
      <c r="AA17" s="48"/>
    </row>
    <row r="18" spans="1:27" ht="15.75" thickBot="1" x14ac:dyDescent="0.3">
      <c r="A18" s="5" t="s">
        <v>32</v>
      </c>
      <c r="B18" s="5"/>
      <c r="C18" s="5"/>
      <c r="D18" s="1"/>
      <c r="E18" s="1"/>
      <c r="F18" s="1"/>
      <c r="G18" s="1"/>
      <c r="H18" s="1"/>
      <c r="I18" s="1"/>
      <c r="J18" s="1"/>
      <c r="K18" s="7">
        <v>127</v>
      </c>
      <c r="L18" s="9">
        <v>6.19</v>
      </c>
      <c r="M18" s="2">
        <f t="shared" si="2"/>
        <v>35.2806</v>
      </c>
      <c r="N18" s="5" t="s">
        <v>31</v>
      </c>
      <c r="Q18" s="1" t="s">
        <v>9</v>
      </c>
      <c r="R18" s="16">
        <v>4.8</v>
      </c>
      <c r="S18" s="16">
        <v>2.4</v>
      </c>
      <c r="T18" s="25">
        <v>4.32</v>
      </c>
      <c r="U18" s="25">
        <v>2.16</v>
      </c>
      <c r="V18" s="1">
        <f>VLOOKUP(Q18,A$3:M48,13,FALSE)</f>
        <v>11.043939</v>
      </c>
      <c r="W18" s="1">
        <f>VLOOKUP(Q18,A$3:M48,12,FALSE)</f>
        <v>3.1435000000000004</v>
      </c>
      <c r="X18" s="1">
        <f>V18*T18*1000</f>
        <v>47709.816480000001</v>
      </c>
      <c r="Y18" s="1">
        <f>V18*U18*1000</f>
        <v>23854.908240000001</v>
      </c>
      <c r="Z18" s="1">
        <f>T18*W18*1000</f>
        <v>13579.920000000004</v>
      </c>
      <c r="AA18" s="1">
        <f>U18*W18*1000</f>
        <v>6789.9600000000019</v>
      </c>
    </row>
    <row r="19" spans="1:27" ht="15.75" thickBot="1" x14ac:dyDescent="0.3">
      <c r="A19" s="1" t="s">
        <v>33</v>
      </c>
      <c r="B19" s="1"/>
      <c r="C19" s="5"/>
      <c r="D19" s="1"/>
      <c r="E19" s="1"/>
      <c r="F19" s="1"/>
      <c r="G19" s="1"/>
      <c r="H19" s="1"/>
      <c r="I19" s="1"/>
      <c r="J19" s="1"/>
      <c r="K19" s="3">
        <v>96.1</v>
      </c>
      <c r="L19" s="9">
        <v>4.6900000000000004</v>
      </c>
      <c r="M19" s="2">
        <f t="shared" si="2"/>
        <v>26.696579999999997</v>
      </c>
      <c r="N19" s="5" t="s">
        <v>31</v>
      </c>
      <c r="Q19" s="1" t="s">
        <v>12</v>
      </c>
      <c r="R19" s="16">
        <v>1.9</v>
      </c>
      <c r="S19" s="16">
        <v>0.85</v>
      </c>
      <c r="T19" s="25">
        <v>1.71</v>
      </c>
      <c r="U19" s="25">
        <v>0.76500000000000001</v>
      </c>
      <c r="V19" s="1">
        <f>VLOOKUP(Q19,A$3:M49,13,FALSE)</f>
        <v>21.612840000000002</v>
      </c>
      <c r="W19" s="1">
        <f>VLOOKUP(Q19,A$3:M49,12,FALSE)</f>
        <v>5.8310000000000004</v>
      </c>
      <c r="X19" s="1">
        <f t="shared" ref="X19:X25" si="9">V19*T19*1000</f>
        <v>36957.956400000003</v>
      </c>
      <c r="Y19" s="1">
        <f t="shared" ref="Y19:Y22" si="10">V19*U19*1000</f>
        <v>16533.8226</v>
      </c>
      <c r="Z19" s="1">
        <f t="shared" ref="Z19:Z22" si="11">T19*W19*1000</f>
        <v>9971.01</v>
      </c>
      <c r="AA19" s="1">
        <f t="shared" ref="AA19:AA22" si="12">U19*W19*1000</f>
        <v>4460.7150000000001</v>
      </c>
    </row>
    <row r="20" spans="1:27" ht="15.75" thickBot="1" x14ac:dyDescent="0.3">
      <c r="A20" s="1" t="s">
        <v>34</v>
      </c>
      <c r="B20" s="1"/>
      <c r="C20" s="5"/>
      <c r="D20" s="1"/>
      <c r="E20" s="1"/>
      <c r="F20" s="1"/>
      <c r="G20" s="1"/>
      <c r="H20" s="1"/>
      <c r="I20" s="1"/>
      <c r="J20" s="1"/>
      <c r="K20" s="3">
        <v>89</v>
      </c>
      <c r="L20" s="9">
        <v>4.2300000000000004</v>
      </c>
      <c r="M20" s="2">
        <f t="shared" si="2"/>
        <v>24.7242</v>
      </c>
      <c r="N20" s="5" t="s">
        <v>31</v>
      </c>
      <c r="Q20" s="1" t="s">
        <v>50</v>
      </c>
      <c r="R20" s="26">
        <v>0.1</v>
      </c>
      <c r="S20" s="26">
        <v>0.05</v>
      </c>
      <c r="T20" s="25">
        <v>0.09</v>
      </c>
      <c r="U20" s="25">
        <v>4.4999999999999998E-2</v>
      </c>
      <c r="V20" s="1">
        <f>VLOOKUP(Q20,A$3:M50,13,FALSE)</f>
        <v>55.975310999999998</v>
      </c>
      <c r="W20" s="1">
        <f>VLOOKUP(Q20,A$3:M50,12,FALSE)</f>
        <v>13.075000000000001</v>
      </c>
      <c r="X20" s="1">
        <f t="shared" si="9"/>
        <v>5037.7779899999996</v>
      </c>
      <c r="Y20" s="1">
        <f t="shared" si="10"/>
        <v>2518.8889949999998</v>
      </c>
      <c r="Z20" s="1">
        <f t="shared" si="11"/>
        <v>1176.75</v>
      </c>
      <c r="AA20" s="1">
        <f t="shared" si="12"/>
        <v>588.375</v>
      </c>
    </row>
    <row r="21" spans="1:27" ht="15.75" thickBot="1" x14ac:dyDescent="0.3">
      <c r="A21" s="1" t="s">
        <v>35</v>
      </c>
      <c r="B21" s="1"/>
      <c r="C21" s="5"/>
      <c r="D21" s="1"/>
      <c r="E21" s="1"/>
      <c r="F21" s="1"/>
      <c r="G21" s="1"/>
      <c r="H21" s="1"/>
      <c r="I21" s="1"/>
      <c r="J21" s="1"/>
      <c r="K21" s="3">
        <v>57.46</v>
      </c>
      <c r="L21" s="9">
        <v>1.7882</v>
      </c>
      <c r="M21" s="2">
        <f t="shared" si="2"/>
        <v>15.962387999999999</v>
      </c>
      <c r="N21" s="5" t="s">
        <v>31</v>
      </c>
      <c r="Q21" s="15" t="s">
        <v>13</v>
      </c>
      <c r="R21" s="26">
        <v>0.1</v>
      </c>
      <c r="S21" s="26">
        <v>0.05</v>
      </c>
      <c r="T21" s="25">
        <v>0.09</v>
      </c>
      <c r="U21" s="25">
        <v>4.4999999999999998E-2</v>
      </c>
      <c r="V21" s="1">
        <f>VLOOKUP(Q21,A$3:M51,13,FALSE)</f>
        <v>17.805591</v>
      </c>
      <c r="W21" s="1">
        <f>VLOOKUP(Q21,A$3:M51,12,FALSE)</f>
        <v>3.9994999999999998</v>
      </c>
      <c r="X21" s="1">
        <f t="shared" si="9"/>
        <v>1602.5031899999999</v>
      </c>
      <c r="Y21" s="1">
        <f t="shared" si="10"/>
        <v>801.25159499999995</v>
      </c>
      <c r="Z21" s="1">
        <f t="shared" si="11"/>
        <v>359.95499999999998</v>
      </c>
      <c r="AA21" s="1">
        <f t="shared" si="12"/>
        <v>179.97749999999999</v>
      </c>
    </row>
    <row r="22" spans="1:27" ht="15.75" thickBot="1" x14ac:dyDescent="0.3">
      <c r="A22" s="1" t="s">
        <v>36</v>
      </c>
      <c r="B22" s="1"/>
      <c r="C22" s="5"/>
      <c r="D22" s="1"/>
      <c r="E22" s="1"/>
      <c r="F22" s="1"/>
      <c r="G22" s="1"/>
      <c r="H22" s="1"/>
      <c r="I22" s="1"/>
      <c r="J22" s="1"/>
      <c r="K22" s="3">
        <v>12.14</v>
      </c>
      <c r="L22" s="9">
        <v>1.95</v>
      </c>
      <c r="M22" s="2">
        <f t="shared" si="2"/>
        <v>3.3724920000000003</v>
      </c>
      <c r="N22" s="5" t="s">
        <v>31</v>
      </c>
      <c r="Q22" s="1" t="s">
        <v>20</v>
      </c>
      <c r="R22" s="16">
        <v>0.3</v>
      </c>
      <c r="S22" s="16">
        <v>0.15</v>
      </c>
      <c r="T22" s="25">
        <v>0.27</v>
      </c>
      <c r="U22" s="25">
        <v>0.13500000000000001</v>
      </c>
      <c r="V22" s="1">
        <f>VLOOKUP(Q22,A$3:M52,13,FALSE)</f>
        <v>23.949137999999998</v>
      </c>
      <c r="W22" s="1">
        <f>VLOOKUP(Q22,A$3:M52,12,FALSE)</f>
        <v>2.3254999999999999</v>
      </c>
      <c r="X22" s="1">
        <f t="shared" si="9"/>
        <v>6466.2672599999996</v>
      </c>
      <c r="Y22" s="1">
        <f t="shared" si="10"/>
        <v>3233.1336299999998</v>
      </c>
      <c r="Z22" s="1">
        <f t="shared" si="11"/>
        <v>627.88499999999999</v>
      </c>
      <c r="AA22" s="1">
        <f t="shared" si="12"/>
        <v>313.9425</v>
      </c>
    </row>
    <row r="23" spans="1:27" ht="16.5" customHeight="1" thickBot="1" x14ac:dyDescent="0.3">
      <c r="A23" s="1" t="s">
        <v>37</v>
      </c>
      <c r="B23" s="1"/>
      <c r="C23" s="5"/>
      <c r="D23" s="1"/>
      <c r="E23" s="1"/>
      <c r="F23" s="1"/>
      <c r="G23" s="1"/>
      <c r="H23" s="1"/>
      <c r="I23" s="1"/>
      <c r="J23" s="1"/>
      <c r="K23" s="3">
        <v>13.3</v>
      </c>
      <c r="L23" s="9">
        <v>0.42499999999999999</v>
      </c>
      <c r="M23" s="2">
        <f t="shared" si="2"/>
        <v>3.6947399999999999</v>
      </c>
      <c r="N23" s="5" t="s">
        <v>31</v>
      </c>
      <c r="Q23" s="15" t="s">
        <v>81</v>
      </c>
      <c r="R23" s="16">
        <v>1.1000000000000001</v>
      </c>
      <c r="S23" s="16">
        <v>0.55000000000000004</v>
      </c>
      <c r="T23" s="25">
        <v>0.99</v>
      </c>
      <c r="U23" s="25">
        <v>0.495</v>
      </c>
      <c r="V23" s="1" t="e">
        <f>VLOOKUP(Q23,A$3:M53,13,FALSE)</f>
        <v>#N/A</v>
      </c>
      <c r="W23" s="1" t="e">
        <f>VLOOKUP(Q23,A$3:M53,12,FALSE)</f>
        <v>#N/A</v>
      </c>
      <c r="X23" s="1">
        <v>0</v>
      </c>
      <c r="Y23" s="1">
        <v>0</v>
      </c>
      <c r="Z23" s="1">
        <v>0</v>
      </c>
      <c r="AA23" s="1">
        <v>0</v>
      </c>
    </row>
    <row r="24" spans="1:27" ht="16.5" customHeight="1" thickBot="1" x14ac:dyDescent="0.3">
      <c r="A24" s="1" t="s">
        <v>38</v>
      </c>
      <c r="B24" s="1" t="s">
        <v>39</v>
      </c>
      <c r="C24" s="5"/>
      <c r="D24" s="1"/>
      <c r="E24" s="1"/>
      <c r="F24" s="1"/>
      <c r="G24" s="1"/>
      <c r="H24" s="1"/>
      <c r="I24" s="1"/>
      <c r="J24" s="1"/>
      <c r="K24" s="3">
        <v>51.8</v>
      </c>
      <c r="L24" s="9">
        <v>1.92</v>
      </c>
      <c r="M24" s="2">
        <f t="shared" si="2"/>
        <v>14.390039999999999</v>
      </c>
      <c r="N24" s="5" t="s">
        <v>31</v>
      </c>
      <c r="Q24" s="15" t="s">
        <v>82</v>
      </c>
      <c r="R24" s="16">
        <v>0.2</v>
      </c>
      <c r="S24" s="16">
        <v>0.1</v>
      </c>
      <c r="T24" s="25">
        <v>0.18</v>
      </c>
      <c r="U24" s="25">
        <v>0.09</v>
      </c>
      <c r="V24" s="1" t="e">
        <f>VLOOKUP(Q24,A$3:M54,13,FALSE)</f>
        <v>#N/A</v>
      </c>
      <c r="W24" s="1" t="e">
        <f>VLOOKUP(Q24,A$3:M54,12,FALSE)</f>
        <v>#N/A</v>
      </c>
      <c r="X24" s="1">
        <v>0</v>
      </c>
      <c r="Y24" s="1">
        <v>0</v>
      </c>
      <c r="Z24" s="1">
        <v>0</v>
      </c>
      <c r="AA24" s="1">
        <v>0</v>
      </c>
    </row>
    <row r="25" spans="1:27" ht="15.75" thickBot="1" x14ac:dyDescent="0.3">
      <c r="A25" s="1" t="s">
        <v>40</v>
      </c>
      <c r="B25" s="1"/>
      <c r="C25" s="5"/>
      <c r="D25" s="1"/>
      <c r="E25" s="1"/>
      <c r="F25" s="1"/>
      <c r="G25" s="1"/>
      <c r="H25" s="1"/>
      <c r="I25" s="1"/>
      <c r="J25" s="1"/>
      <c r="K25" s="3">
        <v>68.78</v>
      </c>
      <c r="L25" s="9">
        <v>1.4896</v>
      </c>
      <c r="M25" s="2">
        <f t="shared" si="2"/>
        <v>19.107084</v>
      </c>
      <c r="N25" s="5" t="s">
        <v>31</v>
      </c>
      <c r="Q25" s="15" t="s">
        <v>42</v>
      </c>
      <c r="R25" s="16">
        <v>5.6</v>
      </c>
      <c r="S25" s="16">
        <v>2.8</v>
      </c>
      <c r="T25" s="25">
        <v>5.04</v>
      </c>
      <c r="U25" s="25">
        <v>2.52</v>
      </c>
      <c r="V25" s="1">
        <f>VLOOKUP(Q25,A$3:M55,13,FALSE)</f>
        <v>0.20834999999999998</v>
      </c>
      <c r="W25" s="1">
        <f>VLOOKUP(Q25,A$3:M55,12,FALSE)</f>
        <v>0.1</v>
      </c>
      <c r="X25" s="1">
        <f t="shared" si="9"/>
        <v>1050.0839999999998</v>
      </c>
      <c r="Y25" s="1">
        <f>V25*U25*1000</f>
        <v>525.04199999999992</v>
      </c>
      <c r="Z25" s="1">
        <f>T25*W25*1000</f>
        <v>504</v>
      </c>
      <c r="AA25" s="1">
        <f>U25*W25*1000</f>
        <v>252</v>
      </c>
    </row>
    <row r="26" spans="1:27" x14ac:dyDescent="0.25">
      <c r="A26" s="1" t="s">
        <v>41</v>
      </c>
      <c r="B26" s="1"/>
      <c r="C26" s="5">
        <f>K26*0.2778</f>
        <v>103.21659</v>
      </c>
      <c r="D26" s="1">
        <f>L26</f>
        <v>4.05</v>
      </c>
      <c r="E26" s="5" t="s">
        <v>31</v>
      </c>
      <c r="F26" s="1"/>
      <c r="G26" s="1"/>
      <c r="H26" s="1"/>
      <c r="I26" s="1"/>
      <c r="J26" s="1"/>
      <c r="K26" s="3">
        <v>371.55</v>
      </c>
      <c r="L26" s="9">
        <v>4.05</v>
      </c>
      <c r="M26" s="2">
        <f t="shared" si="2"/>
        <v>103.21659</v>
      </c>
      <c r="N26" s="5" t="s">
        <v>31</v>
      </c>
      <c r="X26" s="12">
        <f>SUM(X18:X25)*1000</f>
        <v>98824405.320000008</v>
      </c>
      <c r="Y26" s="12">
        <f t="shared" ref="Y26:AA26" si="13">SUM(Y18:Y25)*1000</f>
        <v>47467047.060000002</v>
      </c>
      <c r="Z26" s="12">
        <f t="shared" si="13"/>
        <v>26219520.000000004</v>
      </c>
      <c r="AA26" s="12">
        <f t="shared" si="13"/>
        <v>12584970.000000004</v>
      </c>
    </row>
    <row r="27" spans="1:27" x14ac:dyDescent="0.25">
      <c r="A27" s="1" t="s">
        <v>42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2">
        <v>0.1</v>
      </c>
      <c r="M27" s="2">
        <v>0.20834999999999998</v>
      </c>
      <c r="N27" s="1"/>
    </row>
    <row r="28" spans="1:27" x14ac:dyDescent="0.25">
      <c r="A28" s="1" t="s">
        <v>43</v>
      </c>
      <c r="B28" s="1"/>
      <c r="C28" s="1">
        <v>30.8</v>
      </c>
      <c r="D28" s="1">
        <v>34</v>
      </c>
      <c r="E28" s="1">
        <v>10.1</v>
      </c>
      <c r="F28" s="1">
        <v>11.2</v>
      </c>
      <c r="G28" s="1">
        <v>2.2599999999999998</v>
      </c>
      <c r="H28" s="1">
        <v>2.4900000000000002</v>
      </c>
      <c r="I28" s="1">
        <v>0.76</v>
      </c>
      <c r="J28" s="1">
        <v>0.83799999999999997</v>
      </c>
      <c r="K28" s="1">
        <f t="shared" ref="K28" si="14">AVERAGE(C28:D28)+AVERAGE(G28:H28)</f>
        <v>34.774999999999999</v>
      </c>
      <c r="L28" s="2">
        <f t="shared" ref="L28" si="15">AVERAGE(E28:F28)+AVERAGE(I28:J28)</f>
        <v>11.448999999999998</v>
      </c>
      <c r="M28" s="2">
        <f t="shared" ref="M28" si="16">K28*0.2778</f>
        <v>9.6604949999999992</v>
      </c>
      <c r="N28" s="1"/>
      <c r="X28">
        <v>188424028.63734329</v>
      </c>
      <c r="Y28">
        <v>175195688.52543771</v>
      </c>
      <c r="Z28">
        <v>636598052.65014875</v>
      </c>
      <c r="AA28">
        <v>62286596.893893838</v>
      </c>
    </row>
    <row r="29" spans="1:27" x14ac:dyDescent="0.25">
      <c r="A29" s="1" t="s">
        <v>44</v>
      </c>
      <c r="B29" s="1"/>
      <c r="C29" s="1">
        <v>4.63</v>
      </c>
      <c r="D29" s="1">
        <v>5.12</v>
      </c>
      <c r="E29" s="1"/>
      <c r="F29" s="1"/>
      <c r="G29" s="1">
        <v>0</v>
      </c>
      <c r="H29" s="1">
        <v>0</v>
      </c>
      <c r="I29" s="1"/>
      <c r="J29" s="1"/>
      <c r="K29" s="1">
        <f>AVERAGE(C29:D29)+AVERAGE(G29:H29)</f>
        <v>4.875</v>
      </c>
      <c r="L29" s="2">
        <f>AVERAGE(C29:D29)+AVERAGE(G29:H29)</f>
        <v>4.875</v>
      </c>
      <c r="M29" s="2">
        <f>K29*0.2778</f>
        <v>1.3542749999999999</v>
      </c>
      <c r="N29" s="1"/>
      <c r="X29" s="27">
        <f>X28+X26</f>
        <v>287248433.95734328</v>
      </c>
      <c r="Y29" s="27">
        <f>Y28+Y26</f>
        <v>222662735.58543772</v>
      </c>
      <c r="Z29" s="27">
        <f t="shared" ref="Z29:AA29" si="17">Z28+Z26</f>
        <v>662817572.65014875</v>
      </c>
      <c r="AA29" s="27">
        <f t="shared" si="17"/>
        <v>74871566.893893838</v>
      </c>
    </row>
    <row r="30" spans="1:27" x14ac:dyDescent="0.25">
      <c r="A30" s="10" t="s">
        <v>45</v>
      </c>
      <c r="B30" t="s">
        <v>10</v>
      </c>
      <c r="C30">
        <v>59.3</v>
      </c>
      <c r="D30">
        <v>65.3</v>
      </c>
      <c r="E30">
        <v>4.1900000000000004</v>
      </c>
      <c r="F30">
        <v>4.62</v>
      </c>
      <c r="G30">
        <v>2.29</v>
      </c>
      <c r="H30">
        <v>2.5299999999999998</v>
      </c>
      <c r="I30">
        <v>0.17199999999999999</v>
      </c>
      <c r="J30">
        <v>0.19</v>
      </c>
      <c r="K30" s="1">
        <f t="shared" ref="K30" si="18">AVERAGE(C30:D30)+AVERAGE(G30:H30)</f>
        <v>64.709999999999994</v>
      </c>
      <c r="L30" s="2">
        <f t="shared" ref="L30" si="19">AVERAGE(E30:F30)+AVERAGE(I30:J30)</f>
        <v>4.5860000000000003</v>
      </c>
      <c r="M30" s="2">
        <f t="shared" ref="M30" si="20">K30*0.2778</f>
        <v>17.976437999999998</v>
      </c>
    </row>
    <row r="31" spans="1:27" x14ac:dyDescent="0.25">
      <c r="A31" s="10" t="s">
        <v>46</v>
      </c>
      <c r="B31" s="11">
        <v>0.6</v>
      </c>
      <c r="C31" s="49" t="s">
        <v>47</v>
      </c>
      <c r="D31" s="49"/>
      <c r="E31" s="49"/>
      <c r="F31" s="49"/>
      <c r="G31" s="49"/>
      <c r="H31" s="49"/>
      <c r="I31" s="49"/>
      <c r="J31" s="49"/>
    </row>
    <row r="32" spans="1:27" x14ac:dyDescent="0.25">
      <c r="A32" s="10" t="s">
        <v>48</v>
      </c>
      <c r="B32" t="s">
        <v>10</v>
      </c>
      <c r="C32">
        <v>30.8</v>
      </c>
      <c r="D32">
        <v>34</v>
      </c>
      <c r="E32">
        <v>2.2599999999999998</v>
      </c>
      <c r="F32">
        <v>2.4900000000000002</v>
      </c>
      <c r="G32">
        <v>5.99</v>
      </c>
      <c r="H32">
        <v>6.6</v>
      </c>
      <c r="I32">
        <v>0.44900000000000001</v>
      </c>
      <c r="J32">
        <v>0.495</v>
      </c>
      <c r="K32" s="1">
        <f t="shared" ref="K32:K33" si="21">AVERAGE(C32:D32)+AVERAGE(G32:H32)</f>
        <v>38.695</v>
      </c>
      <c r="L32" s="2">
        <f t="shared" ref="L32:L33" si="22">AVERAGE(E32:F32)+AVERAGE(I32:J32)</f>
        <v>2.847</v>
      </c>
      <c r="M32" s="2">
        <f t="shared" ref="M32:M33" si="23">K32*0.2778</f>
        <v>10.749471</v>
      </c>
    </row>
    <row r="33" spans="1:27" x14ac:dyDescent="0.25">
      <c r="A33" s="10" t="s">
        <v>49</v>
      </c>
      <c r="B33" t="s">
        <v>10</v>
      </c>
      <c r="C33">
        <v>217</v>
      </c>
      <c r="D33">
        <v>239</v>
      </c>
      <c r="E33">
        <v>15</v>
      </c>
      <c r="F33">
        <v>16.600000000000001</v>
      </c>
      <c r="G33">
        <v>0.374</v>
      </c>
      <c r="H33">
        <v>0.41299999999999998</v>
      </c>
      <c r="I33">
        <v>2.8000000000000001E-2</v>
      </c>
      <c r="J33">
        <v>3.1E-2</v>
      </c>
      <c r="K33">
        <f t="shared" si="21"/>
        <v>228.39349999999999</v>
      </c>
      <c r="L33" s="2">
        <f t="shared" si="22"/>
        <v>15.829500000000001</v>
      </c>
      <c r="M33" s="12">
        <f t="shared" si="23"/>
        <v>63.447714299999994</v>
      </c>
    </row>
    <row r="34" spans="1:27" x14ac:dyDescent="0.25">
      <c r="X34" s="48" t="s">
        <v>84</v>
      </c>
      <c r="Y34" s="48"/>
      <c r="Z34" s="48"/>
      <c r="AA34" s="48"/>
    </row>
    <row r="35" spans="1:27" x14ac:dyDescent="0.25">
      <c r="X35" s="1">
        <f>V18*R18</f>
        <v>53.010907199999998</v>
      </c>
      <c r="Y35" s="1">
        <f>V18*S18</f>
        <v>26.505453599999999</v>
      </c>
      <c r="Z35" s="1">
        <f>R18*W18</f>
        <v>15.088800000000001</v>
      </c>
      <c r="AA35" s="1">
        <f>R18*W18</f>
        <v>15.088800000000001</v>
      </c>
    </row>
    <row r="36" spans="1:27" x14ac:dyDescent="0.25">
      <c r="X36" s="1">
        <f>V19*R19</f>
        <v>41.064396000000002</v>
      </c>
      <c r="Y36" s="1">
        <f>V19*S19</f>
        <v>18.370914000000003</v>
      </c>
      <c r="Z36" s="1">
        <f>R19*W19</f>
        <v>11.078900000000001</v>
      </c>
      <c r="AA36" s="1">
        <f>R19*W19</f>
        <v>11.078900000000001</v>
      </c>
    </row>
    <row r="37" spans="1:27" x14ac:dyDescent="0.25">
      <c r="A37" s="50" t="s">
        <v>59</v>
      </c>
      <c r="B37" s="51" t="s">
        <v>60</v>
      </c>
      <c r="C37" s="51"/>
      <c r="D37" s="1"/>
      <c r="E37" s="1"/>
      <c r="X37" s="1">
        <f>V20*R20</f>
        <v>5.5975311000000003</v>
      </c>
      <c r="Y37" s="1">
        <f>V20*S20</f>
        <v>2.7987655500000002</v>
      </c>
      <c r="Z37" s="1">
        <f>R20*W20</f>
        <v>1.3075000000000001</v>
      </c>
      <c r="AA37" s="1">
        <f>R20*W20</f>
        <v>1.3075000000000001</v>
      </c>
    </row>
    <row r="38" spans="1:27" ht="30" x14ac:dyDescent="0.25">
      <c r="A38" s="50"/>
      <c r="B38" s="33" t="s">
        <v>61</v>
      </c>
      <c r="C38" s="33" t="s">
        <v>62</v>
      </c>
      <c r="D38" s="1" t="s">
        <v>85</v>
      </c>
      <c r="E38" s="1" t="s">
        <v>87</v>
      </c>
      <c r="F38" s="56" t="s">
        <v>88</v>
      </c>
      <c r="G38" s="57"/>
      <c r="H38" s="57" t="s">
        <v>89</v>
      </c>
      <c r="I38" s="57"/>
      <c r="X38" s="1">
        <f>V21*R21</f>
        <v>1.7805591000000001</v>
      </c>
      <c r="Y38" s="1">
        <f>V21*S21</f>
        <v>0.89027955000000003</v>
      </c>
      <c r="Z38" s="1">
        <f>R21*W21</f>
        <v>0.39995000000000003</v>
      </c>
      <c r="AA38" s="1">
        <f>R21*W21</f>
        <v>0.39995000000000003</v>
      </c>
    </row>
    <row r="39" spans="1:27" x14ac:dyDescent="0.25">
      <c r="A39" s="34" t="s">
        <v>63</v>
      </c>
      <c r="B39" s="35">
        <v>7979.1</v>
      </c>
      <c r="C39" s="35">
        <v>2518.1999999999998</v>
      </c>
      <c r="D39" s="30">
        <v>122</v>
      </c>
      <c r="E39" s="31">
        <v>41.592216000000001</v>
      </c>
      <c r="F39" s="27">
        <f>D39*B39</f>
        <v>973450.20000000007</v>
      </c>
      <c r="G39" s="27">
        <f>D39*C39</f>
        <v>307220.39999999997</v>
      </c>
      <c r="H39" s="27">
        <f>E39*B39</f>
        <v>331868.45068559999</v>
      </c>
      <c r="I39" s="27">
        <f>E39*C39</f>
        <v>104737.5183312</v>
      </c>
      <c r="X39" s="1">
        <f>V22*R22</f>
        <v>7.1847413999999992</v>
      </c>
      <c r="Y39" s="1">
        <f>V22*S22</f>
        <v>3.5923706999999996</v>
      </c>
      <c r="Z39" s="1">
        <f>R22*W22</f>
        <v>0.69764999999999999</v>
      </c>
      <c r="AA39" s="1">
        <f>R22*W22</f>
        <v>0.69764999999999999</v>
      </c>
    </row>
    <row r="40" spans="1:27" x14ac:dyDescent="0.25">
      <c r="A40" s="34" t="s">
        <v>64</v>
      </c>
      <c r="B40" s="35">
        <v>167.9</v>
      </c>
      <c r="C40" s="35">
        <v>7.9</v>
      </c>
      <c r="D40" s="31">
        <v>71023</v>
      </c>
      <c r="E40" s="31">
        <v>317719.86</v>
      </c>
      <c r="F40" s="27">
        <f t="shared" ref="F40:F55" si="24">D40*B40</f>
        <v>11924761.700000001</v>
      </c>
      <c r="G40" s="27">
        <f t="shared" ref="G40:G55" si="25">D40*C40</f>
        <v>561081.70000000007</v>
      </c>
      <c r="H40" s="27">
        <f t="shared" ref="H40:H55" si="26">E40*B40</f>
        <v>53345164.494000003</v>
      </c>
      <c r="I40" s="27">
        <f t="shared" ref="I40:I55" si="27">E40*C40</f>
        <v>2509986.8939999999</v>
      </c>
      <c r="X40" s="1">
        <v>0</v>
      </c>
      <c r="Y40" s="1">
        <v>0</v>
      </c>
      <c r="Z40" s="1">
        <v>0</v>
      </c>
      <c r="AA40" s="1">
        <v>0</v>
      </c>
    </row>
    <row r="41" spans="1:27" ht="15.75" thickBot="1" x14ac:dyDescent="0.3">
      <c r="A41" s="22" t="s">
        <v>65</v>
      </c>
      <c r="B41" s="23">
        <v>251.9</v>
      </c>
      <c r="C41" s="29">
        <v>11.9</v>
      </c>
      <c r="D41" s="32">
        <v>2.3746</v>
      </c>
      <c r="E41" s="32">
        <v>23.458543200000001</v>
      </c>
      <c r="F41" s="27">
        <f t="shared" si="24"/>
        <v>598.16174000000001</v>
      </c>
      <c r="G41" s="27">
        <f t="shared" si="25"/>
        <v>28.257740000000002</v>
      </c>
      <c r="H41" s="27">
        <f t="shared" si="26"/>
        <v>5909.2070320800003</v>
      </c>
      <c r="I41" s="27">
        <f t="shared" si="27"/>
        <v>279.15666408000004</v>
      </c>
      <c r="X41" s="1">
        <v>0</v>
      </c>
      <c r="Y41" s="1">
        <v>0</v>
      </c>
      <c r="Z41" s="1">
        <v>0</v>
      </c>
      <c r="AA41" s="1">
        <v>0</v>
      </c>
    </row>
    <row r="42" spans="1:27" ht="15.75" thickBot="1" x14ac:dyDescent="0.3">
      <c r="A42" s="22" t="s">
        <v>63</v>
      </c>
      <c r="B42" s="23">
        <v>2014.9</v>
      </c>
      <c r="C42" s="29">
        <v>95.4</v>
      </c>
      <c r="D42" s="30">
        <v>122</v>
      </c>
      <c r="E42" s="31">
        <v>41.592216000000001</v>
      </c>
      <c r="F42" s="27">
        <f t="shared" si="24"/>
        <v>245817.80000000002</v>
      </c>
      <c r="G42" s="27">
        <f t="shared" si="25"/>
        <v>11638.800000000001</v>
      </c>
      <c r="H42" s="27">
        <f t="shared" si="26"/>
        <v>83804.156018400012</v>
      </c>
      <c r="I42" s="27">
        <f t="shared" si="27"/>
        <v>3967.8974064000004</v>
      </c>
      <c r="X42" s="1">
        <f>V25*R25</f>
        <v>1.1667599999999998</v>
      </c>
      <c r="Y42" s="1">
        <f>V25*S25</f>
        <v>0.5833799999999999</v>
      </c>
      <c r="Z42" s="1">
        <f>R25*W25</f>
        <v>0.55999999999999994</v>
      </c>
      <c r="AA42" s="1">
        <f>R25*W25</f>
        <v>0.55999999999999994</v>
      </c>
    </row>
    <row r="43" spans="1:27" ht="15.75" thickBot="1" x14ac:dyDescent="0.3">
      <c r="A43" s="22" t="s">
        <v>66</v>
      </c>
      <c r="B43" s="23">
        <v>181.9</v>
      </c>
      <c r="C43" s="29">
        <v>8.6</v>
      </c>
      <c r="D43" s="31">
        <v>4.0625999999999998E-4</v>
      </c>
      <c r="E43" s="31">
        <v>1.7400002999999999E-3</v>
      </c>
      <c r="F43" s="27">
        <f t="shared" si="24"/>
        <v>7.3898694000000001E-2</v>
      </c>
      <c r="G43" s="27">
        <f t="shared" si="25"/>
        <v>3.4938359999999997E-3</v>
      </c>
      <c r="H43" s="27">
        <f t="shared" si="26"/>
        <v>0.31650605456999997</v>
      </c>
      <c r="I43" s="27">
        <f t="shared" si="27"/>
        <v>1.4964002579999998E-2</v>
      </c>
      <c r="K43" s="27">
        <f>E43*8.9</f>
        <v>1.548600267E-2</v>
      </c>
      <c r="X43" s="12">
        <f>SUM(X35:X42)*1000</f>
        <v>109804.89479999999</v>
      </c>
      <c r="Y43" s="12">
        <f t="shared" ref="Y43:AA43" si="28">SUM(Y35:Y42)*1000</f>
        <v>52741.163399999998</v>
      </c>
      <c r="Z43" s="12">
        <f t="shared" si="28"/>
        <v>29132.800000000003</v>
      </c>
      <c r="AA43" s="12">
        <f t="shared" si="28"/>
        <v>29132.800000000003</v>
      </c>
    </row>
    <row r="44" spans="1:27" ht="15.75" thickBot="1" x14ac:dyDescent="0.3">
      <c r="A44" s="22" t="s">
        <v>67</v>
      </c>
      <c r="B44" s="23">
        <v>181.9</v>
      </c>
      <c r="C44" s="29">
        <v>8.6</v>
      </c>
      <c r="D44" s="31">
        <v>0.93859999999999999</v>
      </c>
      <c r="E44" s="31">
        <v>11.606484</v>
      </c>
      <c r="F44" s="27">
        <f t="shared" si="24"/>
        <v>170.73134000000002</v>
      </c>
      <c r="G44" s="27">
        <f t="shared" si="25"/>
        <v>8.0719599999999989</v>
      </c>
      <c r="H44" s="27">
        <f t="shared" si="26"/>
        <v>2111.2194396</v>
      </c>
      <c r="I44" s="27">
        <f t="shared" si="27"/>
        <v>99.815762399999997</v>
      </c>
    </row>
    <row r="45" spans="1:27" ht="15.75" thickBot="1" x14ac:dyDescent="0.3">
      <c r="A45" s="22" t="s">
        <v>68</v>
      </c>
      <c r="B45" s="23">
        <v>447.8</v>
      </c>
      <c r="C45" s="29">
        <v>15.9</v>
      </c>
      <c r="D45" s="31">
        <v>80391</v>
      </c>
      <c r="E45" s="58">
        <f>1309000*0.2778</f>
        <v>363640.2</v>
      </c>
      <c r="F45" s="27">
        <f t="shared" si="24"/>
        <v>35999089.800000004</v>
      </c>
      <c r="G45" s="27">
        <f t="shared" si="25"/>
        <v>1278216.9000000001</v>
      </c>
      <c r="H45" s="27">
        <f t="shared" si="26"/>
        <v>162838081.56</v>
      </c>
      <c r="I45" s="27">
        <f t="shared" si="27"/>
        <v>5781879.1800000006</v>
      </c>
    </row>
    <row r="46" spans="1:27" ht="15.75" thickBot="1" x14ac:dyDescent="0.3">
      <c r="A46" s="22" t="s">
        <v>69</v>
      </c>
      <c r="B46" s="23">
        <v>2758.2</v>
      </c>
      <c r="C46" s="29">
        <v>1958.6</v>
      </c>
      <c r="D46" s="31">
        <v>83.569000000000003</v>
      </c>
      <c r="E46" s="31">
        <v>330.35975999999999</v>
      </c>
      <c r="F46" s="27">
        <f t="shared" si="24"/>
        <v>230500.01579999999</v>
      </c>
      <c r="G46" s="27">
        <f t="shared" si="25"/>
        <v>163678.24340000001</v>
      </c>
      <c r="H46" s="27">
        <f t="shared" si="26"/>
        <v>911198.29003199993</v>
      </c>
      <c r="I46" s="27">
        <f t="shared" si="27"/>
        <v>647042.62593599991</v>
      </c>
    </row>
    <row r="47" spans="1:27" ht="15.75" thickBot="1" x14ac:dyDescent="0.3">
      <c r="A47" s="22" t="s">
        <v>70</v>
      </c>
      <c r="B47" s="23">
        <v>151320.9</v>
      </c>
      <c r="C47" s="29">
        <v>0</v>
      </c>
      <c r="D47" s="31">
        <v>49.104999999999997</v>
      </c>
      <c r="E47" s="31">
        <v>174.92232599999997</v>
      </c>
      <c r="F47" s="27">
        <f t="shared" si="24"/>
        <v>7430612.7944999989</v>
      </c>
      <c r="G47" s="27">
        <f t="shared" si="25"/>
        <v>0</v>
      </c>
      <c r="H47" s="27">
        <f t="shared" si="26"/>
        <v>26469403.800413396</v>
      </c>
      <c r="I47" s="27">
        <f t="shared" si="27"/>
        <v>0</v>
      </c>
    </row>
    <row r="48" spans="1:27" ht="15.75" thickBot="1" x14ac:dyDescent="0.3">
      <c r="A48" s="22" t="s">
        <v>71</v>
      </c>
      <c r="B48" s="23">
        <v>86.4</v>
      </c>
      <c r="C48" s="29">
        <v>0</v>
      </c>
      <c r="D48" s="31">
        <v>63929</v>
      </c>
      <c r="E48" s="31">
        <v>272355.12</v>
      </c>
      <c r="F48" s="27">
        <f t="shared" si="24"/>
        <v>5523465.6000000006</v>
      </c>
      <c r="G48" s="27">
        <f t="shared" si="25"/>
        <v>0</v>
      </c>
      <c r="H48" s="27">
        <f t="shared" si="26"/>
        <v>23531482.368000001</v>
      </c>
      <c r="I48" s="27">
        <f t="shared" si="27"/>
        <v>0</v>
      </c>
    </row>
    <row r="49" spans="1:15" ht="15.75" thickBot="1" x14ac:dyDescent="0.3">
      <c r="A49" s="22" t="s">
        <v>72</v>
      </c>
      <c r="B49" s="23">
        <v>0</v>
      </c>
      <c r="C49" s="29">
        <v>381538.5</v>
      </c>
      <c r="D49" s="31">
        <v>5.0789999999999997</v>
      </c>
      <c r="E49" s="31">
        <v>20.280511199999999</v>
      </c>
      <c r="F49" s="27">
        <f t="shared" si="24"/>
        <v>0</v>
      </c>
      <c r="G49" s="27">
        <f t="shared" si="25"/>
        <v>1937834.0414999998</v>
      </c>
      <c r="H49" s="27">
        <f t="shared" si="26"/>
        <v>0</v>
      </c>
      <c r="I49" s="27">
        <f t="shared" si="27"/>
        <v>7737795.8224812001</v>
      </c>
    </row>
    <row r="50" spans="1:15" ht="15.75" thickBot="1" x14ac:dyDescent="0.3">
      <c r="A50" s="22" t="s">
        <v>73</v>
      </c>
      <c r="B50" s="23">
        <v>0</v>
      </c>
      <c r="C50" s="29">
        <v>54496.4</v>
      </c>
      <c r="D50" s="31">
        <v>174.03</v>
      </c>
      <c r="E50" s="31">
        <v>746.42082000000005</v>
      </c>
      <c r="F50" s="27">
        <f t="shared" si="24"/>
        <v>0</v>
      </c>
      <c r="G50" s="27">
        <f t="shared" si="25"/>
        <v>9484008.4920000006</v>
      </c>
      <c r="H50" s="27">
        <f t="shared" si="26"/>
        <v>0</v>
      </c>
      <c r="I50" s="27">
        <f t="shared" si="27"/>
        <v>40677247.575048007</v>
      </c>
    </row>
    <row r="51" spans="1:15" ht="15.75" thickBot="1" x14ac:dyDescent="0.3">
      <c r="A51" s="22" t="s">
        <v>74</v>
      </c>
      <c r="B51" s="23">
        <v>30630.1</v>
      </c>
      <c r="C51" s="29">
        <v>44589</v>
      </c>
      <c r="D51" s="31">
        <v>8.8917000000000002</v>
      </c>
      <c r="E51" s="31">
        <v>41.472761999999996</v>
      </c>
      <c r="F51" s="27">
        <f t="shared" si="24"/>
        <v>272353.66016999999</v>
      </c>
      <c r="G51" s="27">
        <f t="shared" si="25"/>
        <v>396472.01130000001</v>
      </c>
      <c r="H51" s="27">
        <f t="shared" si="26"/>
        <v>1270314.8473361998</v>
      </c>
      <c r="I51" s="27">
        <f t="shared" si="27"/>
        <v>1849228.9848179999</v>
      </c>
    </row>
    <row r="52" spans="1:15" ht="15.75" thickBot="1" x14ac:dyDescent="0.3">
      <c r="A52" s="22" t="s">
        <v>72</v>
      </c>
      <c r="B52" s="23">
        <v>250746.3</v>
      </c>
      <c r="C52" s="29">
        <v>183138.5</v>
      </c>
      <c r="D52" s="31">
        <v>5.0789999999999997</v>
      </c>
      <c r="E52" s="31">
        <v>20.280511199999999</v>
      </c>
      <c r="F52" s="27">
        <f t="shared" si="24"/>
        <v>1273540.4576999999</v>
      </c>
      <c r="G52" s="27">
        <f t="shared" si="25"/>
        <v>930160.44149999996</v>
      </c>
      <c r="H52" s="27">
        <f t="shared" si="26"/>
        <v>5085263.1455085594</v>
      </c>
      <c r="I52" s="27">
        <f t="shared" si="27"/>
        <v>3714142.4004011997</v>
      </c>
    </row>
    <row r="53" spans="1:15" ht="15.75" thickBot="1" x14ac:dyDescent="0.3">
      <c r="A53" s="22" t="s">
        <v>71</v>
      </c>
      <c r="B53" s="23">
        <v>242</v>
      </c>
      <c r="C53" s="29">
        <v>0</v>
      </c>
      <c r="D53" s="31">
        <v>63929</v>
      </c>
      <c r="E53" s="31">
        <v>272355.12</v>
      </c>
      <c r="F53" s="27">
        <f t="shared" si="24"/>
        <v>15470818</v>
      </c>
      <c r="G53" s="27">
        <f t="shared" si="25"/>
        <v>0</v>
      </c>
      <c r="H53" s="27">
        <f t="shared" si="26"/>
        <v>65909939.039999999</v>
      </c>
      <c r="I53" s="27">
        <f t="shared" si="27"/>
        <v>0</v>
      </c>
    </row>
    <row r="54" spans="1:15" ht="15.75" thickBot="1" x14ac:dyDescent="0.3">
      <c r="A54" s="22" t="s">
        <v>73</v>
      </c>
      <c r="B54" s="23">
        <v>0</v>
      </c>
      <c r="C54" s="29">
        <v>156949.70000000001</v>
      </c>
      <c r="D54" s="31">
        <v>174.03</v>
      </c>
      <c r="E54" s="31">
        <v>746.42082000000005</v>
      </c>
      <c r="F54" s="27">
        <f t="shared" si="24"/>
        <v>0</v>
      </c>
      <c r="G54" s="27">
        <f t="shared" si="25"/>
        <v>27313956.291000001</v>
      </c>
      <c r="H54" s="27">
        <f t="shared" si="26"/>
        <v>0</v>
      </c>
      <c r="I54" s="27">
        <f t="shared" si="27"/>
        <v>117150523.77275401</v>
      </c>
    </row>
    <row r="55" spans="1:15" ht="15.75" thickBot="1" x14ac:dyDescent="0.3">
      <c r="A55" s="22" t="s">
        <v>75</v>
      </c>
      <c r="B55" s="23">
        <v>19047.7</v>
      </c>
      <c r="C55" s="29">
        <v>6731.6</v>
      </c>
      <c r="D55" s="31">
        <v>19.149999999999999</v>
      </c>
      <c r="E55" s="31">
        <v>64.919082000000003</v>
      </c>
      <c r="F55" s="27">
        <f t="shared" si="24"/>
        <v>364763.45499999996</v>
      </c>
      <c r="G55" s="27">
        <f t="shared" si="25"/>
        <v>128910.14</v>
      </c>
      <c r="H55" s="27">
        <f t="shared" si="26"/>
        <v>1236559.1982114001</v>
      </c>
      <c r="I55" s="27">
        <f t="shared" si="27"/>
        <v>437009.29239120003</v>
      </c>
    </row>
    <row r="56" spans="1:15" x14ac:dyDescent="0.25">
      <c r="F56" s="36">
        <f>SUM(F39:F55)</f>
        <v>79709942.450148687</v>
      </c>
      <c r="G56" s="36">
        <f t="shared" ref="G56:I56" si="29">SUM(G39:G55)</f>
        <v>42513213.793893836</v>
      </c>
      <c r="H56" s="36">
        <f t="shared" si="29"/>
        <v>341021100.09318334</v>
      </c>
      <c r="I56" s="36">
        <f t="shared" si="29"/>
        <v>180613940.95095772</v>
      </c>
    </row>
    <row r="63" spans="1:15" ht="15.75" thickBot="1" x14ac:dyDescent="0.3">
      <c r="E63" t="s">
        <v>85</v>
      </c>
      <c r="F63" t="s">
        <v>86</v>
      </c>
      <c r="G63" t="s">
        <v>109</v>
      </c>
      <c r="H63" t="s">
        <v>110</v>
      </c>
    </row>
    <row r="64" spans="1:15" ht="67.5" customHeight="1" thickBot="1" x14ac:dyDescent="0.3">
      <c r="A64" s="37" t="s">
        <v>90</v>
      </c>
      <c r="B64" s="38" t="s">
        <v>91</v>
      </c>
      <c r="C64" s="39">
        <v>791447.36</v>
      </c>
      <c r="D64" s="40" t="s">
        <v>92</v>
      </c>
      <c r="E64" s="28">
        <v>0.36799999999999999</v>
      </c>
      <c r="F64" s="28">
        <v>3.8534000000000002</v>
      </c>
      <c r="G64" s="27">
        <f>E64*C64</f>
        <v>291252.62848000001</v>
      </c>
      <c r="H64" s="27">
        <f>F64*C64</f>
        <v>3049763.2570239999</v>
      </c>
      <c r="N64" s="45" t="s">
        <v>93</v>
      </c>
      <c r="O64" s="45" t="s">
        <v>94</v>
      </c>
    </row>
    <row r="65" spans="1:15" ht="18" thickBot="1" x14ac:dyDescent="0.3">
      <c r="A65" s="21" t="s">
        <v>95</v>
      </c>
      <c r="B65" s="41" t="s">
        <v>96</v>
      </c>
      <c r="C65" s="42">
        <v>3830.23</v>
      </c>
      <c r="D65" s="25" t="s">
        <v>92</v>
      </c>
      <c r="E65" s="28">
        <v>3.4015</v>
      </c>
      <c r="F65" s="28">
        <v>59.456000000000003</v>
      </c>
      <c r="G65" s="27">
        <f t="shared" ref="G65:G68" si="30">E65*C65</f>
        <v>13028.527345</v>
      </c>
      <c r="H65" s="27">
        <f t="shared" ref="H65:H68" si="31">F65*C65</f>
        <v>227730.15488000002</v>
      </c>
      <c r="N65" s="46"/>
      <c r="O65" s="46"/>
    </row>
    <row r="66" spans="1:15" ht="18" thickBot="1" x14ac:dyDescent="0.3">
      <c r="A66" s="21" t="s">
        <v>97</v>
      </c>
      <c r="B66" s="41" t="s">
        <v>96</v>
      </c>
      <c r="C66" s="42">
        <v>3660</v>
      </c>
      <c r="D66" s="25" t="s">
        <v>92</v>
      </c>
      <c r="E66" s="28">
        <v>5.2320000000000002</v>
      </c>
      <c r="F66" s="28">
        <v>84.070999999999998</v>
      </c>
      <c r="G66" s="27">
        <f t="shared" si="30"/>
        <v>19149.12</v>
      </c>
      <c r="H66" s="27">
        <f t="shared" si="31"/>
        <v>307699.86</v>
      </c>
      <c r="N66" s="46"/>
      <c r="O66" s="46"/>
    </row>
    <row r="67" spans="1:15" ht="15.75" thickBot="1" x14ac:dyDescent="0.3">
      <c r="A67" s="21" t="s">
        <v>98</v>
      </c>
      <c r="B67" s="41" t="s">
        <v>99</v>
      </c>
      <c r="C67" s="42">
        <v>5599.17</v>
      </c>
      <c r="D67" s="25" t="s">
        <v>92</v>
      </c>
      <c r="E67" s="28">
        <v>9.5550999999999995</v>
      </c>
      <c r="F67" s="28">
        <v>102.4</v>
      </c>
      <c r="G67" s="27">
        <f t="shared" si="30"/>
        <v>53500.629266999997</v>
      </c>
      <c r="H67" s="27">
        <f t="shared" si="31"/>
        <v>573355.00800000003</v>
      </c>
      <c r="N67" s="46"/>
      <c r="O67" s="46"/>
    </row>
    <row r="68" spans="1:15" ht="15.75" thickBot="1" x14ac:dyDescent="0.3">
      <c r="A68" s="21" t="s">
        <v>100</v>
      </c>
      <c r="B68" s="41" t="s">
        <v>99</v>
      </c>
      <c r="C68" s="42">
        <v>791447.36</v>
      </c>
      <c r="D68" s="25" t="s">
        <v>92</v>
      </c>
      <c r="E68" s="28">
        <v>1.9661</v>
      </c>
      <c r="F68" s="28">
        <v>24.169</v>
      </c>
      <c r="G68" s="27">
        <f t="shared" si="30"/>
        <v>1556064.6544959999</v>
      </c>
      <c r="H68" s="27">
        <f t="shared" si="31"/>
        <v>19128491.243840002</v>
      </c>
      <c r="N68" s="47"/>
      <c r="O68" s="47"/>
    </row>
    <row r="69" spans="1:15" ht="104.25" customHeight="1" thickBot="1" x14ac:dyDescent="0.3">
      <c r="A69" s="21" t="s">
        <v>101</v>
      </c>
      <c r="B69" s="41" t="s">
        <v>102</v>
      </c>
      <c r="C69" s="43">
        <v>3310000</v>
      </c>
      <c r="D69" s="25" t="s">
        <v>103</v>
      </c>
      <c r="G69" s="27"/>
      <c r="H69" s="27">
        <f>0.2778*C69</f>
        <v>919518</v>
      </c>
      <c r="N69" s="25" t="s">
        <v>104</v>
      </c>
      <c r="O69" s="45" t="s">
        <v>105</v>
      </c>
    </row>
    <row r="70" spans="1:15" ht="45.75" thickBot="1" x14ac:dyDescent="0.3">
      <c r="A70" s="21" t="s">
        <v>106</v>
      </c>
      <c r="B70" s="41" t="s">
        <v>102</v>
      </c>
      <c r="C70" s="43">
        <v>2530000</v>
      </c>
      <c r="D70" s="25" t="s">
        <v>107</v>
      </c>
      <c r="G70" s="27">
        <f>C70*0.2778*0.26</f>
        <v>182736.84</v>
      </c>
      <c r="H70" s="27"/>
      <c r="N70" s="25" t="s">
        <v>108</v>
      </c>
      <c r="O70" s="47"/>
    </row>
    <row r="72" spans="1:15" x14ac:dyDescent="0.25">
      <c r="G72" s="27">
        <f>SUM(G64:G70)</f>
        <v>2115732.399588</v>
      </c>
      <c r="H72" s="27">
        <f>SUM(H64:H70)</f>
        <v>24206557.523744002</v>
      </c>
    </row>
    <row r="73" spans="1:15" x14ac:dyDescent="0.25">
      <c r="G73" s="27">
        <f>G72/2</f>
        <v>1057866.199794</v>
      </c>
      <c r="H73" s="27">
        <f>H72/2</f>
        <v>12103278.761872001</v>
      </c>
    </row>
    <row r="74" spans="1:15" x14ac:dyDescent="0.25">
      <c r="E74" t="s">
        <v>117</v>
      </c>
      <c r="F74" t="s">
        <v>118</v>
      </c>
    </row>
    <row r="75" spans="1:15" x14ac:dyDescent="0.25">
      <c r="A75" s="44" t="s">
        <v>111</v>
      </c>
      <c r="B75" s="44">
        <v>380</v>
      </c>
      <c r="C75" s="1">
        <v>11.043939</v>
      </c>
      <c r="D75" s="1">
        <v>3.1435000000000004</v>
      </c>
      <c r="E75">
        <f>C75*1000*B75</f>
        <v>4196696.82</v>
      </c>
      <c r="F75">
        <f>D75*1000*B75</f>
        <v>1194530.0000000002</v>
      </c>
    </row>
    <row r="76" spans="1:15" x14ac:dyDescent="0.25">
      <c r="A76" s="44" t="s">
        <v>112</v>
      </c>
      <c r="B76" s="44">
        <v>595</v>
      </c>
      <c r="C76" s="1">
        <v>21.612840000000002</v>
      </c>
      <c r="D76" s="1">
        <v>5.8310000000000004</v>
      </c>
      <c r="E76">
        <f t="shared" ref="E76:E80" si="32">C76*1000*B76</f>
        <v>12859639.800000003</v>
      </c>
      <c r="F76">
        <f t="shared" ref="F76:F80" si="33">D76*1000*B76</f>
        <v>3469445</v>
      </c>
    </row>
    <row r="77" spans="1:15" x14ac:dyDescent="0.25">
      <c r="A77" s="44" t="s">
        <v>113</v>
      </c>
      <c r="B77" s="44">
        <v>15</v>
      </c>
      <c r="C77" s="31">
        <v>4.0625999999999998E-4</v>
      </c>
      <c r="D77" s="31">
        <v>1.7400002999999999E-3</v>
      </c>
      <c r="E77">
        <f t="shared" si="32"/>
        <v>6.0938999999999997</v>
      </c>
      <c r="F77">
        <f t="shared" si="33"/>
        <v>26.100004500000001</v>
      </c>
    </row>
    <row r="78" spans="1:15" x14ac:dyDescent="0.25">
      <c r="A78" s="44" t="s">
        <v>116</v>
      </c>
      <c r="B78" s="44">
        <f>19029*2.5</f>
        <v>47572.5</v>
      </c>
      <c r="C78" s="1">
        <v>0.20834999999999998</v>
      </c>
      <c r="D78" s="1">
        <v>0.1</v>
      </c>
      <c r="E78">
        <f t="shared" si="32"/>
        <v>9911730.3749999981</v>
      </c>
      <c r="F78">
        <f t="shared" si="33"/>
        <v>4757250</v>
      </c>
    </row>
    <row r="79" spans="1:15" x14ac:dyDescent="0.25">
      <c r="A79" s="44" t="s">
        <v>114</v>
      </c>
      <c r="B79" s="44">
        <v>140</v>
      </c>
      <c r="C79" s="1">
        <v>55.975310999999998</v>
      </c>
      <c r="D79" s="1">
        <v>13.075000000000001</v>
      </c>
      <c r="E79">
        <f t="shared" si="32"/>
        <v>7836543.5399999991</v>
      </c>
      <c r="F79">
        <f t="shared" si="33"/>
        <v>1830500.0000000002</v>
      </c>
    </row>
    <row r="80" spans="1:15" x14ac:dyDescent="0.25">
      <c r="A80" s="44" t="s">
        <v>115</v>
      </c>
      <c r="B80" s="44">
        <v>150</v>
      </c>
      <c r="C80" s="1">
        <v>17.805591</v>
      </c>
      <c r="D80" s="1">
        <v>3.9994999999999998</v>
      </c>
      <c r="E80">
        <f t="shared" si="32"/>
        <v>2670838.65</v>
      </c>
      <c r="F80">
        <f t="shared" si="33"/>
        <v>599925</v>
      </c>
    </row>
    <row r="81" spans="1:7" x14ac:dyDescent="0.25">
      <c r="E81">
        <f>SUM(E75:E80)</f>
        <v>37475455.278899997</v>
      </c>
      <c r="F81">
        <f>SUM(F75:F80)</f>
        <v>11851676.1000045</v>
      </c>
    </row>
    <row r="84" spans="1:7" x14ac:dyDescent="0.25">
      <c r="A84" t="s">
        <v>9</v>
      </c>
      <c r="B84">
        <v>4.8</v>
      </c>
      <c r="C84">
        <v>2.4</v>
      </c>
      <c r="D84">
        <v>4.32</v>
      </c>
      <c r="E84">
        <v>2.16</v>
      </c>
      <c r="F84">
        <v>11.043939</v>
      </c>
      <c r="G84">
        <v>3.1435000000000004</v>
      </c>
    </row>
    <row r="85" spans="1:7" x14ac:dyDescent="0.25">
      <c r="A85" t="s">
        <v>12</v>
      </c>
      <c r="B85">
        <v>1.9</v>
      </c>
      <c r="C85">
        <v>0.85</v>
      </c>
      <c r="D85">
        <v>1.71</v>
      </c>
      <c r="E85">
        <v>0.76500000000000001</v>
      </c>
      <c r="F85">
        <v>21.612840000000002</v>
      </c>
      <c r="G85">
        <v>5.8310000000000004</v>
      </c>
    </row>
    <row r="86" spans="1:7" x14ac:dyDescent="0.25">
      <c r="A86" t="s">
        <v>50</v>
      </c>
      <c r="B86">
        <v>0.1</v>
      </c>
      <c r="C86">
        <v>0.05</v>
      </c>
      <c r="D86">
        <v>0.09</v>
      </c>
      <c r="E86">
        <v>4.4999999999999998E-2</v>
      </c>
      <c r="F86">
        <v>55.975310999999998</v>
      </c>
      <c r="G86">
        <v>13.075000000000001</v>
      </c>
    </row>
    <row r="87" spans="1:7" x14ac:dyDescent="0.25">
      <c r="A87" t="s">
        <v>13</v>
      </c>
      <c r="B87">
        <v>0.1</v>
      </c>
      <c r="C87">
        <v>0.05</v>
      </c>
      <c r="D87">
        <v>0.09</v>
      </c>
      <c r="E87">
        <v>4.4999999999999998E-2</v>
      </c>
      <c r="F87">
        <v>17.805591</v>
      </c>
      <c r="G87">
        <v>3.9994999999999998</v>
      </c>
    </row>
    <row r="88" spans="1:7" x14ac:dyDescent="0.25">
      <c r="A88" t="s">
        <v>20</v>
      </c>
      <c r="B88">
        <v>0.3</v>
      </c>
      <c r="C88">
        <v>0.15</v>
      </c>
      <c r="D88">
        <v>0.27</v>
      </c>
      <c r="E88">
        <v>0.13500000000000001</v>
      </c>
      <c r="F88">
        <v>23.949137999999998</v>
      </c>
      <c r="G88">
        <v>2.3254999999999999</v>
      </c>
    </row>
    <row r="89" spans="1:7" x14ac:dyDescent="0.25">
      <c r="A89" t="s">
        <v>81</v>
      </c>
      <c r="B89">
        <v>1.1000000000000001</v>
      </c>
      <c r="C89">
        <v>0.55000000000000004</v>
      </c>
      <c r="D89">
        <v>0.99</v>
      </c>
      <c r="E89">
        <v>0.495</v>
      </c>
      <c r="F89" t="e">
        <v>#N/A</v>
      </c>
      <c r="G89" t="e">
        <v>#N/A</v>
      </c>
    </row>
    <row r="90" spans="1:7" x14ac:dyDescent="0.25">
      <c r="A90" t="s">
        <v>82</v>
      </c>
      <c r="B90">
        <v>0.2</v>
      </c>
      <c r="C90">
        <v>0.1</v>
      </c>
      <c r="D90">
        <v>0.18</v>
      </c>
      <c r="E90">
        <v>0.09</v>
      </c>
      <c r="F90" t="e">
        <v>#N/A</v>
      </c>
      <c r="G90" t="e">
        <v>#N/A</v>
      </c>
    </row>
    <row r="91" spans="1:7" x14ac:dyDescent="0.25">
      <c r="A91" t="s">
        <v>42</v>
      </c>
      <c r="B91">
        <v>5.6</v>
      </c>
      <c r="C91">
        <v>2.8</v>
      </c>
      <c r="D91">
        <v>5.04</v>
      </c>
      <c r="E91">
        <v>2.52</v>
      </c>
      <c r="F91">
        <v>0.20834999999999998</v>
      </c>
      <c r="G91">
        <v>0.1</v>
      </c>
    </row>
    <row r="94" spans="1:7" x14ac:dyDescent="0.25">
      <c r="A94" t="s">
        <v>119</v>
      </c>
    </row>
  </sheetData>
  <mergeCells count="17">
    <mergeCell ref="V3:W3"/>
    <mergeCell ref="X3:Y3"/>
    <mergeCell ref="A37:A38"/>
    <mergeCell ref="B37:C37"/>
    <mergeCell ref="Q16:Q17"/>
    <mergeCell ref="R16:S16"/>
    <mergeCell ref="T16:U16"/>
    <mergeCell ref="X17:AA17"/>
    <mergeCell ref="X34:AA34"/>
    <mergeCell ref="F38:G38"/>
    <mergeCell ref="H38:I38"/>
    <mergeCell ref="N64:N68"/>
    <mergeCell ref="O64:O68"/>
    <mergeCell ref="O69:O70"/>
    <mergeCell ref="C1:F1"/>
    <mergeCell ref="G1:J1"/>
    <mergeCell ref="C31:J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A.M. Bennett</dc:creator>
  <cp:keywords/>
  <dc:description/>
  <cp:lastModifiedBy>Alice Bennett</cp:lastModifiedBy>
  <cp:revision/>
  <dcterms:created xsi:type="dcterms:W3CDTF">2023-09-14T14:29:58Z</dcterms:created>
  <dcterms:modified xsi:type="dcterms:W3CDTF">2024-12-04T12:11:09Z</dcterms:modified>
  <cp:category/>
  <cp:contentStatus/>
</cp:coreProperties>
</file>