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2472\OneDrive - University of Cambridge\PhD\yr3\Paper 2\Code_and_Data\Data\"/>
    </mc:Choice>
  </mc:AlternateContent>
  <xr:revisionPtr revIDLastSave="0" documentId="13_ncr:1_{AE7F2EEA-119A-4B0B-A27E-AA839B0A3EF9}" xr6:coauthVersionLast="47" xr6:coauthVersionMax="47" xr10:uidLastSave="{00000000-0000-0000-0000-000000000000}"/>
  <bookViews>
    <workbookView xWindow="-120" yWindow="-120" windowWidth="29040" windowHeight="15720" activeTab="1" xr2:uid="{A8257421-4B5B-455C-8664-76ABB86EAAD2}"/>
  </bookViews>
  <sheets>
    <sheet name="Contents" sheetId="39" r:id="rId1"/>
    <sheet name="Uses" sheetId="40" r:id="rId2"/>
    <sheet name="Electrification Options" sheetId="41" r:id="rId3"/>
    <sheet name="EnergySources" sheetId="37" r:id="rId4"/>
    <sheet name="Locations" sheetId="36" r:id="rId5"/>
    <sheet name="ProductionMethods" sheetId="4" r:id="rId6"/>
    <sheet name="Sheet1" sheetId="42" r:id="rId7"/>
    <sheet name="TransmissionInfra" sheetId="10" r:id="rId8"/>
    <sheet name="Storage" sheetId="38" r:id="rId9"/>
    <sheet name="Conversion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40" l="1"/>
  <c r="F12" i="40"/>
  <c r="G16" i="40"/>
  <c r="G17" i="40"/>
  <c r="G18" i="40"/>
  <c r="G19" i="40"/>
  <c r="G20" i="40"/>
  <c r="G21" i="40"/>
  <c r="G15" i="40"/>
  <c r="J3" i="40"/>
  <c r="K3" i="40"/>
  <c r="L3" i="40"/>
  <c r="D2" i="40"/>
  <c r="D3" i="40"/>
  <c r="O3" i="40" s="1"/>
  <c r="L2" i="40"/>
  <c r="J2" i="40"/>
  <c r="G13" i="40"/>
  <c r="G14" i="40"/>
  <c r="F18" i="40"/>
  <c r="N3" i="40" l="1"/>
  <c r="J8" i="40"/>
  <c r="D4" i="40"/>
  <c r="D5" i="40"/>
  <c r="D6" i="40"/>
  <c r="D7" i="40"/>
  <c r="L6" i="40"/>
  <c r="K2" i="40"/>
  <c r="C5" i="38"/>
  <c r="C4" i="38"/>
  <c r="C3" i="38"/>
  <c r="C2" i="38"/>
  <c r="H38" i="42"/>
  <c r="G38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G34" i="42"/>
  <c r="G36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31" i="42"/>
  <c r="G32" i="42"/>
  <c r="G33" i="42"/>
  <c r="G18" i="42"/>
  <c r="H14" i="42" a="1"/>
  <c r="H14" i="42" s="1"/>
  <c r="G14" i="42" a="1"/>
  <c r="G14" i="42" s="1"/>
  <c r="H7" i="42"/>
  <c r="H8" i="42"/>
  <c r="H9" i="42"/>
  <c r="H10" i="42"/>
  <c r="H11" i="42"/>
  <c r="H12" i="42"/>
  <c r="H13" i="42"/>
  <c r="H6" i="42"/>
  <c r="G7" i="42"/>
  <c r="G8" i="42"/>
  <c r="G9" i="42"/>
  <c r="G10" i="42"/>
  <c r="G11" i="42"/>
  <c r="G12" i="42"/>
  <c r="G13" i="42"/>
  <c r="G6" i="42"/>
  <c r="D7" i="42"/>
  <c r="E7" i="42"/>
  <c r="D8" i="42"/>
  <c r="E8" i="42"/>
  <c r="D9" i="42"/>
  <c r="E9" i="42"/>
  <c r="D10" i="42"/>
  <c r="E10" i="42"/>
  <c r="D11" i="42"/>
  <c r="E11" i="42"/>
  <c r="D12" i="42"/>
  <c r="E12" i="42"/>
  <c r="D13" i="42"/>
  <c r="E13" i="42"/>
  <c r="E6" i="42"/>
  <c r="D6" i="42"/>
  <c r="H36" i="42" l="1"/>
  <c r="E17" i="11" l="1"/>
  <c r="E16" i="11"/>
  <c r="E15" i="11"/>
  <c r="E14" i="11"/>
  <c r="O4" i="40"/>
  <c r="O5" i="40"/>
  <c r="O6" i="40"/>
  <c r="O7" i="40"/>
  <c r="O8" i="40"/>
  <c r="O9" i="40"/>
  <c r="O10" i="40"/>
  <c r="O12" i="40"/>
  <c r="O13" i="40"/>
  <c r="O14" i="40"/>
  <c r="O15" i="40"/>
  <c r="O16" i="40"/>
  <c r="O17" i="40"/>
  <c r="O18" i="40"/>
  <c r="O21" i="40"/>
  <c r="O2" i="40"/>
  <c r="E5" i="11"/>
  <c r="E4" i="10"/>
  <c r="E5" i="10"/>
  <c r="E8" i="11"/>
  <c r="E7" i="11"/>
  <c r="E9" i="11"/>
  <c r="E10" i="11"/>
  <c r="E13" i="11"/>
  <c r="E6" i="11"/>
  <c r="E11" i="11"/>
  <c r="E12" i="11"/>
  <c r="E4" i="11"/>
  <c r="R3" i="11"/>
  <c r="E3" i="11"/>
  <c r="E2" i="11"/>
  <c r="E7" i="10"/>
  <c r="E6" i="10"/>
  <c r="E3" i="10"/>
  <c r="E2" i="10"/>
  <c r="E3" i="4"/>
  <c r="E2" i="4"/>
  <c r="N21" i="40" l="1"/>
  <c r="L18" i="40"/>
  <c r="N18" i="40" s="1"/>
  <c r="D20" i="40"/>
  <c r="D19" i="40"/>
  <c r="N17" i="40"/>
  <c r="N16" i="40"/>
  <c r="N15" i="40"/>
  <c r="N14" i="40"/>
  <c r="N13" i="40"/>
  <c r="N12" i="40"/>
  <c r="N10" i="40"/>
  <c r="N9" i="40"/>
  <c r="N8" i="40"/>
  <c r="N7" i="40"/>
  <c r="N6" i="40"/>
  <c r="N5" i="40"/>
  <c r="N4" i="40"/>
  <c r="N2" i="40"/>
  <c r="N11" i="40" l="1"/>
  <c r="O11" i="40"/>
  <c r="N19" i="40"/>
  <c r="O19" i="40"/>
  <c r="N20" i="40"/>
  <c r="O20" i="4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<sst xmlns="http://schemas.openxmlformats.org/spreadsheetml/2006/main" count="1204" uniqueCount="506">
  <si>
    <t>ID</t>
  </si>
  <si>
    <t>Lat</t>
  </si>
  <si>
    <t>Long</t>
  </si>
  <si>
    <t>Electrolysis</t>
  </si>
  <si>
    <t>ATR</t>
  </si>
  <si>
    <t>Country</t>
  </si>
  <si>
    <t>Port</t>
  </si>
  <si>
    <t>y</t>
  </si>
  <si>
    <t>UK</t>
  </si>
  <si>
    <t>Australia</t>
  </si>
  <si>
    <t>Egypt</t>
  </si>
  <si>
    <t>Spain</t>
  </si>
  <si>
    <t>France</t>
  </si>
  <si>
    <t>Page</t>
  </si>
  <si>
    <t>Process Name</t>
  </si>
  <si>
    <t>Capacity Factor</t>
  </si>
  <si>
    <t>Yield</t>
  </si>
  <si>
    <t>2.1.</t>
  </si>
  <si>
    <t>CPL</t>
  </si>
  <si>
    <t>2.6.</t>
  </si>
  <si>
    <t>AHL</t>
  </si>
  <si>
    <t>Centralised PEM</t>
  </si>
  <si>
    <t>E</t>
  </si>
  <si>
    <t>Offshore</t>
  </si>
  <si>
    <t>Onshore</t>
  </si>
  <si>
    <t>Centralised - PEM</t>
  </si>
  <si>
    <t>NG</t>
  </si>
  <si>
    <t>Centralised NG</t>
  </si>
  <si>
    <t>ATR - High CCS</t>
  </si>
  <si>
    <t>Transmission Vector</t>
  </si>
  <si>
    <t>Location</t>
  </si>
  <si>
    <t>Vectors</t>
  </si>
  <si>
    <t>Shetland, ZE2 9PP</t>
  </si>
  <si>
    <t>Vector</t>
  </si>
  <si>
    <t>CH2</t>
  </si>
  <si>
    <t>LH2</t>
  </si>
  <si>
    <t>NH3</t>
  </si>
  <si>
    <t>Pipeline</t>
  </si>
  <si>
    <t>Cable</t>
  </si>
  <si>
    <t>Tanker</t>
  </si>
  <si>
    <t>Production</t>
  </si>
  <si>
    <t>Energy</t>
  </si>
  <si>
    <t>Uses</t>
  </si>
  <si>
    <t>Use</t>
  </si>
  <si>
    <t>Emissions_OM</t>
  </si>
  <si>
    <t>Emissions_OMkm</t>
  </si>
  <si>
    <t>Capacity</t>
  </si>
  <si>
    <t>Lifetime</t>
  </si>
  <si>
    <t>H2emissions</t>
  </si>
  <si>
    <t>H2emissionskm</t>
  </si>
  <si>
    <t>TransType</t>
  </si>
  <si>
    <t>Emissions_embodied</t>
  </si>
  <si>
    <t>Emissions_embodiedkm</t>
  </si>
  <si>
    <t>Emissions_process</t>
  </si>
  <si>
    <t>Emissions_processkm</t>
  </si>
  <si>
    <t>Energy_embodied</t>
  </si>
  <si>
    <t>Energy_embodiedkm</t>
  </si>
  <si>
    <t>Energy_process</t>
  </si>
  <si>
    <t>Energy_processkm</t>
  </si>
  <si>
    <t>Energy_OM</t>
  </si>
  <si>
    <t>Energy_OMkm</t>
  </si>
  <si>
    <t>Unit</t>
  </si>
  <si>
    <t>Speed</t>
  </si>
  <si>
    <t>E_type</t>
  </si>
  <si>
    <t>_yield</t>
  </si>
  <si>
    <t>Scale</t>
  </si>
  <si>
    <t>InputVector</t>
  </si>
  <si>
    <t>OutputVector</t>
  </si>
  <si>
    <t>Location Type</t>
  </si>
  <si>
    <t>Global</t>
  </si>
  <si>
    <t>km/hr</t>
  </si>
  <si>
    <t>Base emissions (kgCO2e/unit)</t>
  </si>
  <si>
    <t>Energy Inputs (kWh)</t>
  </si>
  <si>
    <t>Methanol</t>
  </si>
  <si>
    <t>kg</t>
  </si>
  <si>
    <t>_loss_km</t>
  </si>
  <si>
    <t>CH3OH</t>
  </si>
  <si>
    <t>Distance_Lim</t>
  </si>
  <si>
    <t>Availability</t>
  </si>
  <si>
    <t>Input (kgH2e/unit)</t>
  </si>
  <si>
    <t>kWh</t>
  </si>
  <si>
    <t>tkm</t>
  </si>
  <si>
    <t>Both</t>
  </si>
  <si>
    <t>E,NG</t>
  </si>
  <si>
    <t>Direct Emissions</t>
  </si>
  <si>
    <t>Utilisation Factor</t>
  </si>
  <si>
    <t>Base_E: 46.2;62.8</t>
  </si>
  <si>
    <t>0.8;1</t>
  </si>
  <si>
    <t>New H2 Pipeline (Offshore)</t>
  </si>
  <si>
    <t>New H2 Pipeline (Onshore)</t>
  </si>
  <si>
    <t>Existing NG Pipeline (Offshore)</t>
  </si>
  <si>
    <t>Cable (Onshore)</t>
  </si>
  <si>
    <t>Cable (Offshore)</t>
  </si>
  <si>
    <t>ShipFuel</t>
  </si>
  <si>
    <t>LH2 Truck</t>
  </si>
  <si>
    <t>CH2 Truck</t>
  </si>
  <si>
    <t>NH3 Truck</t>
  </si>
  <si>
    <t>CH3COH Truck</t>
  </si>
  <si>
    <t>Mauritania</t>
  </si>
  <si>
    <t>Corpus Christi, Texas</t>
  </si>
  <si>
    <t>Brazil</t>
  </si>
  <si>
    <t>Kazakhstan</t>
  </si>
  <si>
    <t>USA</t>
  </si>
  <si>
    <t>LH2, NH3, CH2, CH3OH</t>
  </si>
  <si>
    <t>Merville-Franceville-Plage</t>
  </si>
  <si>
    <t>Black Sea</t>
  </si>
  <si>
    <t>Port of Pecem</t>
  </si>
  <si>
    <t>Port Bonython</t>
  </si>
  <si>
    <t>Port Autonome de Nouakchott</t>
  </si>
  <si>
    <t>Grain LNG Port</t>
  </si>
  <si>
    <t>Teesside Port</t>
  </si>
  <si>
    <t>Russia</t>
  </si>
  <si>
    <t>Truck</t>
  </si>
  <si>
    <t>Primary</t>
  </si>
  <si>
    <t>Secondary</t>
  </si>
  <si>
    <t>Storage Vector</t>
  </si>
  <si>
    <t>Other</t>
  </si>
  <si>
    <t>Offshore Wind (UK)</t>
  </si>
  <si>
    <t>Solar (USA)</t>
  </si>
  <si>
    <t>NG (USA)</t>
  </si>
  <si>
    <t>Solar (SP)</t>
  </si>
  <si>
    <t>Wind (SP)</t>
  </si>
  <si>
    <t>Wind (USA)</t>
  </si>
  <si>
    <t>Wind (BR)</t>
  </si>
  <si>
    <t>6.4;19.5</t>
  </si>
  <si>
    <t>6.6;13.4</t>
  </si>
  <si>
    <t>95;228</t>
  </si>
  <si>
    <t>228;229</t>
  </si>
  <si>
    <t>3.5;30</t>
  </si>
  <si>
    <t>19;57</t>
  </si>
  <si>
    <t>Undefined</t>
  </si>
  <si>
    <t>12.1;20.5</t>
  </si>
  <si>
    <t>479;811</t>
  </si>
  <si>
    <t>625;626</t>
  </si>
  <si>
    <t>3;10</t>
  </si>
  <si>
    <t>10.9;23.1</t>
  </si>
  <si>
    <t>233;370</t>
  </si>
  <si>
    <t>370;371</t>
  </si>
  <si>
    <t>0;0.000001</t>
  </si>
  <si>
    <t>6;10</t>
  </si>
  <si>
    <t>11.9;24</t>
  </si>
  <si>
    <t>79.5;174</t>
  </si>
  <si>
    <t>174;175</t>
  </si>
  <si>
    <t>18;42.9</t>
  </si>
  <si>
    <t>11.7;41.6</t>
  </si>
  <si>
    <t>261;464</t>
  </si>
  <si>
    <t>464;465</t>
  </si>
  <si>
    <t>35;36</t>
  </si>
  <si>
    <t>90;105</t>
  </si>
  <si>
    <t>96;97</t>
  </si>
  <si>
    <t>400;500</t>
  </si>
  <si>
    <t>170;190</t>
  </si>
  <si>
    <t>250;270</t>
  </si>
  <si>
    <t>230;250</t>
  </si>
  <si>
    <t>All details in SI</t>
  </si>
  <si>
    <t>574;575</t>
  </si>
  <si>
    <t>332;574</t>
  </si>
  <si>
    <t>20;50</t>
  </si>
  <si>
    <t>821;822</t>
  </si>
  <si>
    <t>400;821</t>
  </si>
  <si>
    <t>Project Name</t>
  </si>
  <si>
    <t>Western Green Energy Hub</t>
  </si>
  <si>
    <t>Megaton Moon</t>
  </si>
  <si>
    <t>ACME SCZONE Green Ammonia Plant</t>
  </si>
  <si>
    <t>Hyrasia one</t>
  </si>
  <si>
    <t>Lacq Hydrgoen</t>
  </si>
  <si>
    <t>Teesside</t>
  </si>
  <si>
    <t>Green Energy Park</t>
  </si>
  <si>
    <t>Hydrogen City Phase 2</t>
  </si>
  <si>
    <t>PR_AU</t>
  </si>
  <si>
    <t>PR_MA</t>
  </si>
  <si>
    <t>PR_EG</t>
  </si>
  <si>
    <t>PR_KA</t>
  </si>
  <si>
    <t>PR_SP</t>
  </si>
  <si>
    <t>PR_UK</t>
  </si>
  <si>
    <t>PR_BR</t>
  </si>
  <si>
    <t>PR_USA</t>
  </si>
  <si>
    <t>Ataka</t>
  </si>
  <si>
    <t>PO_US</t>
  </si>
  <si>
    <t>PO_FR</t>
  </si>
  <si>
    <t>PO_EG</t>
  </si>
  <si>
    <t>PO_RU</t>
  </si>
  <si>
    <t>PO_BR</t>
  </si>
  <si>
    <t>PO_AU</t>
  </si>
  <si>
    <t>PO_MA</t>
  </si>
  <si>
    <t>PO_UKG</t>
  </si>
  <si>
    <t>PO_UKT</t>
  </si>
  <si>
    <t>Location of Offshore NG installation North Sea</t>
  </si>
  <si>
    <t>NG (UK), LNG</t>
  </si>
  <si>
    <t>Open Land near Teesside, proxy for direct connection to onshore wind farm</t>
  </si>
  <si>
    <t>Planned offshore wind project near hydrogen production.</t>
  </si>
  <si>
    <t>Open Land near hydrogen project</t>
  </si>
  <si>
    <t>Location of planned hydrogen project</t>
  </si>
  <si>
    <t>Wind (KA), Solar (KA), NG (KA)</t>
  </si>
  <si>
    <t>O Parqu Solar Nova Olinda</t>
  </si>
  <si>
    <t>Solar (BR), NG (BR)</t>
  </si>
  <si>
    <t>Lagoa dos Ventos</t>
  </si>
  <si>
    <t>Location of planned projects</t>
  </si>
  <si>
    <t>Solar (AU), Wind (AU)</t>
  </si>
  <si>
    <t>Co-located with hydrogen project</t>
  </si>
  <si>
    <t>Permian Basin Texas</t>
  </si>
  <si>
    <t>Solar Farm Location</t>
  </si>
  <si>
    <t>Wind Farm Location</t>
  </si>
  <si>
    <t>Solar (EG), Wind (EG), NG (EG)</t>
  </si>
  <si>
    <t>Solar (MA), Wind (MA), NG (MA)</t>
  </si>
  <si>
    <t>Use_UK</t>
  </si>
  <si>
    <t>EnergySources</t>
  </si>
  <si>
    <t>EnergyTypes</t>
  </si>
  <si>
    <t>OffshoreWind(UK)</t>
  </si>
  <si>
    <t>OnshoreWind(UK)</t>
  </si>
  <si>
    <t>Solar(UK)</t>
  </si>
  <si>
    <t>Grid2030(UK)</t>
  </si>
  <si>
    <t>GridCurrent(UK)</t>
  </si>
  <si>
    <t>NG(UK)</t>
  </si>
  <si>
    <t>LNG(UK)</t>
  </si>
  <si>
    <t>Wind(AU)</t>
  </si>
  <si>
    <t>Solar(AU)</t>
  </si>
  <si>
    <t>Grid2030(AU)</t>
  </si>
  <si>
    <t>GridCurrent(AU)</t>
  </si>
  <si>
    <t>NG(AU)</t>
  </si>
  <si>
    <t>Wind(USA)</t>
  </si>
  <si>
    <t>Solar(USA)</t>
  </si>
  <si>
    <t>Grid2030(USA)</t>
  </si>
  <si>
    <t>GridCurrent(USA)</t>
  </si>
  <si>
    <t>NG(USA)</t>
  </si>
  <si>
    <t>Wind(SP)</t>
  </si>
  <si>
    <t>Solar(SP)</t>
  </si>
  <si>
    <t>Grid2030(SP)</t>
  </si>
  <si>
    <t>GridCurrent(SP)</t>
  </si>
  <si>
    <t>Wind(EG)</t>
  </si>
  <si>
    <t>Solar(EG)</t>
  </si>
  <si>
    <t>Grid2030(EG)</t>
  </si>
  <si>
    <t>GridCurrent(EG)</t>
  </si>
  <si>
    <t>NG(EG)</t>
  </si>
  <si>
    <t>Wind(MA)</t>
  </si>
  <si>
    <t>Solar(MA)</t>
  </si>
  <si>
    <t>Grid2030(MA)</t>
  </si>
  <si>
    <t>GridCurrent(MA)</t>
  </si>
  <si>
    <t>NG(MA)</t>
  </si>
  <si>
    <t>Wind(BR)</t>
  </si>
  <si>
    <t>Solar(BR)</t>
  </si>
  <si>
    <t>Grid2030(BR)</t>
  </si>
  <si>
    <t>GridCurrent(BR)</t>
  </si>
  <si>
    <t>NG(BR)</t>
  </si>
  <si>
    <t>GlobalE</t>
  </si>
  <si>
    <t>GlobalNG</t>
  </si>
  <si>
    <t>Deisel</t>
  </si>
  <si>
    <t>Wind(KA)</t>
  </si>
  <si>
    <t>Solar(KA)</t>
  </si>
  <si>
    <t>Grid2030(KA)</t>
  </si>
  <si>
    <t>GridCurrent(KA)</t>
  </si>
  <si>
    <t>NG(KA)</t>
  </si>
  <si>
    <t>EN_OFWUK</t>
  </si>
  <si>
    <t>EN_NGUK</t>
  </si>
  <si>
    <t>EN_WUK</t>
  </si>
  <si>
    <t>EN_WSP</t>
  </si>
  <si>
    <t>EN_SSP</t>
  </si>
  <si>
    <t>EN_AKA</t>
  </si>
  <si>
    <t>EN_SNGBR</t>
  </si>
  <si>
    <t>EN_WBR</t>
  </si>
  <si>
    <t>EN_SWAU</t>
  </si>
  <si>
    <t>EN_AMA</t>
  </si>
  <si>
    <t>EN_NGUS</t>
  </si>
  <si>
    <t>EN_SUS</t>
  </si>
  <si>
    <t>EN_WUS</t>
  </si>
  <si>
    <t>EN_AEG</t>
  </si>
  <si>
    <t>Demand (Unit/Year)</t>
  </si>
  <si>
    <t>Hydrogenation</t>
  </si>
  <si>
    <t>pkm</t>
  </si>
  <si>
    <t>vkm</t>
  </si>
  <si>
    <t>Cars</t>
  </si>
  <si>
    <t>Fertiliser-AmmoniumNitrate</t>
  </si>
  <si>
    <t>Shipping-Ammonia</t>
  </si>
  <si>
    <t>JetAviation</t>
  </si>
  <si>
    <t>IronandSteel</t>
  </si>
  <si>
    <t>Longdurationgridbalancing</t>
  </si>
  <si>
    <t>Non-RoadMobileMachinery</t>
  </si>
  <si>
    <t>Biogasupgrading</t>
  </si>
  <si>
    <t>Longdistancetrucksandcoaches</t>
  </si>
  <si>
    <t>HighTemperatureHeat</t>
  </si>
  <si>
    <t>CommercialHeating</t>
  </si>
  <si>
    <t>RemoteandRuralTrains</t>
  </si>
  <si>
    <t>LightTrucks</t>
  </si>
  <si>
    <t>MetroTrainsandBuses</t>
  </si>
  <si>
    <t>2and3wheelers</t>
  </si>
  <si>
    <t>Mid/LowTemperatureHeat</t>
  </si>
  <si>
    <t>Domesticheating</t>
  </si>
  <si>
    <t>Min Hydrogen (kg/yr)</t>
  </si>
  <si>
    <t>Emissions_embodiedday</t>
  </si>
  <si>
    <t>Emissions_processday</t>
  </si>
  <si>
    <t>Emissions_Omday</t>
  </si>
  <si>
    <t>Energy_embodiedday</t>
  </si>
  <si>
    <t>Energy_processday</t>
  </si>
  <si>
    <t>Energy_Omday</t>
  </si>
  <si>
    <t>_loss_day</t>
  </si>
  <si>
    <t>5;15</t>
  </si>
  <si>
    <t>Electrification Emissions (kgCO2e/unit)</t>
  </si>
  <si>
    <t>0.12;0.43</t>
  </si>
  <si>
    <t>0.38;0.56</t>
  </si>
  <si>
    <t>0.19;0.23</t>
  </si>
  <si>
    <t>0.09;0.46</t>
  </si>
  <si>
    <t>0.22;0.32</t>
  </si>
  <si>
    <t>0.06;0.51</t>
  </si>
  <si>
    <t>0.15;0.33</t>
  </si>
  <si>
    <t>0.05;0.45</t>
  </si>
  <si>
    <t>0.24;0.33</t>
  </si>
  <si>
    <t>0.08;0.57</t>
  </si>
  <si>
    <t>0.32;0.34</t>
  </si>
  <si>
    <t>0.4;0.56</t>
  </si>
  <si>
    <t>0.3;0.32</t>
  </si>
  <si>
    <t>0.41;0.52</t>
  </si>
  <si>
    <t>0.2;0.31</t>
  </si>
  <si>
    <t>0.03;0.55</t>
  </si>
  <si>
    <t>0.28;0.33</t>
  </si>
  <si>
    <t>Emissions (gCO2e/kWh)</t>
  </si>
  <si>
    <t>Base Value (gCO2e/kWh)</t>
  </si>
  <si>
    <t>Max Supply (ktH2/yr)</t>
  </si>
  <si>
    <t>20;40</t>
  </si>
  <si>
    <t>0.95;1</t>
  </si>
  <si>
    <t>Embodied: 223000000; 290000000</t>
  </si>
  <si>
    <t>0.001;0.04</t>
  </si>
  <si>
    <t>0.94;0.99</t>
  </si>
  <si>
    <t>5760000;17285000</t>
  </si>
  <si>
    <t>0.45;0.7</t>
  </si>
  <si>
    <t>Embodied: 21298000;63894000</t>
  </si>
  <si>
    <t>Base_E: 4.66;5.14,Base_NG:41.7;49</t>
  </si>
  <si>
    <t>Existing NG Pipeline (Onshore)</t>
  </si>
  <si>
    <t>0.5;1</t>
  </si>
  <si>
    <t>40;70</t>
  </si>
  <si>
    <t>Base_E:0.000024</t>
  </si>
  <si>
    <t>960000;1920000</t>
  </si>
  <si>
    <t>0.99;1</t>
  </si>
  <si>
    <t>Base_E:0.000142;0.000426</t>
  </si>
  <si>
    <t>Base_E:0;0.95</t>
  </si>
  <si>
    <t>0;0.01</t>
  </si>
  <si>
    <t>1100000;2170000</t>
  </si>
  <si>
    <t>1060000;2120000</t>
  </si>
  <si>
    <t>Embodied:12000000;24000000</t>
  </si>
  <si>
    <t>Embodied:12100000;24200000</t>
  </si>
  <si>
    <t>0.985;0.995</t>
  </si>
  <si>
    <t>132000;264000</t>
  </si>
  <si>
    <t>117000;234000</t>
  </si>
  <si>
    <t>Tanker LH2</t>
  </si>
  <si>
    <t>Tanker NH3</t>
  </si>
  <si>
    <t>Tanker CH3OH</t>
  </si>
  <si>
    <t>20;37</t>
  </si>
  <si>
    <t>20;39</t>
  </si>
  <si>
    <t>0.9844;0.9948</t>
  </si>
  <si>
    <t>16300000;32500000</t>
  </si>
  <si>
    <t>ShipFuel:0.0000288912;0.0000375</t>
  </si>
  <si>
    <t>0.0052;0.0156</t>
  </si>
  <si>
    <t>ShipFuel:0.000074;0.00024</t>
  </si>
  <si>
    <t>ShipFuel:0.000024;0.00033</t>
  </si>
  <si>
    <t>0.998;1</t>
  </si>
  <si>
    <t>0.995;0.998</t>
  </si>
  <si>
    <t>Base_E:0.16;0.224</t>
  </si>
  <si>
    <t>Base_E:0.38;0.8</t>
  </si>
  <si>
    <t>30;100</t>
  </si>
  <si>
    <t>5;12</t>
  </si>
  <si>
    <t>16669;33338</t>
  </si>
  <si>
    <t>Deisel:0.0002;0.00027</t>
  </si>
  <si>
    <t>Deisel:0.0016;0.00216</t>
  </si>
  <si>
    <t>Deisel:0.0011;0.0015</t>
  </si>
  <si>
    <t>CH2 Storage</t>
  </si>
  <si>
    <t>LH2 Storage</t>
  </si>
  <si>
    <t>NH3 Storage</t>
  </si>
  <si>
    <t>CH3OH Storage</t>
  </si>
  <si>
    <t>25;75</t>
  </si>
  <si>
    <t>Base_E:0;1</t>
  </si>
  <si>
    <t>0;0.0001</t>
  </si>
  <si>
    <t>Base_E:1.8;2.4</t>
  </si>
  <si>
    <t>0.9968;1</t>
  </si>
  <si>
    <t>0.0006;0.0067</t>
  </si>
  <si>
    <t>0;0.005</t>
  </si>
  <si>
    <t>Base_E:0;0.096</t>
  </si>
  <si>
    <t>Base_E:0.45;1.8</t>
  </si>
  <si>
    <t>0.9996;1</t>
  </si>
  <si>
    <t>0.6;1</t>
  </si>
  <si>
    <t>0.0014;0.0165</t>
  </si>
  <si>
    <t>0.984;0.999</t>
  </si>
  <si>
    <t>5950000;11900000</t>
  </si>
  <si>
    <t>670000000;1340000000</t>
  </si>
  <si>
    <t>30;70</t>
  </si>
  <si>
    <t>19000000;38000000</t>
  </si>
  <si>
    <t>H2 input</t>
  </si>
  <si>
    <t>0.59;0.65</t>
  </si>
  <si>
    <t>0.9;0.99</t>
  </si>
  <si>
    <t>0.66;0.69</t>
  </si>
  <si>
    <t>0.67;0.70</t>
  </si>
  <si>
    <t>814000000;1630000000</t>
  </si>
  <si>
    <t>0.88;0.98</t>
  </si>
  <si>
    <t>0.58;0.64</t>
  </si>
  <si>
    <t>738000000;1480000000</t>
  </si>
  <si>
    <t>0.72;0.99</t>
  </si>
  <si>
    <t>0.79;0.99</t>
  </si>
  <si>
    <t>CH2-LH2</t>
  </si>
  <si>
    <t>CH2-NH3</t>
  </si>
  <si>
    <t>CH2-CH3OH</t>
  </si>
  <si>
    <t>LH2-CH2</t>
  </si>
  <si>
    <t>LH2-NH3</t>
  </si>
  <si>
    <t>LH2-CH3OH</t>
  </si>
  <si>
    <t>CH3OH-LH2</t>
  </si>
  <si>
    <t>CH3OH-NH3</t>
  </si>
  <si>
    <t>CH3OH-CH2</t>
  </si>
  <si>
    <t>NH3-LH2</t>
  </si>
  <si>
    <t>NH3-CH2</t>
  </si>
  <si>
    <t>NH3-CH3OH</t>
  </si>
  <si>
    <t>Embodied: 55440;844200</t>
  </si>
  <si>
    <t>Embodied:55440;844200</t>
  </si>
  <si>
    <t>Embodied:30000000;45000000</t>
  </si>
  <si>
    <t>Embodied:520000000;780000000</t>
  </si>
  <si>
    <t>Embodied:122232000;180000000</t>
  </si>
  <si>
    <t>Embodied:960000000;1420000000</t>
  </si>
  <si>
    <t>Embodied:1250000000;1870000000</t>
  </si>
  <si>
    <t>Embodied:182000000;273000000</t>
  </si>
  <si>
    <t>Embodied:14400000;21600000</t>
  </si>
  <si>
    <t>Embodied:3744000;5616000</t>
  </si>
  <si>
    <t>Embodied:3200000;480000</t>
  </si>
  <si>
    <t>Embodied:334000000;500000000</t>
  </si>
  <si>
    <t>Embodied:106500;160000</t>
  </si>
  <si>
    <t>Total Demand (kgH2/yr)</t>
  </si>
  <si>
    <t>0;0.00006</t>
  </si>
  <si>
    <t>0.0000056;0.000028</t>
  </si>
  <si>
    <t>0;0.000006</t>
  </si>
  <si>
    <t>0;0.0000025</t>
  </si>
  <si>
    <t>0;0.00003</t>
  </si>
  <si>
    <t>695000;1390000</t>
  </si>
  <si>
    <t>Ladder Rung</t>
  </si>
  <si>
    <t>A</t>
  </si>
  <si>
    <t>C</t>
  </si>
  <si>
    <t>B</t>
  </si>
  <si>
    <t>D</t>
  </si>
  <si>
    <t>F</t>
  </si>
  <si>
    <t>G</t>
  </si>
  <si>
    <t>Base_E:5.1;6.12</t>
  </si>
  <si>
    <t>Base_E:1.6;1.92</t>
  </si>
  <si>
    <t>Base_E:0;0</t>
  </si>
  <si>
    <t>Name</t>
  </si>
  <si>
    <t>Emissions Reduction per kWh</t>
  </si>
  <si>
    <t>UK Grid</t>
  </si>
  <si>
    <t>Displacing Gas Power Generation</t>
  </si>
  <si>
    <t>country</t>
  </si>
  <si>
    <t>CH2-CH2</t>
  </si>
  <si>
    <t>Embodied:0</t>
  </si>
  <si>
    <t>Base_E:0</t>
  </si>
  <si>
    <t>LH2-LH2</t>
  </si>
  <si>
    <t>CH3OH-CH3OH</t>
  </si>
  <si>
    <t>NH3-NH3</t>
  </si>
  <si>
    <t>20;45</t>
  </si>
  <si>
    <t>Embodied Emissions Calcs - PEM</t>
  </si>
  <si>
    <t>Centralised (t/MW)</t>
  </si>
  <si>
    <t>Mass (t)</t>
  </si>
  <si>
    <t>Near Future (t)</t>
  </si>
  <si>
    <t>Low Alloy Steel</t>
  </si>
  <si>
    <t>Stainless Steel</t>
  </si>
  <si>
    <t>Aluminium</t>
  </si>
  <si>
    <t>Copper</t>
  </si>
  <si>
    <t>Polyethylene</t>
  </si>
  <si>
    <t>Electronic material (power, control)</t>
  </si>
  <si>
    <t>Process material (adsorbent, lubricant)</t>
  </si>
  <si>
    <t>Concrete</t>
  </si>
  <si>
    <t>Tonnes/GW</t>
  </si>
  <si>
    <t>tonnes</t>
  </si>
  <si>
    <t>Tetrafluoroethylene {GLO}| market for | APOS, S</t>
  </si>
  <si>
    <t>Platinum {GLO}| market for | APOS, U</t>
  </si>
  <si>
    <t>Carbon black {GLO}| market for | APOS, S</t>
  </si>
  <si>
    <t>water, deionised {Europe without Switzerland}| market for water, deionised | APOS, U</t>
  </si>
  <si>
    <t>Methanol {GLO}| market for | APOS, S</t>
  </si>
  <si>
    <t>Rhodium {GLO}| market for | APOS, U</t>
  </si>
  <si>
    <t>Carbon fibre reinforced plastic, injection moulded {GLO}| market for carbon fibre reinforced plastic, injection moulded | APOS, S</t>
  </si>
  <si>
    <t>Titanium, primary {GLO}| market for | APOS, U</t>
  </si>
  <si>
    <t>Gold {GLO}| market for | APOS, U</t>
  </si>
  <si>
    <t>Steel, chromium steel 18/8 {GLO}| market for | APOS, U</t>
  </si>
  <si>
    <t>Tantalum, powder, capacitor-grade {GLO}| market for, 2030 | APOS, U*</t>
  </si>
  <si>
    <t>Glass fibre reinforced plastic, polyamide, injection moulded {GLO}| market for | APOS, S</t>
  </si>
  <si>
    <t>Aluminium alloy, metal matrix composite {GLO}| market for | APOS, S</t>
  </si>
  <si>
    <t>56106183;107945462</t>
  </si>
  <si>
    <t>7.33;8.8</t>
  </si>
  <si>
    <t>Base_NG:6.7;8.04</t>
  </si>
  <si>
    <t>Base_E:5.1;6.12,Base_NG:6.7;8.04</t>
  </si>
  <si>
    <t>Base_E:12;14.4,Base_NG:6.7;8.04</t>
  </si>
  <si>
    <t>Onshore Wind (UK),Solar (UK)</t>
  </si>
  <si>
    <t>Base_E:3.86;4.612</t>
  </si>
  <si>
    <t>Base_E:14.3;17.5</t>
  </si>
  <si>
    <t>Displacing Coal Power Generation</t>
  </si>
  <si>
    <t>Electric Vehicle</t>
  </si>
  <si>
    <t>Heat Pump (CoP 3)</t>
  </si>
  <si>
    <t>Heat Pump (CoP 4)</t>
  </si>
  <si>
    <t>60;100</t>
  </si>
  <si>
    <t>22;60</t>
  </si>
  <si>
    <t>22;69</t>
  </si>
  <si>
    <t>43;58</t>
  </si>
  <si>
    <t>47;58</t>
  </si>
  <si>
    <t>45;56</t>
  </si>
  <si>
    <t>29;58</t>
  </si>
  <si>
    <t>44;76</t>
  </si>
  <si>
    <t>Base_E:12;15</t>
  </si>
  <si>
    <t>Base_E:1.4;2.0</t>
  </si>
  <si>
    <t>Base_E:0.2;3.62</t>
  </si>
  <si>
    <t>94500;309960</t>
  </si>
  <si>
    <t>94500;309961</t>
  </si>
  <si>
    <t>94500;309962</t>
  </si>
  <si>
    <t>94500;309963</t>
  </si>
  <si>
    <t>Electrification Emissions 2 (kgCO2e/unit)</t>
  </si>
  <si>
    <t>Fertiliser-Phosphate</t>
  </si>
  <si>
    <t>Fertiliser - Ammonium Nitrate,Hydrogenation,Methanol,Shipping - Ammonia,Jet Aviation,Iron and Steel,Long duration grid balancing,Non-Road Mobile Machinery,Biogas upgrading,Long distance trucks and coaches,High Temperature Heat,Commercial Heating,Remote and Rural Trains,Light Trucks,Metro Trains and Buses,2 and 3 wheelers,Cars,Mid/Low Temperature Heat,Domestic heating,Fertiliser-Phosphate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</si>
</sst>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1F"/>
      <name val="Calibri"/>
      <family val="2"/>
      <scheme val="minor"/>
    </font>
    <font>
      <sz val="14"/>
      <color rgb="FF231F1F"/>
      <name val="Segoe UI"/>
      <family val="2"/>
    </font>
    <font>
      <sz val="11"/>
      <color theme="4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92D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164" fontId="4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/>
    <xf numFmtId="0" fontId="7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1" fontId="0" fillId="0" borderId="0" xfId="0" applyNumberFormat="1"/>
    <xf numFmtId="0" fontId="1" fillId="0" borderId="1" xfId="0" applyFon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165" fontId="0" fillId="0" borderId="1" xfId="0" applyNumberFormat="1" applyBorder="1"/>
    <xf numFmtId="0" fontId="2" fillId="0" borderId="0" xfId="1" applyBorder="1"/>
    <xf numFmtId="2" fontId="0" fillId="0" borderId="0" xfId="0" applyNumberFormat="1"/>
    <xf numFmtId="0" fontId="0" fillId="0" borderId="1" xfId="0" applyBorder="1" applyAlignment="1">
      <alignment horizontal="right"/>
    </xf>
    <xf numFmtId="0" fontId="0" fillId="2" borderId="1" xfId="0" applyFill="1" applyBorder="1"/>
    <xf numFmtId="11" fontId="0" fillId="0" borderId="1" xfId="0" applyNumberFormat="1" applyBorder="1"/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0" xfId="0" applyAlignment="1">
      <alignment horizontal="left"/>
    </xf>
    <xf numFmtId="0" fontId="7" fillId="0" borderId="4" xfId="0" applyFont="1" applyBorder="1"/>
    <xf numFmtId="0" fontId="0" fillId="3" borderId="2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5" borderId="1" xfId="0" applyFont="1" applyFill="1" applyBorder="1"/>
    <xf numFmtId="0" fontId="8" fillId="2" borderId="3" xfId="0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horizontal="left"/>
    </xf>
    <xf numFmtId="0" fontId="0" fillId="0" borderId="1" xfId="0" quotePrefix="1" applyBorder="1"/>
    <xf numFmtId="0" fontId="0" fillId="0" borderId="4" xfId="0" applyBorder="1"/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2" fontId="0" fillId="0" borderId="0" xfId="0" applyNumberFormat="1" applyAlignment="1">
      <alignment horizontal="right"/>
    </xf>
    <xf numFmtId="0" fontId="1" fillId="0" borderId="1" xfId="1" applyFont="1" applyBorder="1"/>
    <xf numFmtId="11" fontId="1" fillId="0" borderId="1" xfId="0" applyNumberFormat="1" applyFont="1" applyBorder="1"/>
    <xf numFmtId="11" fontId="6" fillId="0" borderId="1" xfId="0" applyNumberFormat="1" applyFont="1" applyBorder="1"/>
    <xf numFmtId="2" fontId="6" fillId="0" borderId="1" xfId="0" applyNumberFormat="1" applyFont="1" applyBorder="1"/>
    <xf numFmtId="165" fontId="6" fillId="0" borderId="1" xfId="0" applyNumberFormat="1" applyFont="1" applyBorder="1"/>
    <xf numFmtId="164" fontId="6" fillId="0" borderId="1" xfId="0" applyNumberFormat="1" applyFont="1" applyBorder="1"/>
    <xf numFmtId="0" fontId="0" fillId="0" borderId="0" xfId="0" quotePrefix="1"/>
    <xf numFmtId="166" fontId="0" fillId="0" borderId="0" xfId="0" applyNumberFormat="1"/>
    <xf numFmtId="0" fontId="6" fillId="0" borderId="0" xfId="0" applyFont="1"/>
    <xf numFmtId="0" fontId="0" fillId="0" borderId="2" xfId="0" applyBorder="1"/>
    <xf numFmtId="0" fontId="9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11" fontId="10" fillId="7" borderId="1" xfId="0" applyNumberFormat="1" applyFont="1" applyFill="1" applyBorder="1" applyAlignment="1">
      <alignment vertical="center" wrapText="1"/>
    </xf>
    <xf numFmtId="11" fontId="10" fillId="7" borderId="11" xfId="0" applyNumberFormat="1" applyFont="1" applyFill="1" applyBorder="1" applyAlignment="1">
      <alignment vertical="center" wrapText="1"/>
    </xf>
    <xf numFmtId="11" fontId="11" fillId="7" borderId="0" xfId="0" applyNumberFormat="1" applyFont="1" applyFill="1" applyAlignment="1">
      <alignment vertical="center" wrapText="1"/>
    </xf>
    <xf numFmtId="166" fontId="6" fillId="0" borderId="0" xfId="0" applyNumberFormat="1" applyFont="1"/>
    <xf numFmtId="164" fontId="1" fillId="0" borderId="1" xfId="0" applyNumberFormat="1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166" fontId="1" fillId="0" borderId="0" xfId="0" applyNumberFormat="1" applyFont="1"/>
    <xf numFmtId="2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horizontal="right"/>
    </xf>
    <xf numFmtId="0" fontId="12" fillId="0" borderId="1" xfId="0" applyFont="1" applyBorder="1"/>
    <xf numFmtId="2" fontId="12" fillId="0" borderId="1" xfId="0" applyNumberFormat="1" applyFont="1" applyBorder="1"/>
    <xf numFmtId="165" fontId="12" fillId="0" borderId="1" xfId="0" applyNumberFormat="1" applyFont="1" applyBorder="1"/>
    <xf numFmtId="164" fontId="12" fillId="0" borderId="1" xfId="0" applyNumberFormat="1" applyFont="1" applyBorder="1"/>
    <xf numFmtId="11" fontId="12" fillId="0" borderId="1" xfId="0" applyNumberFormat="1" applyFont="1" applyBorder="1"/>
    <xf numFmtId="166" fontId="12" fillId="0" borderId="0" xfId="0" applyNumberFormat="1" applyFont="1"/>
    <xf numFmtId="11" fontId="12" fillId="0" borderId="0" xfId="0" applyNumberFormat="1" applyFont="1"/>
    <xf numFmtId="0" fontId="12" fillId="0" borderId="0" xfId="0" applyFont="1"/>
    <xf numFmtId="0" fontId="13" fillId="0" borderId="1" xfId="0" applyFont="1" applyBorder="1"/>
    <xf numFmtId="11" fontId="13" fillId="0" borderId="1" xfId="0" applyNumberFormat="1" applyFont="1" applyBorder="1"/>
    <xf numFmtId="2" fontId="13" fillId="0" borderId="1" xfId="0" applyNumberFormat="1" applyFont="1" applyBorder="1"/>
    <xf numFmtId="165" fontId="13" fillId="0" borderId="1" xfId="0" applyNumberFormat="1" applyFont="1" applyBorder="1"/>
    <xf numFmtId="164" fontId="13" fillId="0" borderId="1" xfId="0" applyNumberFormat="1" applyFont="1" applyBorder="1"/>
    <xf numFmtId="166" fontId="13" fillId="0" borderId="0" xfId="0" applyNumberFormat="1" applyFont="1"/>
    <xf numFmtId="11" fontId="13" fillId="0" borderId="0" xfId="0" applyNumberFormat="1" applyFont="1"/>
    <xf numFmtId="0" fontId="13" fillId="0" borderId="0" xfId="0" applyFont="1"/>
    <xf numFmtId="0" fontId="14" fillId="0" borderId="1" xfId="0" applyFont="1" applyBorder="1"/>
    <xf numFmtId="166" fontId="14" fillId="0" borderId="0" xfId="0" applyNumberFormat="1" applyFont="1"/>
    <xf numFmtId="11" fontId="14" fillId="0" borderId="0" xfId="0" applyNumberFormat="1" applyFont="1"/>
    <xf numFmtId="0" fontId="14" fillId="0" borderId="0" xfId="0" applyFont="1"/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016F-3ECA-4230-AFB9-1E5CE37A0259}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C51-F469-4BF3-8C5B-47875172CCB6}">
  <dimension ref="A1:AF43"/>
  <sheetViews>
    <sheetView tabSelected="1" zoomScale="70" zoomScaleNormal="70" workbookViewId="0">
      <selection activeCell="G23" sqref="G23"/>
    </sheetView>
  </sheetViews>
  <sheetFormatPr defaultRowHeight="15" x14ac:dyDescent="0.25"/>
  <cols>
    <col min="2" max="2" width="33" bestFit="1" customWidth="1"/>
    <col min="3" max="3" width="33" customWidth="1"/>
    <col min="4" max="4" width="20" bestFit="1" customWidth="1"/>
    <col min="5" max="5" width="14.5703125" bestFit="1" customWidth="1"/>
    <col min="6" max="7" width="14" customWidth="1"/>
    <col min="8" max="8" width="6.42578125" customWidth="1"/>
    <col min="10" max="10" width="8.85546875" bestFit="1" customWidth="1"/>
    <col min="12" max="12" width="18.5703125" customWidth="1"/>
    <col min="13" max="13" width="11" customWidth="1"/>
    <col min="14" max="14" width="15.28515625" customWidth="1"/>
    <col min="15" max="16" width="20.5703125" bestFit="1" customWidth="1"/>
  </cols>
  <sheetData>
    <row r="1" spans="1:32" ht="45" x14ac:dyDescent="0.25">
      <c r="A1" s="34" t="s">
        <v>13</v>
      </c>
      <c r="B1" s="34" t="s">
        <v>0</v>
      </c>
      <c r="C1" s="34" t="s">
        <v>427</v>
      </c>
      <c r="D1" s="34" t="s">
        <v>266</v>
      </c>
      <c r="E1" s="34" t="s">
        <v>71</v>
      </c>
      <c r="F1" s="34" t="s">
        <v>296</v>
      </c>
      <c r="G1" s="34" t="s">
        <v>503</v>
      </c>
      <c r="H1" s="34" t="s">
        <v>61</v>
      </c>
      <c r="I1" s="35" t="s">
        <v>33</v>
      </c>
      <c r="J1" s="35" t="s">
        <v>84</v>
      </c>
      <c r="K1" s="35" t="s">
        <v>72</v>
      </c>
      <c r="L1" s="35" t="s">
        <v>79</v>
      </c>
      <c r="M1" s="36" t="s">
        <v>287</v>
      </c>
      <c r="N1" s="36" t="s">
        <v>420</v>
      </c>
    </row>
    <row r="2" spans="1:32" x14ac:dyDescent="0.25">
      <c r="A2" s="5"/>
      <c r="B2" s="5" t="s">
        <v>271</v>
      </c>
      <c r="C2" s="5" t="s">
        <v>428</v>
      </c>
      <c r="D2" s="23">
        <f>862000000/0.35</f>
        <v>2462857142.8571429</v>
      </c>
      <c r="E2" s="17">
        <v>1.5</v>
      </c>
      <c r="F2" s="5">
        <v>0</v>
      </c>
      <c r="G2" s="5">
        <v>0</v>
      </c>
      <c r="H2" s="16" t="s">
        <v>74</v>
      </c>
      <c r="I2" s="16" t="s">
        <v>36</v>
      </c>
      <c r="J2" s="18">
        <f>0.08*0.015+1.4*0.2778*0.18+0.75</f>
        <v>0.82120559999999998</v>
      </c>
      <c r="K2" s="16">
        <f>0.08+1.4*0.2778</f>
        <v>0.46892</v>
      </c>
      <c r="L2" s="13">
        <f>0.203*3/17</f>
        <v>3.5823529411764705E-2</v>
      </c>
      <c r="M2" s="46">
        <v>0</v>
      </c>
      <c r="N2" s="23">
        <f t="shared" ref="N2:N21" si="0">L2*D2</f>
        <v>88228235.294117644</v>
      </c>
      <c r="O2" s="53">
        <f>E2*D2</f>
        <v>3694285714.2857141</v>
      </c>
      <c r="P2" s="14">
        <v>17911764.705882352</v>
      </c>
      <c r="Q2">
        <v>0</v>
      </c>
    </row>
    <row r="3" spans="1:32" x14ac:dyDescent="0.25">
      <c r="A3" s="5"/>
      <c r="B3" s="5" t="s">
        <v>504</v>
      </c>
      <c r="C3" s="5" t="s">
        <v>428</v>
      </c>
      <c r="D3" s="23">
        <f>110000000/0.46</f>
        <v>239130434.78260869</v>
      </c>
      <c r="E3" s="17">
        <v>1.48</v>
      </c>
      <c r="F3" s="5">
        <v>0</v>
      </c>
      <c r="G3" s="5">
        <v>0</v>
      </c>
      <c r="H3" s="16" t="s">
        <v>74</v>
      </c>
      <c r="I3" s="16" t="s">
        <v>36</v>
      </c>
      <c r="J3" s="18">
        <f>0.05*0.015+0.4*0.2778*0.18+0.85*0.84</f>
        <v>0.73475159999999995</v>
      </c>
      <c r="K3" s="16">
        <f>0.05+0.4*0.2778</f>
        <v>0.16111999999999999</v>
      </c>
      <c r="L3" s="13">
        <f>0.22*3/17</f>
        <v>3.8823529411764708E-2</v>
      </c>
      <c r="M3" s="46">
        <v>0</v>
      </c>
      <c r="N3" s="23">
        <f t="shared" ref="N3" si="1">L3*D3</f>
        <v>9283887.4680306911</v>
      </c>
      <c r="O3" s="53">
        <f>E3*D3</f>
        <v>353913043.47826087</v>
      </c>
      <c r="P3" s="14">
        <v>17911764.705882352</v>
      </c>
      <c r="Q3">
        <v>0</v>
      </c>
    </row>
    <row r="4" spans="1:32" x14ac:dyDescent="0.25">
      <c r="A4" s="5"/>
      <c r="B4" s="15" t="s">
        <v>267</v>
      </c>
      <c r="C4" s="15" t="s">
        <v>428</v>
      </c>
      <c r="D4" s="47">
        <f>195000000</f>
        <v>195000000</v>
      </c>
      <c r="E4" s="72">
        <v>12.5</v>
      </c>
      <c r="F4" s="5">
        <v>0</v>
      </c>
      <c r="G4" s="5">
        <v>0</v>
      </c>
      <c r="H4" s="69" t="s">
        <v>74</v>
      </c>
      <c r="I4" s="69" t="s">
        <v>34</v>
      </c>
      <c r="J4" s="70">
        <v>0</v>
      </c>
      <c r="K4" s="69">
        <v>0</v>
      </c>
      <c r="L4" s="68">
        <v>1</v>
      </c>
      <c r="M4" s="46">
        <v>0</v>
      </c>
      <c r="N4" s="47">
        <f t="shared" si="0"/>
        <v>195000000</v>
      </c>
      <c r="O4" s="71">
        <f t="shared" ref="O4:O21" si="2">E4*D4</f>
        <v>2437500000</v>
      </c>
      <c r="P4" s="14">
        <v>241000000</v>
      </c>
      <c r="Q4">
        <v>0</v>
      </c>
    </row>
    <row r="5" spans="1:32" x14ac:dyDescent="0.25">
      <c r="A5" s="5"/>
      <c r="B5" s="15" t="s">
        <v>73</v>
      </c>
      <c r="C5" s="15" t="s">
        <v>428</v>
      </c>
      <c r="D5" s="47">
        <f>32000000</f>
        <v>32000000</v>
      </c>
      <c r="E5" s="73">
        <v>0.70899999999999996</v>
      </c>
      <c r="F5" s="5">
        <v>0</v>
      </c>
      <c r="G5" s="5">
        <v>0</v>
      </c>
      <c r="H5" s="69" t="s">
        <v>74</v>
      </c>
      <c r="I5" s="69" t="s">
        <v>76</v>
      </c>
      <c r="J5" s="70">
        <v>0</v>
      </c>
      <c r="K5" s="69">
        <v>0</v>
      </c>
      <c r="L5" s="68">
        <v>0.20799999999999999</v>
      </c>
      <c r="M5" s="46">
        <v>0</v>
      </c>
      <c r="N5" s="47">
        <f t="shared" si="0"/>
        <v>6656000</v>
      </c>
      <c r="O5" s="71">
        <f t="shared" si="2"/>
        <v>22688000</v>
      </c>
      <c r="P5" s="14">
        <v>110240000</v>
      </c>
      <c r="Q5">
        <v>0</v>
      </c>
      <c r="U5" s="48">
        <v>630000000000</v>
      </c>
      <c r="V5" s="51">
        <v>1.2999999999999999E-2</v>
      </c>
      <c r="W5" s="49">
        <v>0</v>
      </c>
      <c r="X5" s="49">
        <v>0</v>
      </c>
      <c r="Y5" s="49" t="s">
        <v>80</v>
      </c>
      <c r="Z5" s="49" t="s">
        <v>36</v>
      </c>
      <c r="AA5" s="50">
        <v>0</v>
      </c>
      <c r="AB5" s="49">
        <v>0</v>
      </c>
      <c r="AC5" s="51">
        <v>1.5E-3</v>
      </c>
      <c r="AD5" s="48">
        <v>47250000</v>
      </c>
      <c r="AE5" s="48">
        <v>945000000</v>
      </c>
      <c r="AF5" s="67">
        <v>8190000000</v>
      </c>
    </row>
    <row r="6" spans="1:32" x14ac:dyDescent="0.25">
      <c r="A6" s="15"/>
      <c r="B6" s="15" t="s">
        <v>272</v>
      </c>
      <c r="C6" s="15" t="s">
        <v>430</v>
      </c>
      <c r="D6" s="47">
        <f>2790000000</f>
        <v>2790000000</v>
      </c>
      <c r="E6" s="68">
        <v>3.25</v>
      </c>
      <c r="F6" s="5">
        <v>0</v>
      </c>
      <c r="G6" s="5">
        <v>0</v>
      </c>
      <c r="H6" s="69" t="s">
        <v>74</v>
      </c>
      <c r="I6" s="69" t="s">
        <v>36</v>
      </c>
      <c r="J6" s="70">
        <v>0</v>
      </c>
      <c r="K6" s="69">
        <v>0</v>
      </c>
      <c r="L6" s="68">
        <f>2.07*3/17</f>
        <v>0.36529411764705877</v>
      </c>
      <c r="M6" s="46">
        <v>0</v>
      </c>
      <c r="N6" s="47">
        <f t="shared" si="0"/>
        <v>1019170588.235294</v>
      </c>
      <c r="O6" s="71">
        <f t="shared" si="2"/>
        <v>9067500000</v>
      </c>
      <c r="P6" s="14">
        <v>1019170588.235294</v>
      </c>
      <c r="Q6">
        <v>50958529.411764704</v>
      </c>
    </row>
    <row r="7" spans="1:32" x14ac:dyDescent="0.25">
      <c r="A7" s="15"/>
      <c r="B7" s="15" t="s">
        <v>273</v>
      </c>
      <c r="C7" s="15" t="s">
        <v>430</v>
      </c>
      <c r="D7" s="47">
        <f>11100000000</f>
        <v>11100000000</v>
      </c>
      <c r="E7" s="68">
        <v>3.18</v>
      </c>
      <c r="F7" s="16">
        <v>0</v>
      </c>
      <c r="G7" s="16">
        <v>0</v>
      </c>
      <c r="H7" s="69" t="s">
        <v>74</v>
      </c>
      <c r="I7" s="69" t="s">
        <v>35</v>
      </c>
      <c r="J7" s="70">
        <v>0</v>
      </c>
      <c r="K7" s="69">
        <v>0</v>
      </c>
      <c r="L7" s="68">
        <v>0.36</v>
      </c>
      <c r="M7" s="46">
        <v>0</v>
      </c>
      <c r="N7" s="47">
        <f t="shared" si="0"/>
        <v>3996000000</v>
      </c>
      <c r="O7" s="71">
        <f t="shared" si="2"/>
        <v>35298000000</v>
      </c>
      <c r="P7" s="14">
        <v>3240000000</v>
      </c>
      <c r="Q7">
        <v>10389600000</v>
      </c>
    </row>
    <row r="8" spans="1:32" x14ac:dyDescent="0.25">
      <c r="A8" s="5"/>
      <c r="B8" s="15" t="s">
        <v>274</v>
      </c>
      <c r="C8" s="15" t="s">
        <v>430</v>
      </c>
      <c r="D8" s="47">
        <v>11200000000</v>
      </c>
      <c r="E8" s="69">
        <v>1.83</v>
      </c>
      <c r="F8" s="16">
        <v>6.7000000000000004E-2</v>
      </c>
      <c r="G8" s="5">
        <v>0.72</v>
      </c>
      <c r="H8" s="69" t="s">
        <v>74</v>
      </c>
      <c r="I8" s="69" t="s">
        <v>34</v>
      </c>
      <c r="J8" s="70">
        <f>0.45*0.162</f>
        <v>7.2900000000000006E-2</v>
      </c>
      <c r="K8" s="69">
        <v>0.45</v>
      </c>
      <c r="L8" s="68">
        <v>6.1600000000000002E-2</v>
      </c>
      <c r="M8" s="46">
        <v>0</v>
      </c>
      <c r="N8" s="47">
        <f t="shared" si="0"/>
        <v>689920000</v>
      </c>
      <c r="O8" s="71">
        <f t="shared" si="2"/>
        <v>20496000000</v>
      </c>
      <c r="P8" s="14">
        <v>464100000</v>
      </c>
      <c r="Q8">
        <v>12000000</v>
      </c>
    </row>
    <row r="9" spans="1:32" x14ac:dyDescent="0.25">
      <c r="A9" s="5"/>
      <c r="B9" s="15" t="s">
        <v>275</v>
      </c>
      <c r="C9" s="15" t="s">
        <v>430</v>
      </c>
      <c r="D9" s="47">
        <v>10000000000</v>
      </c>
      <c r="E9" s="15">
        <v>0.4</v>
      </c>
      <c r="F9" s="69">
        <v>1.9E-2</v>
      </c>
      <c r="G9" s="69">
        <v>0.2</v>
      </c>
      <c r="H9" s="69" t="s">
        <v>80</v>
      </c>
      <c r="I9" s="69" t="s">
        <v>34</v>
      </c>
      <c r="J9" s="70">
        <v>0</v>
      </c>
      <c r="K9" s="69">
        <v>0</v>
      </c>
      <c r="L9" s="68">
        <v>0.05</v>
      </c>
      <c r="M9" s="46">
        <v>0</v>
      </c>
      <c r="N9" s="47">
        <f t="shared" si="0"/>
        <v>500000000</v>
      </c>
      <c r="O9" s="67">
        <f t="shared" si="2"/>
        <v>4000000000</v>
      </c>
      <c r="P9" s="14">
        <v>500000000</v>
      </c>
      <c r="Q9">
        <v>630000</v>
      </c>
    </row>
    <row r="10" spans="1:32" s="93" customFormat="1" x14ac:dyDescent="0.25">
      <c r="A10" s="90"/>
      <c r="B10" s="15" t="s">
        <v>276</v>
      </c>
      <c r="C10" s="15" t="s">
        <v>429</v>
      </c>
      <c r="D10" s="47">
        <v>40800000000</v>
      </c>
      <c r="E10" s="15">
        <v>0.24</v>
      </c>
      <c r="F10" s="16">
        <v>1.9E-2</v>
      </c>
      <c r="G10" s="5">
        <v>0.16200000000000001</v>
      </c>
      <c r="H10" s="15" t="s">
        <v>80</v>
      </c>
      <c r="I10" s="69" t="s">
        <v>34</v>
      </c>
      <c r="J10" s="70">
        <v>0</v>
      </c>
      <c r="K10" s="69">
        <v>0</v>
      </c>
      <c r="L10" s="68">
        <v>0.03</v>
      </c>
      <c r="M10" s="46">
        <v>0</v>
      </c>
      <c r="N10" s="47">
        <f t="shared" si="0"/>
        <v>1224000000</v>
      </c>
      <c r="O10" s="91">
        <f t="shared" si="2"/>
        <v>9792000000</v>
      </c>
      <c r="P10" s="92">
        <v>2002500</v>
      </c>
      <c r="Q10" s="93">
        <v>29200</v>
      </c>
    </row>
    <row r="11" spans="1:32" x14ac:dyDescent="0.25">
      <c r="A11" s="5"/>
      <c r="B11" s="15" t="s">
        <v>277</v>
      </c>
      <c r="C11" s="15" t="s">
        <v>429</v>
      </c>
      <c r="D11" s="47">
        <v>6800000</v>
      </c>
      <c r="E11" s="15">
        <v>0.32</v>
      </c>
      <c r="F11" s="16">
        <v>0</v>
      </c>
      <c r="G11" s="16">
        <v>0</v>
      </c>
      <c r="H11" s="69" t="s">
        <v>80</v>
      </c>
      <c r="I11" s="69" t="s">
        <v>34</v>
      </c>
      <c r="J11" s="70">
        <v>1.2999999999999999E-2</v>
      </c>
      <c r="K11" s="69">
        <v>0</v>
      </c>
      <c r="L11" s="68">
        <v>7.0000000000000007E-2</v>
      </c>
      <c r="M11" s="46">
        <v>0</v>
      </c>
      <c r="N11" s="47">
        <f t="shared" si="0"/>
        <v>476000.00000000006</v>
      </c>
      <c r="O11" s="67">
        <f t="shared" si="2"/>
        <v>2176000</v>
      </c>
      <c r="P11" s="14">
        <v>29166666.666666664</v>
      </c>
      <c r="Q11">
        <v>0</v>
      </c>
    </row>
    <row r="12" spans="1:32" s="89" customFormat="1" x14ac:dyDescent="0.25">
      <c r="A12" s="82"/>
      <c r="B12" s="82" t="s">
        <v>278</v>
      </c>
      <c r="C12" s="82" t="s">
        <v>431</v>
      </c>
      <c r="D12" s="83">
        <v>175000000000</v>
      </c>
      <c r="E12" s="82">
        <v>0.11899999999999999</v>
      </c>
      <c r="F12" s="16">
        <f>0.009375</f>
        <v>9.3749999999999997E-3</v>
      </c>
      <c r="G12" s="5">
        <f>0.1</f>
        <v>0.1</v>
      </c>
      <c r="H12" s="84" t="s">
        <v>81</v>
      </c>
      <c r="I12" s="84" t="s">
        <v>34</v>
      </c>
      <c r="J12" s="85">
        <v>0</v>
      </c>
      <c r="K12" s="84">
        <v>0</v>
      </c>
      <c r="L12" s="86">
        <v>6.875E-3</v>
      </c>
      <c r="M12" s="46">
        <v>0</v>
      </c>
      <c r="N12" s="83">
        <f t="shared" si="0"/>
        <v>1203125000</v>
      </c>
      <c r="O12" s="87">
        <f t="shared" si="2"/>
        <v>20825000000</v>
      </c>
      <c r="P12" s="88">
        <v>1203125000</v>
      </c>
      <c r="Q12" s="89">
        <v>29200</v>
      </c>
    </row>
    <row r="13" spans="1:32" s="81" customFormat="1" x14ac:dyDescent="0.25">
      <c r="A13" s="74"/>
      <c r="B13" s="74" t="s">
        <v>279</v>
      </c>
      <c r="C13" s="74" t="s">
        <v>431</v>
      </c>
      <c r="D13" s="78">
        <v>20000000000</v>
      </c>
      <c r="E13" s="74">
        <v>0.20599999999999999</v>
      </c>
      <c r="F13" s="75">
        <v>0</v>
      </c>
      <c r="G13" s="75">
        <f t="shared" ref="G13:G14" si="3">F13*0.183/0.015</f>
        <v>0</v>
      </c>
      <c r="H13" s="75" t="s">
        <v>80</v>
      </c>
      <c r="I13" s="75" t="s">
        <v>34</v>
      </c>
      <c r="J13" s="76">
        <v>0</v>
      </c>
      <c r="K13" s="75">
        <v>0</v>
      </c>
      <c r="L13" s="77">
        <v>0.03</v>
      </c>
      <c r="M13" s="46">
        <v>0</v>
      </c>
      <c r="N13" s="78">
        <f t="shared" si="0"/>
        <v>600000000</v>
      </c>
      <c r="O13" s="79">
        <f t="shared" si="2"/>
        <v>4120000000</v>
      </c>
      <c r="P13" s="80">
        <v>600000000</v>
      </c>
      <c r="Q13" s="81">
        <v>2700000</v>
      </c>
    </row>
    <row r="14" spans="1:32" s="81" customFormat="1" x14ac:dyDescent="0.25">
      <c r="A14" s="74"/>
      <c r="B14" s="74" t="s">
        <v>280</v>
      </c>
      <c r="C14" s="74" t="s">
        <v>22</v>
      </c>
      <c r="D14" s="78">
        <v>87000000000</v>
      </c>
      <c r="E14" s="74">
        <v>0.20599999999999999</v>
      </c>
      <c r="F14" s="74">
        <v>5.0000000000000001E-3</v>
      </c>
      <c r="G14" s="75">
        <f t="shared" si="3"/>
        <v>6.1000000000000006E-2</v>
      </c>
      <c r="H14" s="75" t="s">
        <v>80</v>
      </c>
      <c r="I14" s="75" t="s">
        <v>34</v>
      </c>
      <c r="J14" s="76">
        <v>0</v>
      </c>
      <c r="K14" s="75">
        <v>0</v>
      </c>
      <c r="L14" s="77">
        <v>0.03</v>
      </c>
      <c r="M14" s="46">
        <v>0</v>
      </c>
      <c r="N14" s="78">
        <f t="shared" si="0"/>
        <v>2610000000</v>
      </c>
      <c r="O14" s="79">
        <f t="shared" si="2"/>
        <v>17922000000</v>
      </c>
      <c r="P14" s="80">
        <v>2610000000</v>
      </c>
      <c r="Q14" s="81">
        <v>648</v>
      </c>
    </row>
    <row r="15" spans="1:32" s="89" customFormat="1" x14ac:dyDescent="0.25">
      <c r="A15" s="82"/>
      <c r="B15" s="82" t="s">
        <v>281</v>
      </c>
      <c r="C15" s="82" t="s">
        <v>432</v>
      </c>
      <c r="D15" s="83">
        <v>20000000000</v>
      </c>
      <c r="E15" s="82">
        <v>0.106</v>
      </c>
      <c r="F15" s="84">
        <v>2.3999999999999998E-3</v>
      </c>
      <c r="G15" s="84">
        <f>F15*0.164/0.015</f>
        <v>2.6239999999999999E-2</v>
      </c>
      <c r="H15" s="84" t="s">
        <v>268</v>
      </c>
      <c r="I15" s="84" t="s">
        <v>34</v>
      </c>
      <c r="J15" s="85">
        <v>0</v>
      </c>
      <c r="K15" s="84">
        <v>0</v>
      </c>
      <c r="L15" s="86">
        <v>7.7999999999999996E-3</v>
      </c>
      <c r="M15" s="46">
        <v>0</v>
      </c>
      <c r="N15" s="83">
        <f t="shared" si="0"/>
        <v>156000000</v>
      </c>
      <c r="O15" s="87">
        <f t="shared" si="2"/>
        <v>2120000000</v>
      </c>
      <c r="P15" s="88">
        <v>156000000</v>
      </c>
      <c r="Q15" s="89">
        <v>327000</v>
      </c>
    </row>
    <row r="16" spans="1:32" s="89" customFormat="1" x14ac:dyDescent="0.25">
      <c r="A16" s="82"/>
      <c r="B16" s="82" t="s">
        <v>282</v>
      </c>
      <c r="C16" s="82" t="s">
        <v>432</v>
      </c>
      <c r="D16" s="83">
        <v>57800000000</v>
      </c>
      <c r="E16" s="82">
        <v>0.4</v>
      </c>
      <c r="F16" s="83">
        <v>8.5000000000000006E-3</v>
      </c>
      <c r="G16" s="84">
        <f t="shared" ref="G16:G21" si="4">F16*0.164/0.015</f>
        <v>9.293333333333334E-2</v>
      </c>
      <c r="H16" s="84" t="s">
        <v>269</v>
      </c>
      <c r="I16" s="84" t="s">
        <v>34</v>
      </c>
      <c r="J16" s="85">
        <v>0</v>
      </c>
      <c r="K16" s="84">
        <v>0</v>
      </c>
      <c r="L16" s="86">
        <v>2.8000000000000001E-2</v>
      </c>
      <c r="M16" s="46">
        <v>0</v>
      </c>
      <c r="N16" s="83">
        <f t="shared" si="0"/>
        <v>1618400000</v>
      </c>
      <c r="O16" s="87">
        <f t="shared" si="2"/>
        <v>23120000000</v>
      </c>
      <c r="P16" s="88">
        <v>1618400000</v>
      </c>
      <c r="Q16" s="89">
        <v>29200</v>
      </c>
    </row>
    <row r="17" spans="1:17" s="89" customFormat="1" x14ac:dyDescent="0.25">
      <c r="A17" s="82"/>
      <c r="B17" s="82" t="s">
        <v>283</v>
      </c>
      <c r="C17" s="82" t="s">
        <v>433</v>
      </c>
      <c r="D17" s="83">
        <v>24000000000</v>
      </c>
      <c r="E17" s="82">
        <v>0.108</v>
      </c>
      <c r="F17" s="84">
        <v>2.3999999999999998E-3</v>
      </c>
      <c r="G17" s="84">
        <f t="shared" si="4"/>
        <v>2.6239999999999999E-2</v>
      </c>
      <c r="H17" s="84" t="s">
        <v>268</v>
      </c>
      <c r="I17" s="84" t="s">
        <v>34</v>
      </c>
      <c r="J17" s="85">
        <v>0</v>
      </c>
      <c r="K17" s="84">
        <v>0</v>
      </c>
      <c r="L17" s="86">
        <v>7.7999999999999996E-3</v>
      </c>
      <c r="M17" s="46">
        <v>0</v>
      </c>
      <c r="N17" s="83">
        <f t="shared" si="0"/>
        <v>187200000</v>
      </c>
      <c r="O17" s="87">
        <f t="shared" si="2"/>
        <v>2592000000</v>
      </c>
      <c r="P17" s="88">
        <v>187200000</v>
      </c>
      <c r="Q17" s="89">
        <v>29200</v>
      </c>
    </row>
    <row r="18" spans="1:17" s="89" customFormat="1" x14ac:dyDescent="0.25">
      <c r="A18" s="82"/>
      <c r="B18" s="82" t="s">
        <v>284</v>
      </c>
      <c r="C18" s="82" t="s">
        <v>433</v>
      </c>
      <c r="D18" s="83">
        <v>2900000000</v>
      </c>
      <c r="E18" s="82">
        <v>0.11</v>
      </c>
      <c r="F18" s="82">
        <f>0.0042</f>
        <v>4.1999999999999997E-3</v>
      </c>
      <c r="G18" s="84">
        <f t="shared" si="4"/>
        <v>4.5919999999999996E-2</v>
      </c>
      <c r="H18" s="84" t="s">
        <v>269</v>
      </c>
      <c r="I18" s="84" t="s">
        <v>34</v>
      </c>
      <c r="J18" s="85">
        <v>0</v>
      </c>
      <c r="K18" s="84">
        <v>0</v>
      </c>
      <c r="L18" s="86">
        <f>0.0136</f>
        <v>1.3599999999999999E-2</v>
      </c>
      <c r="M18" s="46">
        <v>0</v>
      </c>
      <c r="N18" s="83">
        <f t="shared" si="0"/>
        <v>39440000</v>
      </c>
      <c r="O18" s="87">
        <f t="shared" si="2"/>
        <v>319000000</v>
      </c>
      <c r="P18" s="88">
        <v>39440000</v>
      </c>
      <c r="Q18" s="89">
        <v>29200</v>
      </c>
    </row>
    <row r="19" spans="1:17" s="89" customFormat="1" x14ac:dyDescent="0.25">
      <c r="A19" s="82"/>
      <c r="B19" s="82" t="s">
        <v>270</v>
      </c>
      <c r="C19" s="82" t="s">
        <v>433</v>
      </c>
      <c r="D19" s="83">
        <f>251000000000*1.6</f>
        <v>401600000000</v>
      </c>
      <c r="E19" s="82">
        <v>0.16900000000000001</v>
      </c>
      <c r="F19" s="83">
        <v>2.8500000000000001E-3</v>
      </c>
      <c r="G19" s="84">
        <f t="shared" si="4"/>
        <v>3.1160000000000004E-2</v>
      </c>
      <c r="H19" s="84" t="s">
        <v>269</v>
      </c>
      <c r="I19" s="84" t="s">
        <v>34</v>
      </c>
      <c r="J19" s="85">
        <v>0</v>
      </c>
      <c r="K19" s="84">
        <v>0</v>
      </c>
      <c r="L19" s="86">
        <v>0.01</v>
      </c>
      <c r="M19" s="46">
        <v>0</v>
      </c>
      <c r="N19" s="83">
        <f t="shared" si="0"/>
        <v>4016000000</v>
      </c>
      <c r="O19" s="87">
        <f t="shared" si="2"/>
        <v>67870400000.000008</v>
      </c>
      <c r="P19" s="88">
        <v>4016000000</v>
      </c>
      <c r="Q19" s="89">
        <v>29200</v>
      </c>
    </row>
    <row r="20" spans="1:17" s="81" customFormat="1" x14ac:dyDescent="0.25">
      <c r="A20" s="74"/>
      <c r="B20" s="74" t="s">
        <v>285</v>
      </c>
      <c r="C20" s="74" t="s">
        <v>433</v>
      </c>
      <c r="D20" s="74">
        <f>49000000000</f>
        <v>49000000000</v>
      </c>
      <c r="E20" s="74">
        <v>0.20599999999999999</v>
      </c>
      <c r="F20" s="74">
        <v>5.0000000000000001E-3</v>
      </c>
      <c r="G20" s="84">
        <f t="shared" si="4"/>
        <v>5.4666666666666676E-2</v>
      </c>
      <c r="H20" s="75" t="s">
        <v>80</v>
      </c>
      <c r="I20" s="75" t="s">
        <v>34</v>
      </c>
      <c r="J20" s="76">
        <v>0</v>
      </c>
      <c r="K20" s="75">
        <v>0</v>
      </c>
      <c r="L20" s="77">
        <v>0.03</v>
      </c>
      <c r="M20" s="46">
        <v>0</v>
      </c>
      <c r="N20" s="78">
        <f t="shared" si="0"/>
        <v>1470000000</v>
      </c>
      <c r="O20" s="79">
        <f t="shared" si="2"/>
        <v>10094000000</v>
      </c>
      <c r="P20" s="80">
        <v>1470000000</v>
      </c>
      <c r="Q20" s="81">
        <v>1200000</v>
      </c>
    </row>
    <row r="21" spans="1:17" s="81" customFormat="1" x14ac:dyDescent="0.25">
      <c r="A21" s="74"/>
      <c r="B21" s="74" t="s">
        <v>286</v>
      </c>
      <c r="C21" s="74" t="s">
        <v>433</v>
      </c>
      <c r="D21" s="78">
        <v>283000000000</v>
      </c>
      <c r="E21" s="74">
        <v>0.20599999999999999</v>
      </c>
      <c r="F21" s="74">
        <v>5.0000000000000001E-3</v>
      </c>
      <c r="G21" s="84">
        <f t="shared" si="4"/>
        <v>5.4666666666666676E-2</v>
      </c>
      <c r="H21" s="75" t="s">
        <v>80</v>
      </c>
      <c r="I21" s="75" t="s">
        <v>34</v>
      </c>
      <c r="J21" s="76">
        <v>0</v>
      </c>
      <c r="K21" s="75">
        <v>0</v>
      </c>
      <c r="L21" s="77">
        <v>0.03</v>
      </c>
      <c r="M21" s="46">
        <v>0</v>
      </c>
      <c r="N21" s="78">
        <f t="shared" si="0"/>
        <v>8490000000</v>
      </c>
      <c r="O21" s="79">
        <f t="shared" si="2"/>
        <v>58298000000</v>
      </c>
      <c r="P21" s="80">
        <v>8490000000</v>
      </c>
      <c r="Q21" s="81">
        <v>345</v>
      </c>
    </row>
    <row r="22" spans="1:17" x14ac:dyDescent="0.25">
      <c r="M22" s="1"/>
    </row>
    <row r="23" spans="1:17" x14ac:dyDescent="0.25">
      <c r="E23" s="14"/>
      <c r="N23" s="14"/>
    </row>
    <row r="24" spans="1:17" x14ac:dyDescent="0.25">
      <c r="E24" s="14"/>
      <c r="N24" s="14"/>
    </row>
    <row r="25" spans="1:17" x14ac:dyDescent="0.25">
      <c r="E25" s="14"/>
    </row>
    <row r="26" spans="1:17" x14ac:dyDescent="0.25">
      <c r="E26" s="14"/>
      <c r="O26" s="14"/>
    </row>
    <row r="27" spans="1:17" x14ac:dyDescent="0.25">
      <c r="E27" s="14"/>
    </row>
    <row r="28" spans="1:17" x14ac:dyDescent="0.25">
      <c r="E28" s="14"/>
      <c r="I28" s="20"/>
    </row>
    <row r="29" spans="1:17" x14ac:dyDescent="0.25">
      <c r="E29" s="14"/>
      <c r="I29" s="20"/>
    </row>
    <row r="30" spans="1:17" x14ac:dyDescent="0.25">
      <c r="E30" s="14"/>
      <c r="I30" s="20"/>
    </row>
    <row r="31" spans="1:17" x14ac:dyDescent="0.25">
      <c r="E31" s="14"/>
      <c r="I31" s="20"/>
    </row>
    <row r="32" spans="1:17" x14ac:dyDescent="0.25">
      <c r="E32" s="14"/>
      <c r="I32" s="20"/>
    </row>
    <row r="33" spans="3:9" x14ac:dyDescent="0.25">
      <c r="E33" s="14"/>
      <c r="F33" s="20"/>
      <c r="G33" s="20"/>
      <c r="I33" s="20"/>
    </row>
    <row r="34" spans="3:9" x14ac:dyDescent="0.25">
      <c r="C34" s="54"/>
      <c r="E34" s="14"/>
      <c r="F34" s="14"/>
      <c r="G34" s="20"/>
      <c r="I34" s="20"/>
    </row>
    <row r="35" spans="3:9" x14ac:dyDescent="0.25">
      <c r="E35" s="14"/>
      <c r="F35" s="20"/>
      <c r="G35" s="20"/>
      <c r="I35" s="20"/>
    </row>
    <row r="36" spans="3:9" x14ac:dyDescent="0.25">
      <c r="E36" s="14"/>
      <c r="G36" s="20"/>
      <c r="I36" s="20"/>
    </row>
    <row r="37" spans="3:9" x14ac:dyDescent="0.25">
      <c r="E37" s="14"/>
      <c r="F37" s="14"/>
      <c r="G37" s="20"/>
      <c r="I37" s="20"/>
    </row>
    <row r="38" spans="3:9" x14ac:dyDescent="0.25">
      <c r="E38" s="14"/>
      <c r="G38" s="20"/>
      <c r="I38" s="20"/>
    </row>
    <row r="39" spans="3:9" x14ac:dyDescent="0.25">
      <c r="E39" s="14"/>
      <c r="G39" s="20"/>
      <c r="I39" s="20"/>
    </row>
    <row r="40" spans="3:9" x14ac:dyDescent="0.25">
      <c r="E40" s="14"/>
    </row>
    <row r="41" spans="3:9" x14ac:dyDescent="0.25">
      <c r="E41" s="14"/>
    </row>
    <row r="42" spans="3:9" x14ac:dyDescent="0.25">
      <c r="E42" s="14"/>
    </row>
    <row r="43" spans="3:9" x14ac:dyDescent="0.25">
      <c r="E4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FED5-997F-4C52-BB8A-7FDD71D6EF54}">
  <dimension ref="A1:C7"/>
  <sheetViews>
    <sheetView workbookViewId="0">
      <selection activeCell="B12" sqref="B12"/>
    </sheetView>
  </sheetViews>
  <sheetFormatPr defaultRowHeight="15" x14ac:dyDescent="0.25"/>
  <cols>
    <col min="1" max="1" width="30.85546875" bestFit="1" customWidth="1"/>
    <col min="2" max="2" width="27.5703125" bestFit="1" customWidth="1"/>
    <col min="4" max="4" width="10" bestFit="1" customWidth="1"/>
    <col min="5" max="5" width="11" bestFit="1" customWidth="1"/>
  </cols>
  <sheetData>
    <row r="1" spans="1:3" x14ac:dyDescent="0.25">
      <c r="A1" t="s">
        <v>437</v>
      </c>
      <c r="B1" t="s">
        <v>438</v>
      </c>
      <c r="C1" t="s">
        <v>441</v>
      </c>
    </row>
    <row r="2" spans="1:3" x14ac:dyDescent="0.25">
      <c r="A2" t="s">
        <v>439</v>
      </c>
      <c r="B2">
        <v>0.21</v>
      </c>
      <c r="C2" t="s">
        <v>8</v>
      </c>
    </row>
    <row r="3" spans="1:3" x14ac:dyDescent="0.25">
      <c r="A3" t="s">
        <v>440</v>
      </c>
      <c r="B3">
        <v>0.45999999999999996</v>
      </c>
      <c r="C3" t="s">
        <v>8</v>
      </c>
    </row>
    <row r="4" spans="1:3" x14ac:dyDescent="0.25">
      <c r="A4" t="s">
        <v>485</v>
      </c>
      <c r="B4">
        <v>0.65</v>
      </c>
      <c r="C4" t="s">
        <v>8</v>
      </c>
    </row>
    <row r="5" spans="1:3" x14ac:dyDescent="0.25">
      <c r="A5" t="s">
        <v>486</v>
      </c>
      <c r="B5">
        <v>0.61</v>
      </c>
      <c r="C5" t="s">
        <v>8</v>
      </c>
    </row>
    <row r="6" spans="1:3" x14ac:dyDescent="0.25">
      <c r="A6" t="s">
        <v>487</v>
      </c>
      <c r="B6">
        <v>0.91999999999999993</v>
      </c>
      <c r="C6" t="s">
        <v>8</v>
      </c>
    </row>
    <row r="7" spans="1:3" x14ac:dyDescent="0.25">
      <c r="A7" t="s">
        <v>484</v>
      </c>
      <c r="B7">
        <v>0.94000000000000006</v>
      </c>
      <c r="C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3EF2-BE0F-48F7-835E-EF7228FAA047}">
  <dimension ref="A1:L47"/>
  <sheetViews>
    <sheetView zoomScale="70" zoomScaleNormal="70" workbookViewId="0">
      <selection activeCell="J15" sqref="J15"/>
    </sheetView>
  </sheetViews>
  <sheetFormatPr defaultRowHeight="15" x14ac:dyDescent="0.25"/>
  <cols>
    <col min="1" max="1" width="27.7109375" bestFit="1" customWidth="1"/>
    <col min="3" max="3" width="20.85546875" customWidth="1"/>
    <col min="4" max="4" width="11" bestFit="1" customWidth="1"/>
    <col min="5" max="5" width="11.5703125" customWidth="1"/>
    <col min="6" max="6" width="11.42578125" bestFit="1" customWidth="1"/>
    <col min="7" max="7" width="18" bestFit="1" customWidth="1"/>
    <col min="8" max="8" width="13.42578125" bestFit="1" customWidth="1"/>
  </cols>
  <sheetData>
    <row r="1" spans="1:8" ht="15.75" x14ac:dyDescent="0.25">
      <c r="A1" s="6" t="s">
        <v>0</v>
      </c>
      <c r="B1" s="6" t="s">
        <v>30</v>
      </c>
      <c r="C1" s="6" t="s">
        <v>78</v>
      </c>
      <c r="D1" s="6" t="s">
        <v>63</v>
      </c>
      <c r="E1" s="6" t="s">
        <v>314</v>
      </c>
      <c r="F1" s="6" t="s">
        <v>315</v>
      </c>
      <c r="G1" s="6" t="s">
        <v>85</v>
      </c>
      <c r="H1" s="6" t="s">
        <v>5</v>
      </c>
    </row>
    <row r="2" spans="1:8" ht="15.75" x14ac:dyDescent="0.25">
      <c r="A2" s="7" t="s">
        <v>208</v>
      </c>
      <c r="B2" s="7" t="s">
        <v>23</v>
      </c>
      <c r="C2" s="7" t="s">
        <v>113</v>
      </c>
      <c r="D2" s="7" t="s">
        <v>22</v>
      </c>
      <c r="E2" s="8" t="s">
        <v>124</v>
      </c>
      <c r="F2" s="7">
        <v>12.9</v>
      </c>
      <c r="G2" s="7" t="s">
        <v>297</v>
      </c>
      <c r="H2" s="7" t="s">
        <v>8</v>
      </c>
    </row>
    <row r="3" spans="1:8" ht="15.75" x14ac:dyDescent="0.25">
      <c r="A3" s="7" t="s">
        <v>209</v>
      </c>
      <c r="B3" s="7" t="s">
        <v>24</v>
      </c>
      <c r="C3" s="7" t="s">
        <v>113</v>
      </c>
      <c r="D3" s="7" t="s">
        <v>22</v>
      </c>
      <c r="E3" s="8" t="s">
        <v>125</v>
      </c>
      <c r="F3" s="7">
        <v>10</v>
      </c>
      <c r="G3" s="7" t="s">
        <v>298</v>
      </c>
      <c r="H3" s="7" t="s">
        <v>8</v>
      </c>
    </row>
    <row r="4" spans="1:8" ht="15.75" x14ac:dyDescent="0.25">
      <c r="A4" s="7" t="s">
        <v>210</v>
      </c>
      <c r="B4" s="7" t="s">
        <v>24</v>
      </c>
      <c r="C4" s="7" t="s">
        <v>113</v>
      </c>
      <c r="D4" s="7" t="s">
        <v>22</v>
      </c>
      <c r="E4" s="8" t="s">
        <v>488</v>
      </c>
      <c r="F4" s="7">
        <v>42.7</v>
      </c>
      <c r="G4" s="7" t="s">
        <v>299</v>
      </c>
      <c r="H4" s="7" t="s">
        <v>8</v>
      </c>
    </row>
    <row r="5" spans="1:8" ht="15.75" x14ac:dyDescent="0.25">
      <c r="A5" s="7" t="s">
        <v>211</v>
      </c>
      <c r="B5" s="7" t="s">
        <v>24</v>
      </c>
      <c r="C5" s="7" t="s">
        <v>82</v>
      </c>
      <c r="D5" s="7" t="s">
        <v>22</v>
      </c>
      <c r="E5" s="8" t="s">
        <v>126</v>
      </c>
      <c r="F5" s="7">
        <v>95</v>
      </c>
      <c r="G5" s="7" t="s">
        <v>87</v>
      </c>
      <c r="H5" s="7" t="s">
        <v>8</v>
      </c>
    </row>
    <row r="6" spans="1:8" ht="15.75" x14ac:dyDescent="0.25">
      <c r="A6" s="7" t="s">
        <v>212</v>
      </c>
      <c r="B6" s="7" t="s">
        <v>24</v>
      </c>
      <c r="C6" s="7" t="s">
        <v>82</v>
      </c>
      <c r="D6" s="7" t="s">
        <v>22</v>
      </c>
      <c r="E6" s="8" t="s">
        <v>127</v>
      </c>
      <c r="F6" s="7">
        <v>228</v>
      </c>
      <c r="G6" s="7" t="s">
        <v>87</v>
      </c>
      <c r="H6" s="7" t="s">
        <v>8</v>
      </c>
    </row>
    <row r="7" spans="1:8" ht="15.75" x14ac:dyDescent="0.25">
      <c r="A7" s="7" t="s">
        <v>213</v>
      </c>
      <c r="B7" s="7" t="s">
        <v>24</v>
      </c>
      <c r="C7" s="7" t="s">
        <v>113</v>
      </c>
      <c r="D7" s="7" t="s">
        <v>26</v>
      </c>
      <c r="E7" s="8" t="s">
        <v>128</v>
      </c>
      <c r="F7" s="7">
        <v>12</v>
      </c>
      <c r="G7" s="7" t="s">
        <v>87</v>
      </c>
      <c r="H7" s="7" t="s">
        <v>8</v>
      </c>
    </row>
    <row r="8" spans="1:8" ht="15.75" x14ac:dyDescent="0.25">
      <c r="A8" s="7" t="s">
        <v>214</v>
      </c>
      <c r="B8" s="7" t="s">
        <v>24</v>
      </c>
      <c r="C8" s="7" t="s">
        <v>113</v>
      </c>
      <c r="D8" s="7" t="s">
        <v>22</v>
      </c>
      <c r="E8" s="8" t="s">
        <v>129</v>
      </c>
      <c r="F8" s="7">
        <v>46</v>
      </c>
      <c r="G8" s="7" t="s">
        <v>87</v>
      </c>
      <c r="H8" s="7" t="s">
        <v>8</v>
      </c>
    </row>
    <row r="9" spans="1:8" ht="15.75" x14ac:dyDescent="0.25">
      <c r="A9" s="7" t="s">
        <v>215</v>
      </c>
      <c r="B9" s="7" t="s">
        <v>24</v>
      </c>
      <c r="C9" s="7" t="s">
        <v>113</v>
      </c>
      <c r="D9" s="7" t="s">
        <v>22</v>
      </c>
      <c r="E9" s="8" t="s">
        <v>131</v>
      </c>
      <c r="F9" s="7">
        <v>15.1</v>
      </c>
      <c r="G9" s="7" t="s">
        <v>300</v>
      </c>
      <c r="H9" s="7" t="s">
        <v>9</v>
      </c>
    </row>
    <row r="10" spans="1:8" ht="15.75" x14ac:dyDescent="0.25">
      <c r="A10" s="7" t="s">
        <v>216</v>
      </c>
      <c r="B10" s="7" t="s">
        <v>24</v>
      </c>
      <c r="C10" s="7" t="s">
        <v>113</v>
      </c>
      <c r="D10" s="7" t="s">
        <v>22</v>
      </c>
      <c r="E10" s="8" t="s">
        <v>489</v>
      </c>
      <c r="F10" s="7">
        <v>51</v>
      </c>
      <c r="G10" s="7" t="s">
        <v>301</v>
      </c>
      <c r="H10" s="7" t="s">
        <v>9</v>
      </c>
    </row>
    <row r="11" spans="1:8" ht="15.75" x14ac:dyDescent="0.25">
      <c r="A11" s="7" t="s">
        <v>217</v>
      </c>
      <c r="B11" s="7" t="s">
        <v>24</v>
      </c>
      <c r="C11" s="7" t="s">
        <v>82</v>
      </c>
      <c r="D11" s="7" t="s">
        <v>22</v>
      </c>
      <c r="E11" s="8" t="s">
        <v>132</v>
      </c>
      <c r="F11" s="7">
        <v>579.6</v>
      </c>
      <c r="G11" s="7" t="s">
        <v>87</v>
      </c>
      <c r="H11" s="7" t="s">
        <v>9</v>
      </c>
    </row>
    <row r="12" spans="1:8" ht="15.75" x14ac:dyDescent="0.25">
      <c r="A12" s="7" t="s">
        <v>218</v>
      </c>
      <c r="B12" s="7" t="s">
        <v>24</v>
      </c>
      <c r="C12" s="7" t="s">
        <v>82</v>
      </c>
      <c r="D12" s="7" t="s">
        <v>22</v>
      </c>
      <c r="E12" s="8" t="s">
        <v>133</v>
      </c>
      <c r="F12" s="7">
        <v>625</v>
      </c>
      <c r="G12" s="7" t="s">
        <v>87</v>
      </c>
      <c r="H12" s="7" t="s">
        <v>9</v>
      </c>
    </row>
    <row r="13" spans="1:8" ht="15.75" x14ac:dyDescent="0.25">
      <c r="A13" s="7" t="s">
        <v>219</v>
      </c>
      <c r="B13" s="7" t="s">
        <v>24</v>
      </c>
      <c r="C13" s="7" t="s">
        <v>113</v>
      </c>
      <c r="D13" s="7" t="s">
        <v>26</v>
      </c>
      <c r="E13" s="8" t="s">
        <v>134</v>
      </c>
      <c r="F13" s="7">
        <v>3</v>
      </c>
      <c r="G13" s="7" t="s">
        <v>87</v>
      </c>
      <c r="H13" s="7" t="s">
        <v>9</v>
      </c>
    </row>
    <row r="14" spans="1:8" ht="15.75" x14ac:dyDescent="0.25">
      <c r="A14" s="7" t="s">
        <v>220</v>
      </c>
      <c r="B14" s="7" t="s">
        <v>24</v>
      </c>
      <c r="C14" s="7" t="s">
        <v>113</v>
      </c>
      <c r="D14" s="7" t="s">
        <v>22</v>
      </c>
      <c r="E14" s="8" t="s">
        <v>135</v>
      </c>
      <c r="F14" s="7">
        <v>14.9</v>
      </c>
      <c r="G14" s="7" t="s">
        <v>302</v>
      </c>
      <c r="H14" s="7" t="s">
        <v>102</v>
      </c>
    </row>
    <row r="15" spans="1:8" ht="15.75" x14ac:dyDescent="0.25">
      <c r="A15" s="7" t="s">
        <v>221</v>
      </c>
      <c r="B15" s="7" t="s">
        <v>24</v>
      </c>
      <c r="C15" s="7" t="s">
        <v>113</v>
      </c>
      <c r="D15" s="7" t="s">
        <v>22</v>
      </c>
      <c r="E15" s="8" t="s">
        <v>490</v>
      </c>
      <c r="F15" s="7">
        <v>54.2</v>
      </c>
      <c r="G15" s="7" t="s">
        <v>303</v>
      </c>
      <c r="H15" s="7" t="s">
        <v>102</v>
      </c>
    </row>
    <row r="16" spans="1:8" ht="15.75" x14ac:dyDescent="0.25">
      <c r="A16" s="7" t="s">
        <v>222</v>
      </c>
      <c r="B16" s="7" t="s">
        <v>24</v>
      </c>
      <c r="C16" s="7" t="s">
        <v>82</v>
      </c>
      <c r="D16" s="7" t="s">
        <v>22</v>
      </c>
      <c r="E16" s="17" t="s">
        <v>136</v>
      </c>
      <c r="F16" s="7">
        <v>233</v>
      </c>
      <c r="G16" s="7" t="s">
        <v>87</v>
      </c>
      <c r="H16" s="7" t="s">
        <v>102</v>
      </c>
    </row>
    <row r="17" spans="1:11" ht="15.75" x14ac:dyDescent="0.25">
      <c r="A17" s="7" t="s">
        <v>223</v>
      </c>
      <c r="B17" s="7" t="s">
        <v>24</v>
      </c>
      <c r="C17" s="7" t="s">
        <v>82</v>
      </c>
      <c r="D17" s="7" t="s">
        <v>22</v>
      </c>
      <c r="E17" s="17" t="s">
        <v>137</v>
      </c>
      <c r="F17" s="7">
        <v>370</v>
      </c>
      <c r="G17" s="7" t="s">
        <v>87</v>
      </c>
      <c r="H17" s="7" t="s">
        <v>102</v>
      </c>
    </row>
    <row r="18" spans="1:11" ht="15.75" x14ac:dyDescent="0.25">
      <c r="A18" s="7" t="s">
        <v>224</v>
      </c>
      <c r="B18" s="7" t="s">
        <v>24</v>
      </c>
      <c r="C18" s="7" t="s">
        <v>113</v>
      </c>
      <c r="D18" s="7" t="s">
        <v>26</v>
      </c>
      <c r="E18" s="8" t="s">
        <v>448</v>
      </c>
      <c r="F18" s="7">
        <v>44</v>
      </c>
      <c r="G18" s="7" t="s">
        <v>87</v>
      </c>
      <c r="H18" s="7" t="s">
        <v>102</v>
      </c>
      <c r="K18" s="8"/>
    </row>
    <row r="19" spans="1:11" ht="15.75" x14ac:dyDescent="0.25">
      <c r="A19" s="7" t="s">
        <v>225</v>
      </c>
      <c r="B19" s="7" t="s">
        <v>24</v>
      </c>
      <c r="C19" s="7" t="s">
        <v>113</v>
      </c>
      <c r="D19" s="7" t="s">
        <v>22</v>
      </c>
      <c r="E19" s="8" t="s">
        <v>140</v>
      </c>
      <c r="F19" s="7">
        <v>17.100000000000001</v>
      </c>
      <c r="G19" s="7" t="s">
        <v>304</v>
      </c>
      <c r="H19" s="7" t="s">
        <v>11</v>
      </c>
    </row>
    <row r="20" spans="1:11" ht="15.75" x14ac:dyDescent="0.25">
      <c r="A20" s="7" t="s">
        <v>226</v>
      </c>
      <c r="B20" s="7" t="s">
        <v>24</v>
      </c>
      <c r="C20" s="7" t="s">
        <v>113</v>
      </c>
      <c r="D20" s="7" t="s">
        <v>22</v>
      </c>
      <c r="E20" s="8" t="s">
        <v>491</v>
      </c>
      <c r="F20" s="7">
        <v>74</v>
      </c>
      <c r="G20" s="7" t="s">
        <v>305</v>
      </c>
      <c r="H20" s="7" t="s">
        <v>11</v>
      </c>
    </row>
    <row r="21" spans="1:11" ht="15.75" x14ac:dyDescent="0.25">
      <c r="A21" s="7" t="s">
        <v>227</v>
      </c>
      <c r="B21" s="7" t="s">
        <v>24</v>
      </c>
      <c r="C21" s="7" t="s">
        <v>82</v>
      </c>
      <c r="D21" s="7" t="s">
        <v>22</v>
      </c>
      <c r="E21" s="8" t="s">
        <v>141</v>
      </c>
      <c r="F21" s="7">
        <v>79.5</v>
      </c>
      <c r="G21" s="7" t="s">
        <v>87</v>
      </c>
      <c r="H21" s="7" t="s">
        <v>11</v>
      </c>
    </row>
    <row r="22" spans="1:11" ht="15.75" x14ac:dyDescent="0.25">
      <c r="A22" s="7" t="s">
        <v>228</v>
      </c>
      <c r="B22" s="7" t="s">
        <v>24</v>
      </c>
      <c r="C22" s="7" t="s">
        <v>82</v>
      </c>
      <c r="D22" s="7" t="s">
        <v>22</v>
      </c>
      <c r="E22" s="8" t="s">
        <v>142</v>
      </c>
      <c r="F22" s="7">
        <v>174</v>
      </c>
      <c r="G22" s="7" t="s">
        <v>87</v>
      </c>
      <c r="H22" s="7" t="s">
        <v>11</v>
      </c>
    </row>
    <row r="23" spans="1:11" ht="15.75" x14ac:dyDescent="0.25">
      <c r="A23" s="7" t="s">
        <v>229</v>
      </c>
      <c r="B23" s="7" t="s">
        <v>24</v>
      </c>
      <c r="C23" s="7" t="s">
        <v>113</v>
      </c>
      <c r="D23" s="7" t="s">
        <v>22</v>
      </c>
      <c r="E23" s="8" t="s">
        <v>144</v>
      </c>
      <c r="F23" s="7">
        <v>19</v>
      </c>
      <c r="G23" s="7" t="s">
        <v>306</v>
      </c>
      <c r="H23" s="7" t="s">
        <v>10</v>
      </c>
    </row>
    <row r="24" spans="1:11" ht="15.75" x14ac:dyDescent="0.25">
      <c r="A24" s="7" t="s">
        <v>230</v>
      </c>
      <c r="B24" s="7" t="s">
        <v>24</v>
      </c>
      <c r="C24" s="7" t="s">
        <v>113</v>
      </c>
      <c r="D24" s="7" t="s">
        <v>22</v>
      </c>
      <c r="E24" s="8" t="s">
        <v>493</v>
      </c>
      <c r="F24" s="7">
        <v>47.9</v>
      </c>
      <c r="G24" s="7" t="s">
        <v>307</v>
      </c>
      <c r="H24" s="7" t="s">
        <v>10</v>
      </c>
    </row>
    <row r="25" spans="1:11" ht="15.75" x14ac:dyDescent="0.25">
      <c r="A25" s="7" t="s">
        <v>231</v>
      </c>
      <c r="B25" s="7" t="s">
        <v>24</v>
      </c>
      <c r="C25" s="7" t="s">
        <v>82</v>
      </c>
      <c r="D25" s="7" t="s">
        <v>22</v>
      </c>
      <c r="E25" s="8" t="s">
        <v>156</v>
      </c>
      <c r="F25" s="7">
        <v>400</v>
      </c>
      <c r="G25" s="7" t="s">
        <v>87</v>
      </c>
      <c r="H25" s="7" t="s">
        <v>10</v>
      </c>
    </row>
    <row r="26" spans="1:11" ht="15.75" x14ac:dyDescent="0.25">
      <c r="A26" s="7" t="s">
        <v>232</v>
      </c>
      <c r="B26" s="7" t="s">
        <v>24</v>
      </c>
      <c r="C26" s="7" t="s">
        <v>82</v>
      </c>
      <c r="D26" s="7" t="s">
        <v>22</v>
      </c>
      <c r="E26" s="8" t="s">
        <v>155</v>
      </c>
      <c r="F26" s="7">
        <v>574</v>
      </c>
      <c r="G26" s="7" t="s">
        <v>87</v>
      </c>
      <c r="H26" s="7" t="s">
        <v>10</v>
      </c>
    </row>
    <row r="27" spans="1:11" ht="15.75" x14ac:dyDescent="0.25">
      <c r="A27" s="7" t="s">
        <v>233</v>
      </c>
      <c r="B27" s="7" t="s">
        <v>24</v>
      </c>
      <c r="C27" s="7" t="s">
        <v>113</v>
      </c>
      <c r="D27" s="7" t="s">
        <v>26</v>
      </c>
      <c r="E27" s="8" t="s">
        <v>157</v>
      </c>
      <c r="F27" s="7">
        <v>35</v>
      </c>
      <c r="G27" s="7" t="s">
        <v>87</v>
      </c>
      <c r="H27" s="7" t="s">
        <v>10</v>
      </c>
    </row>
    <row r="28" spans="1:11" ht="15.75" x14ac:dyDescent="0.25">
      <c r="A28" s="7" t="s">
        <v>234</v>
      </c>
      <c r="B28" s="7" t="s">
        <v>24</v>
      </c>
      <c r="C28" s="7" t="s">
        <v>113</v>
      </c>
      <c r="D28" s="7" t="s">
        <v>22</v>
      </c>
      <c r="E28" s="8" t="s">
        <v>144</v>
      </c>
      <c r="F28" s="7">
        <v>19</v>
      </c>
      <c r="G28" s="7" t="s">
        <v>308</v>
      </c>
      <c r="H28" s="7" t="s">
        <v>98</v>
      </c>
    </row>
    <row r="29" spans="1:11" ht="15.75" x14ac:dyDescent="0.25">
      <c r="A29" s="30" t="s">
        <v>235</v>
      </c>
      <c r="B29" s="7" t="s">
        <v>24</v>
      </c>
      <c r="C29" s="7" t="s">
        <v>113</v>
      </c>
      <c r="D29" s="7" t="s">
        <v>22</v>
      </c>
      <c r="E29" s="8" t="s">
        <v>492</v>
      </c>
      <c r="F29" s="7">
        <v>47.9</v>
      </c>
      <c r="G29" s="7" t="s">
        <v>309</v>
      </c>
      <c r="H29" s="7" t="s">
        <v>98</v>
      </c>
    </row>
    <row r="30" spans="1:11" ht="15.75" x14ac:dyDescent="0.25">
      <c r="A30" s="30" t="s">
        <v>236</v>
      </c>
      <c r="B30" s="7" t="s">
        <v>24</v>
      </c>
      <c r="C30" s="7" t="s">
        <v>82</v>
      </c>
      <c r="D30" s="7" t="s">
        <v>22</v>
      </c>
      <c r="E30" s="8" t="s">
        <v>145</v>
      </c>
      <c r="F30" s="7">
        <v>374</v>
      </c>
      <c r="G30" s="7" t="s">
        <v>87</v>
      </c>
      <c r="H30" s="7" t="s">
        <v>98</v>
      </c>
    </row>
    <row r="31" spans="1:11" ht="15.75" x14ac:dyDescent="0.25">
      <c r="A31" s="7" t="s">
        <v>237</v>
      </c>
      <c r="B31" s="7" t="s">
        <v>24</v>
      </c>
      <c r="C31" s="7" t="s">
        <v>82</v>
      </c>
      <c r="D31" s="7" t="s">
        <v>22</v>
      </c>
      <c r="E31" s="8" t="s">
        <v>146</v>
      </c>
      <c r="F31" s="7">
        <v>464</v>
      </c>
      <c r="G31" s="7" t="s">
        <v>87</v>
      </c>
      <c r="H31" s="7" t="s">
        <v>98</v>
      </c>
    </row>
    <row r="32" spans="1:11" ht="15.75" x14ac:dyDescent="0.25">
      <c r="A32" s="7" t="s">
        <v>238</v>
      </c>
      <c r="B32" s="7" t="s">
        <v>24</v>
      </c>
      <c r="C32" s="7" t="s">
        <v>113</v>
      </c>
      <c r="D32" s="7" t="s">
        <v>26</v>
      </c>
      <c r="E32" s="8" t="s">
        <v>147</v>
      </c>
      <c r="F32" s="7">
        <v>35</v>
      </c>
      <c r="G32" s="7" t="s">
        <v>87</v>
      </c>
      <c r="H32" s="7" t="s">
        <v>98</v>
      </c>
    </row>
    <row r="33" spans="1:12" ht="15.75" x14ac:dyDescent="0.25">
      <c r="A33" s="7" t="s">
        <v>239</v>
      </c>
      <c r="B33" s="7" t="s">
        <v>24</v>
      </c>
      <c r="C33" s="7" t="s">
        <v>113</v>
      </c>
      <c r="D33" s="7" t="s">
        <v>22</v>
      </c>
      <c r="E33" s="8" t="s">
        <v>135</v>
      </c>
      <c r="F33" s="7">
        <v>14.9</v>
      </c>
      <c r="G33" s="7" t="s">
        <v>310</v>
      </c>
      <c r="H33" s="7" t="s">
        <v>100</v>
      </c>
      <c r="J33" s="43"/>
      <c r="K33" s="44"/>
      <c r="L33" s="44"/>
    </row>
    <row r="34" spans="1:12" ht="15.75" x14ac:dyDescent="0.25">
      <c r="A34" s="7" t="s">
        <v>240</v>
      </c>
      <c r="B34" s="7" t="s">
        <v>24</v>
      </c>
      <c r="C34" s="7" t="s">
        <v>113</v>
      </c>
      <c r="D34" s="7" t="s">
        <v>22</v>
      </c>
      <c r="E34" s="8" t="s">
        <v>494</v>
      </c>
      <c r="F34" s="7">
        <v>41.7</v>
      </c>
      <c r="G34" s="7" t="s">
        <v>311</v>
      </c>
      <c r="H34" s="7" t="s">
        <v>100</v>
      </c>
      <c r="J34" s="43"/>
      <c r="K34" s="44"/>
      <c r="L34" s="44"/>
    </row>
    <row r="35" spans="1:12" ht="15.75" x14ac:dyDescent="0.25">
      <c r="A35" s="7" t="s">
        <v>241</v>
      </c>
      <c r="B35" s="7" t="s">
        <v>24</v>
      </c>
      <c r="C35" s="7" t="s">
        <v>82</v>
      </c>
      <c r="D35" s="7" t="s">
        <v>22</v>
      </c>
      <c r="E35" s="8" t="s">
        <v>148</v>
      </c>
      <c r="F35" s="7">
        <v>96</v>
      </c>
      <c r="G35" s="7" t="s">
        <v>87</v>
      </c>
      <c r="H35" s="7" t="s">
        <v>100</v>
      </c>
      <c r="J35" s="45"/>
      <c r="K35" s="44"/>
      <c r="L35" s="44"/>
    </row>
    <row r="36" spans="1:12" ht="15.75" x14ac:dyDescent="0.25">
      <c r="A36" s="7" t="s">
        <v>242</v>
      </c>
      <c r="B36" s="7" t="s">
        <v>24</v>
      </c>
      <c r="C36" s="7" t="s">
        <v>82</v>
      </c>
      <c r="D36" s="7" t="s">
        <v>22</v>
      </c>
      <c r="E36" s="21" t="s">
        <v>149</v>
      </c>
      <c r="F36" s="7">
        <v>96</v>
      </c>
      <c r="G36" s="7" t="s">
        <v>87</v>
      </c>
      <c r="H36" s="7" t="s">
        <v>100</v>
      </c>
      <c r="J36" s="45"/>
      <c r="K36" s="44"/>
      <c r="L36" s="44"/>
    </row>
    <row r="37" spans="1:12" ht="15.75" x14ac:dyDescent="0.25">
      <c r="A37" s="7" t="s">
        <v>243</v>
      </c>
      <c r="B37" s="7" t="s">
        <v>24</v>
      </c>
      <c r="C37" s="7" t="s">
        <v>113</v>
      </c>
      <c r="D37" s="7" t="s">
        <v>26</v>
      </c>
      <c r="E37" s="8" t="s">
        <v>139</v>
      </c>
      <c r="F37" s="5">
        <v>8.1999999999999993</v>
      </c>
      <c r="G37" s="7" t="s">
        <v>87</v>
      </c>
      <c r="H37" s="7" t="s">
        <v>100</v>
      </c>
      <c r="J37" s="43"/>
      <c r="K37" s="44"/>
      <c r="L37" s="44"/>
    </row>
    <row r="38" spans="1:12" ht="15.75" x14ac:dyDescent="0.25">
      <c r="A38" s="7" t="s">
        <v>244</v>
      </c>
      <c r="B38" s="7" t="s">
        <v>24</v>
      </c>
      <c r="C38" s="5" t="s">
        <v>114</v>
      </c>
      <c r="D38" s="7" t="s">
        <v>22</v>
      </c>
      <c r="E38" s="8" t="s">
        <v>150</v>
      </c>
      <c r="F38" s="7">
        <v>460</v>
      </c>
      <c r="G38" s="7" t="s">
        <v>87</v>
      </c>
      <c r="H38" s="7" t="s">
        <v>69</v>
      </c>
    </row>
    <row r="39" spans="1:12" ht="15.75" x14ac:dyDescent="0.25">
      <c r="A39" s="7" t="s">
        <v>245</v>
      </c>
      <c r="B39" s="7" t="s">
        <v>24</v>
      </c>
      <c r="C39" s="5" t="s">
        <v>114</v>
      </c>
      <c r="D39" s="7" t="s">
        <v>26</v>
      </c>
      <c r="E39" s="8" t="s">
        <v>151</v>
      </c>
      <c r="F39" s="7">
        <v>183</v>
      </c>
      <c r="G39" s="7" t="s">
        <v>87</v>
      </c>
      <c r="H39" s="7" t="s">
        <v>69</v>
      </c>
    </row>
    <row r="40" spans="1:12" ht="15.75" x14ac:dyDescent="0.25">
      <c r="A40" s="7" t="s">
        <v>93</v>
      </c>
      <c r="B40" s="7" t="s">
        <v>24</v>
      </c>
      <c r="C40" s="5" t="s">
        <v>114</v>
      </c>
      <c r="D40" s="7" t="s">
        <v>116</v>
      </c>
      <c r="E40" s="8" t="s">
        <v>152</v>
      </c>
      <c r="F40" s="7">
        <v>261</v>
      </c>
      <c r="G40" s="7" t="s">
        <v>87</v>
      </c>
      <c r="H40" s="7" t="s">
        <v>69</v>
      </c>
    </row>
    <row r="41" spans="1:12" ht="15.75" x14ac:dyDescent="0.25">
      <c r="A41" s="7" t="s">
        <v>246</v>
      </c>
      <c r="B41" s="7" t="s">
        <v>24</v>
      </c>
      <c r="C41" s="5" t="s">
        <v>114</v>
      </c>
      <c r="D41" s="7" t="s">
        <v>116</v>
      </c>
      <c r="E41" s="8" t="s">
        <v>153</v>
      </c>
      <c r="F41" s="7">
        <v>239</v>
      </c>
      <c r="G41" s="7" t="s">
        <v>87</v>
      </c>
      <c r="H41" s="7" t="s">
        <v>69</v>
      </c>
    </row>
    <row r="42" spans="1:12" ht="15.75" x14ac:dyDescent="0.25">
      <c r="A42" s="7" t="s">
        <v>130</v>
      </c>
      <c r="B42" s="7" t="s">
        <v>24</v>
      </c>
      <c r="C42" s="5" t="s">
        <v>114</v>
      </c>
      <c r="D42" s="7" t="s">
        <v>116</v>
      </c>
      <c r="E42" s="5" t="s">
        <v>138</v>
      </c>
      <c r="F42" s="5">
        <v>0</v>
      </c>
      <c r="G42" s="7" t="s">
        <v>87</v>
      </c>
      <c r="H42" s="7" t="s">
        <v>69</v>
      </c>
    </row>
    <row r="43" spans="1:12" ht="15.75" x14ac:dyDescent="0.25">
      <c r="A43" s="7" t="s">
        <v>247</v>
      </c>
      <c r="B43" s="7" t="s">
        <v>24</v>
      </c>
      <c r="C43" s="7" t="s">
        <v>113</v>
      </c>
      <c r="D43" s="7" t="s">
        <v>22</v>
      </c>
      <c r="E43" s="8" t="s">
        <v>143</v>
      </c>
      <c r="F43" s="7">
        <v>26.1</v>
      </c>
      <c r="G43" s="7" t="s">
        <v>312</v>
      </c>
      <c r="H43" s="7" t="s">
        <v>101</v>
      </c>
    </row>
    <row r="44" spans="1:12" ht="15.75" x14ac:dyDescent="0.25">
      <c r="A44" s="7" t="s">
        <v>248</v>
      </c>
      <c r="B44" s="7" t="s">
        <v>24</v>
      </c>
      <c r="C44" s="7" t="s">
        <v>113</v>
      </c>
      <c r="D44" s="7" t="s">
        <v>22</v>
      </c>
      <c r="E44" s="8" t="s">
        <v>495</v>
      </c>
      <c r="F44" s="7">
        <v>45.2</v>
      </c>
      <c r="G44" s="7" t="s">
        <v>313</v>
      </c>
      <c r="H44" s="7" t="s">
        <v>101</v>
      </c>
    </row>
    <row r="45" spans="1:12" ht="15.75" x14ac:dyDescent="0.25">
      <c r="A45" s="7" t="s">
        <v>249</v>
      </c>
      <c r="B45" s="7" t="s">
        <v>24</v>
      </c>
      <c r="C45" s="7" t="s">
        <v>82</v>
      </c>
      <c r="D45" s="7" t="s">
        <v>22</v>
      </c>
      <c r="E45" s="8" t="s">
        <v>159</v>
      </c>
      <c r="F45" s="7">
        <v>600</v>
      </c>
      <c r="G45" s="7" t="s">
        <v>87</v>
      </c>
      <c r="H45" s="7" t="s">
        <v>101</v>
      </c>
    </row>
    <row r="46" spans="1:12" ht="15.75" x14ac:dyDescent="0.25">
      <c r="A46" s="7" t="s">
        <v>250</v>
      </c>
      <c r="B46" s="7" t="s">
        <v>24</v>
      </c>
      <c r="C46" s="7" t="s">
        <v>82</v>
      </c>
      <c r="D46" s="7" t="s">
        <v>22</v>
      </c>
      <c r="E46" s="21" t="s">
        <v>158</v>
      </c>
      <c r="F46" s="7">
        <v>821</v>
      </c>
      <c r="G46" s="7" t="s">
        <v>87</v>
      </c>
      <c r="H46" s="7" t="s">
        <v>101</v>
      </c>
    </row>
    <row r="47" spans="1:12" ht="15.75" x14ac:dyDescent="0.25">
      <c r="A47" s="7" t="s">
        <v>251</v>
      </c>
      <c r="B47" s="7" t="s">
        <v>24</v>
      </c>
      <c r="C47" s="7" t="s">
        <v>113</v>
      </c>
      <c r="D47" s="7" t="s">
        <v>26</v>
      </c>
      <c r="E47" s="8" t="s">
        <v>157</v>
      </c>
      <c r="F47" s="7">
        <v>35</v>
      </c>
      <c r="G47" s="7" t="s">
        <v>87</v>
      </c>
      <c r="H47" s="7" t="s">
        <v>101</v>
      </c>
    </row>
  </sheetData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3EEC-12D1-4C47-8AE1-C4F75AE921A6}">
  <dimension ref="A1:N49"/>
  <sheetViews>
    <sheetView topLeftCell="D26" zoomScale="80" zoomScaleNormal="80" workbookViewId="0">
      <selection activeCell="K38" sqref="K38"/>
    </sheetView>
  </sheetViews>
  <sheetFormatPr defaultRowHeight="15" x14ac:dyDescent="0.25"/>
  <cols>
    <col min="1" max="1" width="11.140625" bestFit="1" customWidth="1"/>
    <col min="2" max="2" width="13.28515625" bestFit="1" customWidth="1"/>
    <col min="3" max="3" width="9.5703125" customWidth="1"/>
    <col min="4" max="4" width="12.28515625" customWidth="1"/>
    <col min="5" max="5" width="69.42578125" customWidth="1"/>
    <col min="6" max="7" width="15.140625" customWidth="1"/>
    <col min="8" max="8" width="11" customWidth="1"/>
    <col min="9" max="9" width="4.42578125" customWidth="1"/>
    <col min="10" max="10" width="22.140625" bestFit="1" customWidth="1"/>
    <col min="11" max="11" width="20.7109375" customWidth="1"/>
    <col min="12" max="12" width="30.140625" customWidth="1"/>
    <col min="13" max="13" width="4.28515625" customWidth="1"/>
    <col min="14" max="14" width="9.28515625" bestFit="1" customWidth="1"/>
  </cols>
  <sheetData>
    <row r="1" spans="1:14" x14ac:dyDescent="0.25">
      <c r="A1" s="33" t="s">
        <v>0</v>
      </c>
      <c r="B1" s="33" t="s">
        <v>68</v>
      </c>
      <c r="C1" s="33" t="s">
        <v>30</v>
      </c>
      <c r="D1" s="33" t="s">
        <v>5</v>
      </c>
      <c r="E1" s="11" t="s">
        <v>160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31</v>
      </c>
      <c r="K1" s="11" t="s">
        <v>207</v>
      </c>
      <c r="L1" s="11" t="s">
        <v>206</v>
      </c>
      <c r="M1" s="28" t="s">
        <v>43</v>
      </c>
      <c r="N1" s="11" t="s">
        <v>316</v>
      </c>
    </row>
    <row r="2" spans="1:14" x14ac:dyDescent="0.25">
      <c r="A2" s="5" t="s">
        <v>169</v>
      </c>
      <c r="B2" s="5" t="s">
        <v>40</v>
      </c>
      <c r="C2" s="41" t="s">
        <v>24</v>
      </c>
      <c r="D2" s="41" t="s">
        <v>9</v>
      </c>
      <c r="E2" s="41" t="s">
        <v>161</v>
      </c>
      <c r="F2" s="42">
        <v>-30.747769349999999</v>
      </c>
      <c r="G2" s="42">
        <v>121.4650079</v>
      </c>
      <c r="H2" s="5" t="s">
        <v>7</v>
      </c>
      <c r="I2" s="5"/>
      <c r="J2" s="5" t="s">
        <v>103</v>
      </c>
      <c r="K2" s="5"/>
      <c r="L2" s="5"/>
      <c r="M2" s="40"/>
      <c r="N2" s="5">
        <v>7200</v>
      </c>
    </row>
    <row r="3" spans="1:14" x14ac:dyDescent="0.25">
      <c r="A3" s="5" t="s">
        <v>170</v>
      </c>
      <c r="B3" s="5" t="s">
        <v>40</v>
      </c>
      <c r="C3" s="41" t="s">
        <v>24</v>
      </c>
      <c r="D3" s="41" t="s">
        <v>98</v>
      </c>
      <c r="E3" s="41" t="s">
        <v>162</v>
      </c>
      <c r="F3" s="42">
        <v>18.62110882</v>
      </c>
      <c r="G3" s="42">
        <v>-12.468296369999999</v>
      </c>
      <c r="H3" s="5" t="s">
        <v>7</v>
      </c>
      <c r="I3" s="5" t="s">
        <v>7</v>
      </c>
      <c r="J3" s="5" t="s">
        <v>103</v>
      </c>
      <c r="K3" s="5"/>
      <c r="L3" s="5"/>
      <c r="M3" s="40"/>
      <c r="N3" s="5">
        <v>6100</v>
      </c>
    </row>
    <row r="4" spans="1:14" x14ac:dyDescent="0.25">
      <c r="A4" s="5" t="s">
        <v>171</v>
      </c>
      <c r="B4" s="5" t="s">
        <v>40</v>
      </c>
      <c r="C4" s="41" t="s">
        <v>24</v>
      </c>
      <c r="D4" s="41" t="s">
        <v>10</v>
      </c>
      <c r="E4" s="41" t="s">
        <v>163</v>
      </c>
      <c r="F4" s="42">
        <v>29.693182440000001</v>
      </c>
      <c r="G4" s="42">
        <v>32.316615409999997</v>
      </c>
      <c r="H4" s="5" t="s">
        <v>7</v>
      </c>
      <c r="I4" s="5" t="s">
        <v>7</v>
      </c>
      <c r="J4" s="5" t="s">
        <v>103</v>
      </c>
      <c r="K4" s="5"/>
      <c r="L4" s="5"/>
      <c r="M4" s="40"/>
      <c r="N4" s="5">
        <v>4400</v>
      </c>
    </row>
    <row r="5" spans="1:14" x14ac:dyDescent="0.25">
      <c r="A5" s="5" t="s">
        <v>172</v>
      </c>
      <c r="B5" s="5" t="s">
        <v>40</v>
      </c>
      <c r="C5" s="41" t="s">
        <v>24</v>
      </c>
      <c r="D5" s="41" t="s">
        <v>101</v>
      </c>
      <c r="E5" s="41" t="s">
        <v>164</v>
      </c>
      <c r="F5" s="42">
        <v>42.798163580000001</v>
      </c>
      <c r="G5" s="42">
        <v>53.598879619999998</v>
      </c>
      <c r="H5" s="5" t="s">
        <v>7</v>
      </c>
      <c r="I5" s="5" t="s">
        <v>7</v>
      </c>
      <c r="J5" s="5" t="s">
        <v>103</v>
      </c>
      <c r="K5" s="5"/>
      <c r="L5" s="5"/>
      <c r="M5" s="40"/>
      <c r="N5" s="5">
        <v>3500</v>
      </c>
    </row>
    <row r="6" spans="1:14" x14ac:dyDescent="0.25">
      <c r="A6" s="5" t="s">
        <v>173</v>
      </c>
      <c r="B6" s="5" t="s">
        <v>40</v>
      </c>
      <c r="C6" s="41" t="s">
        <v>24</v>
      </c>
      <c r="D6" s="41" t="s">
        <v>11</v>
      </c>
      <c r="E6" s="41" t="s">
        <v>165</v>
      </c>
      <c r="F6" s="42">
        <v>40.17937457</v>
      </c>
      <c r="G6" s="42">
        <v>-2.0249291820000002</v>
      </c>
      <c r="H6" s="5" t="s">
        <v>7</v>
      </c>
      <c r="I6" s="5"/>
      <c r="J6" s="5" t="s">
        <v>103</v>
      </c>
      <c r="K6" s="5"/>
      <c r="L6" s="5"/>
      <c r="M6" s="40"/>
      <c r="N6" s="5">
        <v>3300</v>
      </c>
    </row>
    <row r="7" spans="1:14" x14ac:dyDescent="0.25">
      <c r="A7" s="5" t="s">
        <v>174</v>
      </c>
      <c r="B7" s="5" t="s">
        <v>40</v>
      </c>
      <c r="C7" s="41" t="s">
        <v>24</v>
      </c>
      <c r="D7" s="41" t="s">
        <v>8</v>
      </c>
      <c r="E7" s="41" t="s">
        <v>166</v>
      </c>
      <c r="F7" s="42">
        <v>54.57668992</v>
      </c>
      <c r="G7" s="42">
        <v>-1.252393053</v>
      </c>
      <c r="H7" s="5" t="s">
        <v>7</v>
      </c>
      <c r="I7" s="5" t="s">
        <v>7</v>
      </c>
      <c r="J7" s="5" t="s">
        <v>103</v>
      </c>
      <c r="K7" s="5"/>
      <c r="L7" s="5"/>
      <c r="M7" s="40"/>
      <c r="N7" s="5">
        <v>3000</v>
      </c>
    </row>
    <row r="8" spans="1:14" x14ac:dyDescent="0.25">
      <c r="A8" s="5" t="s">
        <v>175</v>
      </c>
      <c r="B8" s="5" t="s">
        <v>40</v>
      </c>
      <c r="C8" s="41" t="s">
        <v>24</v>
      </c>
      <c r="D8" s="41" t="s">
        <v>100</v>
      </c>
      <c r="E8" s="41" t="s">
        <v>167</v>
      </c>
      <c r="F8" s="42">
        <v>-7.6821737670000001</v>
      </c>
      <c r="G8" s="42">
        <v>-42.522236970000002</v>
      </c>
      <c r="H8" s="5" t="s">
        <v>7</v>
      </c>
      <c r="I8" s="5" t="s">
        <v>7</v>
      </c>
      <c r="J8" s="5" t="s">
        <v>103</v>
      </c>
      <c r="K8" s="5"/>
      <c r="L8" s="5"/>
      <c r="M8" s="40"/>
      <c r="N8" s="5">
        <v>2800</v>
      </c>
    </row>
    <row r="9" spans="1:14" x14ac:dyDescent="0.25">
      <c r="A9" s="5" t="s">
        <v>176</v>
      </c>
      <c r="B9" s="5" t="s">
        <v>40</v>
      </c>
      <c r="C9" s="41" t="s">
        <v>24</v>
      </c>
      <c r="D9" s="41" t="s">
        <v>102</v>
      </c>
      <c r="E9" s="41" t="s">
        <v>168</v>
      </c>
      <c r="F9" s="41">
        <v>27.671189009999999</v>
      </c>
      <c r="G9" s="41">
        <v>-98.614024819999997</v>
      </c>
      <c r="H9" s="41" t="s">
        <v>7</v>
      </c>
      <c r="I9" s="41" t="s">
        <v>7</v>
      </c>
      <c r="J9" s="5" t="s">
        <v>103</v>
      </c>
      <c r="K9" s="5"/>
      <c r="L9" s="5"/>
      <c r="M9" s="40"/>
      <c r="N9" s="5">
        <v>2600</v>
      </c>
    </row>
    <row r="10" spans="1:14" x14ac:dyDescent="0.25">
      <c r="A10" s="15" t="s">
        <v>178</v>
      </c>
      <c r="B10" s="15" t="s">
        <v>6</v>
      </c>
      <c r="C10" s="31" t="s">
        <v>24</v>
      </c>
      <c r="D10" s="15" t="s">
        <v>102</v>
      </c>
      <c r="E10" s="15" t="s">
        <v>99</v>
      </c>
      <c r="F10" s="15">
        <v>27.788139999999999</v>
      </c>
      <c r="G10" s="15">
        <v>-97.407799999999995</v>
      </c>
      <c r="H10" s="15"/>
      <c r="I10" s="15"/>
      <c r="J10" s="15" t="s">
        <v>103</v>
      </c>
      <c r="K10" s="15"/>
      <c r="L10" s="15"/>
      <c r="M10" s="40"/>
      <c r="N10" s="5"/>
    </row>
    <row r="11" spans="1:14" x14ac:dyDescent="0.25">
      <c r="A11" s="15" t="s">
        <v>179</v>
      </c>
      <c r="B11" s="15" t="s">
        <v>6</v>
      </c>
      <c r="C11" s="31" t="s">
        <v>24</v>
      </c>
      <c r="D11" s="15" t="s">
        <v>12</v>
      </c>
      <c r="E11" s="15" t="s">
        <v>104</v>
      </c>
      <c r="F11" s="15">
        <v>49.278590000000001</v>
      </c>
      <c r="G11" s="15">
        <v>-0.24764</v>
      </c>
      <c r="H11" s="15"/>
      <c r="I11" s="15"/>
      <c r="J11" s="15" t="s">
        <v>103</v>
      </c>
      <c r="K11" s="15"/>
      <c r="L11" s="15"/>
      <c r="M11" s="40"/>
      <c r="N11" s="5"/>
    </row>
    <row r="12" spans="1:14" x14ac:dyDescent="0.25">
      <c r="A12" s="15" t="s">
        <v>181</v>
      </c>
      <c r="B12" s="15" t="s">
        <v>6</v>
      </c>
      <c r="C12" s="31" t="s">
        <v>24</v>
      </c>
      <c r="D12" s="15" t="s">
        <v>111</v>
      </c>
      <c r="E12" s="15" t="s">
        <v>105</v>
      </c>
      <c r="F12" s="15">
        <v>44.743220000000001</v>
      </c>
      <c r="G12" s="15">
        <v>37.767189999999999</v>
      </c>
      <c r="H12" s="15"/>
      <c r="I12" s="15"/>
      <c r="J12" s="15" t="s">
        <v>103</v>
      </c>
      <c r="K12" s="15"/>
      <c r="L12" s="15"/>
      <c r="M12" s="40"/>
      <c r="N12" s="5"/>
    </row>
    <row r="13" spans="1:14" x14ac:dyDescent="0.25">
      <c r="A13" s="15" t="s">
        <v>180</v>
      </c>
      <c r="B13" s="15" t="s">
        <v>6</v>
      </c>
      <c r="C13" s="31" t="s">
        <v>24</v>
      </c>
      <c r="D13" s="15" t="s">
        <v>10</v>
      </c>
      <c r="E13" s="15" t="s">
        <v>177</v>
      </c>
      <c r="F13" s="15">
        <v>29.643411</v>
      </c>
      <c r="G13" s="15">
        <v>32.350848999999997</v>
      </c>
      <c r="H13" s="15"/>
      <c r="I13" s="15"/>
      <c r="J13" s="15" t="s">
        <v>103</v>
      </c>
      <c r="K13" s="15"/>
      <c r="L13" s="15"/>
      <c r="M13" s="40"/>
      <c r="N13" s="5"/>
    </row>
    <row r="14" spans="1:14" x14ac:dyDescent="0.25">
      <c r="A14" s="15" t="s">
        <v>182</v>
      </c>
      <c r="B14" s="15" t="s">
        <v>6</v>
      </c>
      <c r="C14" s="31" t="s">
        <v>24</v>
      </c>
      <c r="D14" s="15" t="s">
        <v>100</v>
      </c>
      <c r="E14" s="15" t="s">
        <v>106</v>
      </c>
      <c r="F14" s="15">
        <v>-3.546179</v>
      </c>
      <c r="G14" s="15">
        <v>-38.8352</v>
      </c>
      <c r="H14" s="15"/>
      <c r="I14" s="15"/>
      <c r="J14" s="15" t="s">
        <v>103</v>
      </c>
      <c r="K14" s="15"/>
      <c r="L14" s="15"/>
      <c r="M14" s="40"/>
      <c r="N14" s="5"/>
    </row>
    <row r="15" spans="1:14" x14ac:dyDescent="0.25">
      <c r="A15" s="15" t="s">
        <v>183</v>
      </c>
      <c r="B15" s="15" t="s">
        <v>6</v>
      </c>
      <c r="C15" s="31" t="s">
        <v>24</v>
      </c>
      <c r="D15" s="15" t="s">
        <v>9</v>
      </c>
      <c r="E15" s="15" t="s">
        <v>107</v>
      </c>
      <c r="F15" s="15">
        <v>-32.98733</v>
      </c>
      <c r="G15" s="15">
        <v>137.75659999999999</v>
      </c>
      <c r="H15" s="15"/>
      <c r="I15" s="15"/>
      <c r="J15" s="15" t="s">
        <v>103</v>
      </c>
      <c r="K15" s="15"/>
      <c r="L15" s="15"/>
      <c r="M15" s="40"/>
      <c r="N15" s="5"/>
    </row>
    <row r="16" spans="1:14" x14ac:dyDescent="0.25">
      <c r="A16" s="15" t="s">
        <v>184</v>
      </c>
      <c r="B16" s="15" t="s">
        <v>6</v>
      </c>
      <c r="C16" s="31" t="s">
        <v>24</v>
      </c>
      <c r="D16" s="15" t="s">
        <v>98</v>
      </c>
      <c r="E16" s="15" t="s">
        <v>108</v>
      </c>
      <c r="F16" s="15">
        <v>17.992450000000002</v>
      </c>
      <c r="G16" s="15">
        <v>-16.0306</v>
      </c>
      <c r="H16" s="15"/>
      <c r="I16" s="15"/>
      <c r="J16" s="15" t="s">
        <v>103</v>
      </c>
      <c r="K16" s="15"/>
      <c r="L16" s="15"/>
      <c r="M16" s="40"/>
      <c r="N16" s="5"/>
    </row>
    <row r="17" spans="1:14" x14ac:dyDescent="0.25">
      <c r="A17" s="15" t="s">
        <v>185</v>
      </c>
      <c r="B17" s="15" t="s">
        <v>6</v>
      </c>
      <c r="C17" s="31" t="s">
        <v>24</v>
      </c>
      <c r="D17" s="15" t="s">
        <v>8</v>
      </c>
      <c r="E17" s="15" t="s">
        <v>109</v>
      </c>
      <c r="F17" s="15">
        <v>51.432940000000002</v>
      </c>
      <c r="G17" s="15">
        <v>0.70109399999999999</v>
      </c>
      <c r="H17" s="15"/>
      <c r="I17" s="15"/>
      <c r="J17" s="15" t="s">
        <v>103</v>
      </c>
      <c r="K17" s="15"/>
      <c r="L17" s="15"/>
      <c r="M17" s="40"/>
      <c r="N17" s="5"/>
    </row>
    <row r="18" spans="1:14" x14ac:dyDescent="0.25">
      <c r="A18" s="15" t="s">
        <v>186</v>
      </c>
      <c r="B18" s="15" t="s">
        <v>6</v>
      </c>
      <c r="C18" s="31" t="s">
        <v>24</v>
      </c>
      <c r="D18" s="15" t="s">
        <v>8</v>
      </c>
      <c r="E18" s="15" t="s">
        <v>110</v>
      </c>
      <c r="F18" s="15">
        <v>54.639090000000003</v>
      </c>
      <c r="G18" s="15">
        <v>-1.1405799999999999</v>
      </c>
      <c r="H18" s="15"/>
      <c r="I18" s="15"/>
      <c r="J18" s="15" t="s">
        <v>103</v>
      </c>
      <c r="K18" s="15"/>
      <c r="L18" s="15"/>
      <c r="M18" s="40"/>
      <c r="N18" s="5"/>
    </row>
    <row r="19" spans="1:14" x14ac:dyDescent="0.25">
      <c r="A19" s="15" t="s">
        <v>252</v>
      </c>
      <c r="B19" s="15" t="s">
        <v>41</v>
      </c>
      <c r="C19" s="31" t="s">
        <v>23</v>
      </c>
      <c r="D19" s="15" t="s">
        <v>8</v>
      </c>
      <c r="E19" s="15" t="s">
        <v>32</v>
      </c>
      <c r="F19" s="15">
        <v>60.270980000000002</v>
      </c>
      <c r="G19" s="15">
        <v>-1.1958599999999999</v>
      </c>
      <c r="H19" s="15"/>
      <c r="I19" s="15"/>
      <c r="J19" s="15"/>
      <c r="K19" s="15" t="s">
        <v>22</v>
      </c>
      <c r="L19" s="15" t="s">
        <v>117</v>
      </c>
      <c r="M19" s="40"/>
      <c r="N19" s="5"/>
    </row>
    <row r="20" spans="1:14" x14ac:dyDescent="0.25">
      <c r="A20" s="15" t="s">
        <v>253</v>
      </c>
      <c r="B20" s="15" t="s">
        <v>41</v>
      </c>
      <c r="C20" s="31" t="s">
        <v>24</v>
      </c>
      <c r="D20" s="15" t="s">
        <v>8</v>
      </c>
      <c r="E20" s="15" t="s">
        <v>187</v>
      </c>
      <c r="F20" s="15">
        <v>58.450530000000001</v>
      </c>
      <c r="G20" s="15">
        <v>-1.85808</v>
      </c>
      <c r="H20" s="15"/>
      <c r="I20" s="15"/>
      <c r="J20" s="15"/>
      <c r="K20" s="15" t="s">
        <v>26</v>
      </c>
      <c r="L20" s="15" t="s">
        <v>188</v>
      </c>
      <c r="M20" s="40"/>
      <c r="N20" s="5"/>
    </row>
    <row r="21" spans="1:14" x14ac:dyDescent="0.25">
      <c r="A21" s="15" t="s">
        <v>254</v>
      </c>
      <c r="B21" s="15" t="s">
        <v>41</v>
      </c>
      <c r="C21" s="31" t="s">
        <v>24</v>
      </c>
      <c r="D21" s="15" t="s">
        <v>8</v>
      </c>
      <c r="E21" s="15" t="s">
        <v>189</v>
      </c>
      <c r="F21" s="15">
        <v>54.601790000000001</v>
      </c>
      <c r="G21" s="15">
        <v>-1.3851</v>
      </c>
      <c r="H21" s="15"/>
      <c r="I21" s="15"/>
      <c r="J21" s="15"/>
      <c r="K21" s="15" t="s">
        <v>22</v>
      </c>
      <c r="L21" s="15" t="s">
        <v>481</v>
      </c>
      <c r="M21" s="40"/>
      <c r="N21" s="5"/>
    </row>
    <row r="22" spans="1:14" x14ac:dyDescent="0.25">
      <c r="A22" s="15" t="s">
        <v>255</v>
      </c>
      <c r="B22" s="15" t="s">
        <v>41</v>
      </c>
      <c r="C22" s="31" t="s">
        <v>24</v>
      </c>
      <c r="D22" s="15" t="s">
        <v>11</v>
      </c>
      <c r="E22" s="15" t="s">
        <v>190</v>
      </c>
      <c r="F22" s="15">
        <v>43.591313999999997</v>
      </c>
      <c r="G22" s="15">
        <v>-5.9596229999999997</v>
      </c>
      <c r="H22" s="15"/>
      <c r="I22" s="15"/>
      <c r="J22" s="15"/>
      <c r="K22" s="15" t="s">
        <v>22</v>
      </c>
      <c r="L22" s="15" t="s">
        <v>121</v>
      </c>
      <c r="M22" s="40"/>
      <c r="N22" s="5"/>
    </row>
    <row r="23" spans="1:14" x14ac:dyDescent="0.25">
      <c r="A23" s="15" t="s">
        <v>256</v>
      </c>
      <c r="B23" s="15" t="s">
        <v>41</v>
      </c>
      <c r="C23" s="31" t="s">
        <v>24</v>
      </c>
      <c r="D23" s="15" t="s">
        <v>11</v>
      </c>
      <c r="E23" s="15" t="s">
        <v>191</v>
      </c>
      <c r="F23" s="15">
        <v>43.526890000000002</v>
      </c>
      <c r="G23" s="15">
        <v>-5.93675</v>
      </c>
      <c r="H23" s="15"/>
      <c r="I23" s="15"/>
      <c r="J23" s="15"/>
      <c r="K23" s="15" t="s">
        <v>22</v>
      </c>
      <c r="L23" s="15" t="s">
        <v>120</v>
      </c>
      <c r="M23" s="40"/>
      <c r="N23" s="5"/>
    </row>
    <row r="24" spans="1:14" x14ac:dyDescent="0.25">
      <c r="A24" s="15" t="s">
        <v>257</v>
      </c>
      <c r="B24" s="15" t="s">
        <v>41</v>
      </c>
      <c r="C24" s="31" t="s">
        <v>24</v>
      </c>
      <c r="D24" s="15" t="s">
        <v>101</v>
      </c>
      <c r="E24" s="15" t="s">
        <v>192</v>
      </c>
      <c r="F24" s="15">
        <v>43.591760000000001</v>
      </c>
      <c r="G24" s="15">
        <v>52.710529999999999</v>
      </c>
      <c r="H24" s="15"/>
      <c r="I24" s="15"/>
      <c r="J24" s="15"/>
      <c r="K24" s="15" t="s">
        <v>83</v>
      </c>
      <c r="L24" s="15" t="s">
        <v>193</v>
      </c>
      <c r="M24" s="40"/>
      <c r="N24" s="5"/>
    </row>
    <row r="25" spans="1:14" x14ac:dyDescent="0.25">
      <c r="A25" s="15" t="s">
        <v>258</v>
      </c>
      <c r="B25" s="15" t="s">
        <v>41</v>
      </c>
      <c r="C25" s="31" t="s">
        <v>24</v>
      </c>
      <c r="D25" s="15" t="s">
        <v>100</v>
      </c>
      <c r="E25" s="15" t="s">
        <v>194</v>
      </c>
      <c r="F25" s="15">
        <v>-8.2045379999999994</v>
      </c>
      <c r="G25" s="15">
        <v>-42.554876</v>
      </c>
      <c r="H25" s="15"/>
      <c r="I25" s="15"/>
      <c r="J25" s="15"/>
      <c r="K25" s="15" t="s">
        <v>83</v>
      </c>
      <c r="L25" s="15" t="s">
        <v>195</v>
      </c>
      <c r="M25" s="40"/>
      <c r="N25" s="5"/>
    </row>
    <row r="26" spans="1:14" x14ac:dyDescent="0.25">
      <c r="A26" s="15" t="s">
        <v>259</v>
      </c>
      <c r="B26" s="15" t="s">
        <v>41</v>
      </c>
      <c r="C26" s="31" t="s">
        <v>24</v>
      </c>
      <c r="D26" s="15" t="s">
        <v>100</v>
      </c>
      <c r="E26" s="15" t="s">
        <v>196</v>
      </c>
      <c r="F26" s="15">
        <v>-8.9258109999999995</v>
      </c>
      <c r="G26" s="15">
        <v>-41.609043</v>
      </c>
      <c r="H26" s="15"/>
      <c r="I26" s="15"/>
      <c r="J26" s="15"/>
      <c r="K26" s="15" t="s">
        <v>22</v>
      </c>
      <c r="L26" s="15" t="s">
        <v>123</v>
      </c>
      <c r="M26" s="40"/>
      <c r="N26" s="5"/>
    </row>
    <row r="27" spans="1:14" x14ac:dyDescent="0.25">
      <c r="A27" s="15" t="s">
        <v>260</v>
      </c>
      <c r="B27" s="15" t="s">
        <v>41</v>
      </c>
      <c r="C27" s="31" t="s">
        <v>24</v>
      </c>
      <c r="D27" s="15" t="s">
        <v>9</v>
      </c>
      <c r="E27" s="15" t="s">
        <v>197</v>
      </c>
      <c r="F27" s="15">
        <v>-30.260100000000001</v>
      </c>
      <c r="G27" s="15">
        <v>127.6859</v>
      </c>
      <c r="H27" s="15"/>
      <c r="I27" s="15"/>
      <c r="J27" s="15"/>
      <c r="K27" s="15" t="s">
        <v>22</v>
      </c>
      <c r="L27" s="15" t="s">
        <v>198</v>
      </c>
      <c r="M27" s="40"/>
      <c r="N27" s="5"/>
    </row>
    <row r="28" spans="1:14" x14ac:dyDescent="0.25">
      <c r="A28" s="15" t="s">
        <v>261</v>
      </c>
      <c r="B28" s="15" t="s">
        <v>41</v>
      </c>
      <c r="C28" s="31" t="s">
        <v>24</v>
      </c>
      <c r="D28" s="15" t="s">
        <v>98</v>
      </c>
      <c r="E28" s="15" t="s">
        <v>199</v>
      </c>
      <c r="F28" s="15">
        <v>18.62110882</v>
      </c>
      <c r="G28" s="15">
        <v>-12.468296369999999</v>
      </c>
      <c r="H28" s="15"/>
      <c r="I28" s="15"/>
      <c r="J28" s="15"/>
      <c r="K28" s="15" t="s">
        <v>83</v>
      </c>
      <c r="L28" s="15" t="s">
        <v>204</v>
      </c>
      <c r="M28" s="40"/>
      <c r="N28" s="5"/>
    </row>
    <row r="29" spans="1:14" x14ac:dyDescent="0.25">
      <c r="A29" s="15" t="s">
        <v>262</v>
      </c>
      <c r="B29" s="15" t="s">
        <v>41</v>
      </c>
      <c r="C29" s="31" t="s">
        <v>24</v>
      </c>
      <c r="D29" s="15" t="s">
        <v>102</v>
      </c>
      <c r="E29" s="15" t="s">
        <v>200</v>
      </c>
      <c r="F29" s="15">
        <v>32.414828999999997</v>
      </c>
      <c r="G29" s="15">
        <v>-102.96584</v>
      </c>
      <c r="H29" s="15"/>
      <c r="I29" s="15"/>
      <c r="J29" s="15"/>
      <c r="K29" s="15" t="s">
        <v>26</v>
      </c>
      <c r="L29" s="15" t="s">
        <v>119</v>
      </c>
      <c r="M29" s="40"/>
      <c r="N29" s="5"/>
    </row>
    <row r="30" spans="1:14" x14ac:dyDescent="0.25">
      <c r="A30" s="15" t="s">
        <v>263</v>
      </c>
      <c r="B30" s="15" t="s">
        <v>41</v>
      </c>
      <c r="C30" s="31" t="s">
        <v>24</v>
      </c>
      <c r="D30" s="15" t="s">
        <v>102</v>
      </c>
      <c r="E30" s="15" t="s">
        <v>201</v>
      </c>
      <c r="F30" s="15">
        <v>29.269278</v>
      </c>
      <c r="G30" s="15">
        <v>-98.456277999999998</v>
      </c>
      <c r="H30" s="15"/>
      <c r="I30" s="15"/>
      <c r="J30" s="15"/>
      <c r="K30" s="15" t="s">
        <v>22</v>
      </c>
      <c r="L30" s="15" t="s">
        <v>118</v>
      </c>
      <c r="M30" s="40"/>
      <c r="N30" s="5"/>
    </row>
    <row r="31" spans="1:14" x14ac:dyDescent="0.25">
      <c r="A31" s="15" t="s">
        <v>264</v>
      </c>
      <c r="B31" s="15" t="s">
        <v>41</v>
      </c>
      <c r="C31" s="31" t="s">
        <v>24</v>
      </c>
      <c r="D31" s="15" t="s">
        <v>102</v>
      </c>
      <c r="E31" s="15" t="s">
        <v>202</v>
      </c>
      <c r="F31" s="15">
        <v>27.481247</v>
      </c>
      <c r="G31" s="15">
        <v>-98.971620000000001</v>
      </c>
      <c r="H31" s="15"/>
      <c r="I31" s="15"/>
      <c r="J31" s="15"/>
      <c r="K31" s="15" t="s">
        <v>22</v>
      </c>
      <c r="L31" s="15" t="s">
        <v>122</v>
      </c>
      <c r="M31" s="40"/>
      <c r="N31" s="5"/>
    </row>
    <row r="32" spans="1:14" x14ac:dyDescent="0.25">
      <c r="A32" s="15" t="s">
        <v>265</v>
      </c>
      <c r="B32" s="15" t="s">
        <v>41</v>
      </c>
      <c r="C32" s="31" t="s">
        <v>24</v>
      </c>
      <c r="D32" s="15" t="s">
        <v>10</v>
      </c>
      <c r="E32" s="15" t="s">
        <v>199</v>
      </c>
      <c r="F32" s="15">
        <v>29.693182440000001</v>
      </c>
      <c r="G32" s="15">
        <v>32.316615409999997</v>
      </c>
      <c r="H32" s="15"/>
      <c r="I32" s="15"/>
      <c r="J32" s="15"/>
      <c r="K32" s="15" t="s">
        <v>83</v>
      </c>
      <c r="L32" s="15" t="s">
        <v>203</v>
      </c>
      <c r="M32" s="40"/>
      <c r="N32" s="5"/>
    </row>
    <row r="33" spans="1:14" x14ac:dyDescent="0.25">
      <c r="A33" s="15" t="s">
        <v>205</v>
      </c>
      <c r="B33" s="5" t="s">
        <v>42</v>
      </c>
      <c r="C33" s="31" t="s">
        <v>24</v>
      </c>
      <c r="D33" s="15" t="s">
        <v>8</v>
      </c>
      <c r="E33" s="15" t="s">
        <v>110</v>
      </c>
      <c r="F33" s="15">
        <v>54.639090000000003</v>
      </c>
      <c r="G33" s="15">
        <v>-1.1405799999999999</v>
      </c>
      <c r="H33" s="15"/>
      <c r="I33" s="15"/>
      <c r="J33" s="15" t="s">
        <v>103</v>
      </c>
      <c r="K33" s="15"/>
      <c r="L33" s="5"/>
      <c r="M33" t="s">
        <v>505</v>
      </c>
      <c r="N33" s="5"/>
    </row>
    <row r="34" spans="1:14" x14ac:dyDescent="0.25">
      <c r="A34" s="1"/>
      <c r="C34" s="32"/>
      <c r="D34" s="1"/>
      <c r="E34" s="1"/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C78B-FD91-47D8-993E-BAC5C00FF432}">
  <dimension ref="A1:Y5"/>
  <sheetViews>
    <sheetView zoomScale="85" zoomScaleNormal="85" workbookViewId="0">
      <selection activeCell="T3" sqref="T3"/>
    </sheetView>
  </sheetViews>
  <sheetFormatPr defaultRowHeight="15" x14ac:dyDescent="0.25"/>
  <cols>
    <col min="3" max="3" width="21.42578125" bestFit="1" customWidth="1"/>
    <col min="5" max="5" width="12.28515625" bestFit="1" customWidth="1"/>
    <col min="12" max="12" width="30.42578125" bestFit="1" customWidth="1"/>
    <col min="15" max="15" width="9.85546875" customWidth="1"/>
    <col min="16" max="16" width="30.42578125" bestFit="1" customWidth="1"/>
    <col min="18" max="18" width="45" bestFit="1" customWidth="1"/>
    <col min="19" max="19" width="9.140625" customWidth="1"/>
    <col min="20" max="20" width="27.5703125" customWidth="1"/>
  </cols>
  <sheetData>
    <row r="1" spans="1:25" ht="45" x14ac:dyDescent="0.25">
      <c r="A1" s="22" t="s">
        <v>13</v>
      </c>
      <c r="B1" s="22" t="s">
        <v>0</v>
      </c>
      <c r="C1" s="22" t="s">
        <v>14</v>
      </c>
      <c r="D1" s="22" t="s">
        <v>63</v>
      </c>
      <c r="E1" s="22" t="s">
        <v>46</v>
      </c>
      <c r="F1" s="22" t="s">
        <v>15</v>
      </c>
      <c r="G1" s="22" t="s">
        <v>47</v>
      </c>
      <c r="H1" s="22" t="s">
        <v>64</v>
      </c>
      <c r="I1" s="22" t="s">
        <v>75</v>
      </c>
      <c r="J1" s="22" t="s">
        <v>30</v>
      </c>
      <c r="K1" s="22" t="s">
        <v>65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44</v>
      </c>
      <c r="Q1" s="3" t="s">
        <v>45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4" t="s">
        <v>48</v>
      </c>
      <c r="Y1" s="4" t="s">
        <v>49</v>
      </c>
    </row>
    <row r="2" spans="1:25" x14ac:dyDescent="0.25">
      <c r="A2" s="5" t="s">
        <v>17</v>
      </c>
      <c r="B2" s="5" t="s">
        <v>18</v>
      </c>
      <c r="C2" s="5" t="s">
        <v>21</v>
      </c>
      <c r="D2" s="5" t="s">
        <v>22</v>
      </c>
      <c r="E2" s="5">
        <f>1000000000/33.3</f>
        <v>30030030.030030031</v>
      </c>
      <c r="F2" s="5">
        <v>1</v>
      </c>
      <c r="G2" s="5" t="s">
        <v>317</v>
      </c>
      <c r="H2" s="5" t="s">
        <v>318</v>
      </c>
      <c r="I2" s="5">
        <v>0</v>
      </c>
      <c r="J2" s="5" t="s">
        <v>24</v>
      </c>
      <c r="K2" s="5" t="s">
        <v>25</v>
      </c>
      <c r="L2" s="9" t="s">
        <v>476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 t="s">
        <v>319</v>
      </c>
      <c r="S2" s="12">
        <v>0</v>
      </c>
      <c r="T2" s="12" t="s">
        <v>86</v>
      </c>
      <c r="U2" s="12">
        <v>0</v>
      </c>
      <c r="V2" s="12">
        <v>0</v>
      </c>
      <c r="W2" s="12">
        <v>0</v>
      </c>
      <c r="X2" s="12" t="s">
        <v>320</v>
      </c>
      <c r="Y2" s="12">
        <v>0</v>
      </c>
    </row>
    <row r="3" spans="1:25" x14ac:dyDescent="0.25">
      <c r="A3" s="5" t="s">
        <v>19</v>
      </c>
      <c r="B3" s="5" t="s">
        <v>20</v>
      </c>
      <c r="C3" s="5" t="s">
        <v>28</v>
      </c>
      <c r="D3" s="5" t="s">
        <v>26</v>
      </c>
      <c r="E3" s="5">
        <f>607*1000*365</f>
        <v>221555000</v>
      </c>
      <c r="F3" s="5" t="s">
        <v>87</v>
      </c>
      <c r="G3" s="5" t="s">
        <v>157</v>
      </c>
      <c r="H3" s="5" t="s">
        <v>321</v>
      </c>
      <c r="I3" s="5">
        <v>0</v>
      </c>
      <c r="J3" s="5" t="s">
        <v>24</v>
      </c>
      <c r="K3" s="5" t="s">
        <v>27</v>
      </c>
      <c r="L3" s="21" t="s">
        <v>322</v>
      </c>
      <c r="M3" s="12">
        <v>0</v>
      </c>
      <c r="N3" s="12" t="s">
        <v>323</v>
      </c>
      <c r="O3" s="12">
        <v>0</v>
      </c>
      <c r="P3" s="12">
        <v>0</v>
      </c>
      <c r="Q3" s="12">
        <v>0</v>
      </c>
      <c r="R3" s="12" t="s">
        <v>324</v>
      </c>
      <c r="S3" s="12">
        <v>0</v>
      </c>
      <c r="T3" s="12" t="s">
        <v>325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</row>
    <row r="4" spans="1:25" x14ac:dyDescent="0.25">
      <c r="K4" s="1"/>
    </row>
    <row r="5" spans="1:25" x14ac:dyDescent="0.25">
      <c r="K5" s="1"/>
      <c r="L5" s="20"/>
      <c r="R5" s="37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8A0A-CBEC-4649-A9D7-9E11ED5A9112}">
  <dimension ref="A1:H41"/>
  <sheetViews>
    <sheetView topLeftCell="A13" workbookViewId="0">
      <selection activeCell="G40" sqref="G40"/>
    </sheetView>
  </sheetViews>
  <sheetFormatPr defaultRowHeight="15" x14ac:dyDescent="0.25"/>
  <cols>
    <col min="4" max="4" width="10" bestFit="1" customWidth="1"/>
    <col min="6" max="6" width="12.28515625" bestFit="1" customWidth="1"/>
    <col min="7" max="7" width="10" bestFit="1" customWidth="1"/>
  </cols>
  <sheetData>
    <row r="1" spans="1:8" x14ac:dyDescent="0.25">
      <c r="A1" t="s">
        <v>449</v>
      </c>
    </row>
    <row r="3" spans="1:8" ht="15.75" thickBot="1" x14ac:dyDescent="0.3"/>
    <row r="4" spans="1:8" ht="15.75" thickBot="1" x14ac:dyDescent="0.3">
      <c r="B4" s="94" t="s">
        <v>450</v>
      </c>
      <c r="C4" s="95"/>
      <c r="D4" t="s">
        <v>461</v>
      </c>
    </row>
    <row r="5" spans="1:8" ht="45.75" thickBot="1" x14ac:dyDescent="0.3">
      <c r="B5" s="57" t="s">
        <v>451</v>
      </c>
      <c r="C5" s="57" t="s">
        <v>452</v>
      </c>
      <c r="D5" t="s">
        <v>462</v>
      </c>
      <c r="E5" t="s">
        <v>462</v>
      </c>
    </row>
    <row r="6" spans="1:8" ht="15.75" thickBot="1" x14ac:dyDescent="0.3">
      <c r="A6" s="5" t="s">
        <v>453</v>
      </c>
      <c r="B6" s="56">
        <v>4.32</v>
      </c>
      <c r="C6" s="56">
        <v>2.16</v>
      </c>
      <c r="D6">
        <f>B6*1000</f>
        <v>4320</v>
      </c>
      <c r="E6">
        <f>C6*1000</f>
        <v>2160</v>
      </c>
      <c r="F6">
        <v>3.1435000000000004</v>
      </c>
      <c r="G6">
        <f>F6*D6</f>
        <v>13579.920000000002</v>
      </c>
      <c r="H6">
        <f>F6*E6</f>
        <v>6789.9600000000009</v>
      </c>
    </row>
    <row r="7" spans="1:8" ht="15.75" thickBot="1" x14ac:dyDescent="0.3">
      <c r="A7" s="5" t="s">
        <v>454</v>
      </c>
      <c r="B7" s="56">
        <v>1.71</v>
      </c>
      <c r="C7" s="56">
        <v>0.76500000000000001</v>
      </c>
      <c r="D7">
        <f t="shared" ref="D7:D13" si="0">B7*1000</f>
        <v>1710</v>
      </c>
      <c r="E7">
        <f t="shared" ref="E7:E13" si="1">C7*1000</f>
        <v>765</v>
      </c>
      <c r="F7">
        <v>5.8310000000000004</v>
      </c>
      <c r="G7">
        <f t="shared" ref="G7:G13" si="2">F7*D7</f>
        <v>9971.01</v>
      </c>
      <c r="H7">
        <f t="shared" ref="H7:H13" si="3">F7*E7</f>
        <v>4460.7150000000001</v>
      </c>
    </row>
    <row r="8" spans="1:8" ht="15.75" thickBot="1" x14ac:dyDescent="0.3">
      <c r="A8" s="5" t="s">
        <v>455</v>
      </c>
      <c r="B8" s="56">
        <v>0.09</v>
      </c>
      <c r="C8" s="56">
        <v>4.4999999999999998E-2</v>
      </c>
      <c r="D8">
        <f t="shared" si="0"/>
        <v>90</v>
      </c>
      <c r="E8">
        <f t="shared" si="1"/>
        <v>45</v>
      </c>
      <c r="F8">
        <v>13.075000000000001</v>
      </c>
      <c r="G8">
        <f t="shared" si="2"/>
        <v>1176.75</v>
      </c>
      <c r="H8">
        <f t="shared" si="3"/>
        <v>588.375</v>
      </c>
    </row>
    <row r="9" spans="1:8" ht="15.75" thickBot="1" x14ac:dyDescent="0.3">
      <c r="A9" s="58" t="s">
        <v>456</v>
      </c>
      <c r="B9" s="56">
        <v>0.09</v>
      </c>
      <c r="C9" s="56">
        <v>4.4999999999999998E-2</v>
      </c>
      <c r="D9">
        <f t="shared" si="0"/>
        <v>90</v>
      </c>
      <c r="E9">
        <f t="shared" si="1"/>
        <v>45</v>
      </c>
      <c r="F9">
        <v>3.9994999999999998</v>
      </c>
      <c r="G9">
        <f t="shared" si="2"/>
        <v>359.95499999999998</v>
      </c>
      <c r="H9">
        <f t="shared" si="3"/>
        <v>179.97749999999999</v>
      </c>
    </row>
    <row r="10" spans="1:8" ht="15.75" thickBot="1" x14ac:dyDescent="0.3">
      <c r="A10" s="5" t="s">
        <v>457</v>
      </c>
      <c r="B10" s="56">
        <v>0.27</v>
      </c>
      <c r="C10" s="56">
        <v>0.13500000000000001</v>
      </c>
      <c r="D10">
        <f t="shared" si="0"/>
        <v>270</v>
      </c>
      <c r="E10">
        <f t="shared" si="1"/>
        <v>135</v>
      </c>
      <c r="F10">
        <v>2.3254999999999999</v>
      </c>
      <c r="G10">
        <f t="shared" si="2"/>
        <v>627.88499999999999</v>
      </c>
      <c r="H10">
        <f t="shared" si="3"/>
        <v>313.9425</v>
      </c>
    </row>
    <row r="11" spans="1:8" ht="75.75" thickBot="1" x14ac:dyDescent="0.3">
      <c r="A11" s="58" t="s">
        <v>458</v>
      </c>
      <c r="B11" s="56">
        <v>0.99</v>
      </c>
      <c r="C11" s="56">
        <v>0.495</v>
      </c>
      <c r="D11">
        <f t="shared" si="0"/>
        <v>990</v>
      </c>
      <c r="E11">
        <f t="shared" si="1"/>
        <v>495</v>
      </c>
      <c r="F11" t="e">
        <v>#N/A</v>
      </c>
      <c r="G11" t="e">
        <f t="shared" si="2"/>
        <v>#N/A</v>
      </c>
      <c r="H11" t="e">
        <f t="shared" si="3"/>
        <v>#N/A</v>
      </c>
    </row>
    <row r="12" spans="1:8" ht="90.75" thickBot="1" x14ac:dyDescent="0.3">
      <c r="A12" s="58" t="s">
        <v>459</v>
      </c>
      <c r="B12" s="56">
        <v>0.18</v>
      </c>
      <c r="C12" s="56">
        <v>0.09</v>
      </c>
      <c r="D12">
        <f t="shared" si="0"/>
        <v>180</v>
      </c>
      <c r="E12">
        <f t="shared" si="1"/>
        <v>90</v>
      </c>
      <c r="F12" t="e">
        <v>#N/A</v>
      </c>
      <c r="G12" t="e">
        <f t="shared" si="2"/>
        <v>#N/A</v>
      </c>
      <c r="H12" t="e">
        <f t="shared" si="3"/>
        <v>#N/A</v>
      </c>
    </row>
    <row r="13" spans="1:8" ht="15.75" thickBot="1" x14ac:dyDescent="0.3">
      <c r="A13" s="58" t="s">
        <v>460</v>
      </c>
      <c r="B13" s="56">
        <v>5.04</v>
      </c>
      <c r="C13" s="56">
        <v>2.52</v>
      </c>
      <c r="D13">
        <f t="shared" si="0"/>
        <v>5040</v>
      </c>
      <c r="E13">
        <f t="shared" si="1"/>
        <v>2520</v>
      </c>
      <c r="F13">
        <v>0.1</v>
      </c>
      <c r="G13">
        <f t="shared" si="2"/>
        <v>504</v>
      </c>
      <c r="H13">
        <f t="shared" si="3"/>
        <v>252</v>
      </c>
    </row>
    <row r="14" spans="1:8" x14ac:dyDescent="0.25">
      <c r="G14" s="14" cm="1">
        <f t="array" ref="G14">SUM(G6:G10+G13)*1000</f>
        <v>28235520</v>
      </c>
      <c r="H14" s="14" cm="1">
        <f t="array" ref="H14">SUM(H6:H10+H13)*1000</f>
        <v>13592970</v>
      </c>
    </row>
    <row r="18" spans="1:8" x14ac:dyDescent="0.25">
      <c r="A18" s="62" t="s">
        <v>463</v>
      </c>
      <c r="D18" s="59">
        <v>7979.1</v>
      </c>
      <c r="E18" s="59">
        <v>2518.1999999999998</v>
      </c>
      <c r="F18" s="23">
        <v>122</v>
      </c>
      <c r="G18" s="14">
        <f>F18*D18</f>
        <v>973450.20000000007</v>
      </c>
      <c r="H18" s="14">
        <f t="shared" ref="H18:H33" si="4">F18*E18</f>
        <v>307220.39999999997</v>
      </c>
    </row>
    <row r="19" spans="1:8" x14ac:dyDescent="0.25">
      <c r="A19" s="62" t="s">
        <v>464</v>
      </c>
      <c r="D19" s="59">
        <v>167.9</v>
      </c>
      <c r="E19" s="59">
        <v>7.9</v>
      </c>
      <c r="F19" s="64">
        <v>71023</v>
      </c>
      <c r="G19" s="14">
        <f t="shared" ref="G19:G33" si="5">F19*D19</f>
        <v>11924761.700000001</v>
      </c>
      <c r="H19" s="14">
        <f t="shared" si="4"/>
        <v>561081.70000000007</v>
      </c>
    </row>
    <row r="20" spans="1:8" ht="15.75" thickBot="1" x14ac:dyDescent="0.3">
      <c r="A20" s="63" t="s">
        <v>465</v>
      </c>
      <c r="D20" s="60">
        <v>251.9</v>
      </c>
      <c r="E20" s="61">
        <v>11.9</v>
      </c>
      <c r="F20" s="65">
        <v>2.3746</v>
      </c>
      <c r="G20" s="14">
        <f t="shared" si="5"/>
        <v>598.16174000000001</v>
      </c>
      <c r="H20" s="14">
        <f t="shared" si="4"/>
        <v>28.257740000000002</v>
      </c>
    </row>
    <row r="21" spans="1:8" ht="15.75" thickBot="1" x14ac:dyDescent="0.3">
      <c r="A21" s="63" t="s">
        <v>463</v>
      </c>
      <c r="D21" s="60">
        <v>2014.9</v>
      </c>
      <c r="E21" s="61">
        <v>95.4</v>
      </c>
      <c r="F21" s="23">
        <v>122</v>
      </c>
      <c r="G21" s="14">
        <f t="shared" si="5"/>
        <v>245817.80000000002</v>
      </c>
      <c r="H21" s="14">
        <f t="shared" si="4"/>
        <v>11638.800000000001</v>
      </c>
    </row>
    <row r="22" spans="1:8" ht="15.75" thickBot="1" x14ac:dyDescent="0.3">
      <c r="A22" s="63" t="s">
        <v>466</v>
      </c>
      <c r="D22" s="60">
        <v>181.9</v>
      </c>
      <c r="E22" s="61">
        <v>8.6</v>
      </c>
      <c r="F22" s="64">
        <v>4.0625999999999998E-4</v>
      </c>
      <c r="G22" s="14">
        <f t="shared" si="5"/>
        <v>7.3898694000000001E-2</v>
      </c>
      <c r="H22" s="14">
        <f t="shared" si="4"/>
        <v>3.4938359999999997E-3</v>
      </c>
    </row>
    <row r="23" spans="1:8" ht="15.75" thickBot="1" x14ac:dyDescent="0.3">
      <c r="A23" s="63" t="s">
        <v>467</v>
      </c>
      <c r="D23" s="60">
        <v>181.9</v>
      </c>
      <c r="E23" s="61">
        <v>8.6</v>
      </c>
      <c r="F23" s="64">
        <v>0.93859999999999999</v>
      </c>
      <c r="G23" s="14">
        <f t="shared" si="5"/>
        <v>170.73134000000002</v>
      </c>
      <c r="H23" s="14">
        <f t="shared" si="4"/>
        <v>8.0719599999999989</v>
      </c>
    </row>
    <row r="24" spans="1:8" ht="21" thickBot="1" x14ac:dyDescent="0.3">
      <c r="A24" s="63" t="s">
        <v>468</v>
      </c>
      <c r="D24" s="60">
        <v>447.8</v>
      </c>
      <c r="E24" s="61">
        <v>15.9</v>
      </c>
      <c r="F24" s="66">
        <v>80391</v>
      </c>
      <c r="G24" s="14">
        <f t="shared" si="5"/>
        <v>35999089.800000004</v>
      </c>
      <c r="H24" s="14">
        <f t="shared" si="4"/>
        <v>1278216.9000000001</v>
      </c>
    </row>
    <row r="25" spans="1:8" ht="15.75" thickBot="1" x14ac:dyDescent="0.3">
      <c r="A25" s="63" t="s">
        <v>469</v>
      </c>
      <c r="D25" s="60">
        <v>2758.2</v>
      </c>
      <c r="E25" s="61">
        <v>1958.6</v>
      </c>
      <c r="F25" s="64">
        <v>83.569000000000003</v>
      </c>
      <c r="G25" s="14">
        <f t="shared" si="5"/>
        <v>230500.01579999999</v>
      </c>
      <c r="H25" s="14">
        <f t="shared" si="4"/>
        <v>163678.24340000001</v>
      </c>
    </row>
    <row r="26" spans="1:8" ht="15.75" thickBot="1" x14ac:dyDescent="0.3">
      <c r="A26" s="63" t="s">
        <v>470</v>
      </c>
      <c r="D26" s="60">
        <v>151320.9</v>
      </c>
      <c r="E26" s="61">
        <v>0</v>
      </c>
      <c r="F26" s="64">
        <v>49.104999999999997</v>
      </c>
      <c r="G26" s="14">
        <f t="shared" si="5"/>
        <v>7430612.7944999989</v>
      </c>
      <c r="H26" s="14">
        <f t="shared" si="4"/>
        <v>0</v>
      </c>
    </row>
    <row r="27" spans="1:8" ht="15.75" thickBot="1" x14ac:dyDescent="0.3">
      <c r="A27" s="63" t="s">
        <v>471</v>
      </c>
      <c r="D27" s="60">
        <v>86.4</v>
      </c>
      <c r="E27" s="61">
        <v>0</v>
      </c>
      <c r="F27" s="64">
        <v>63929</v>
      </c>
      <c r="G27" s="14">
        <f t="shared" si="5"/>
        <v>5523465.6000000006</v>
      </c>
      <c r="H27" s="14">
        <f t="shared" si="4"/>
        <v>0</v>
      </c>
    </row>
    <row r="28" spans="1:8" ht="15.75" thickBot="1" x14ac:dyDescent="0.3">
      <c r="A28" s="63" t="s">
        <v>472</v>
      </c>
      <c r="D28" s="60">
        <v>0</v>
      </c>
      <c r="E28" s="61">
        <v>381538.5</v>
      </c>
      <c r="F28" s="64">
        <v>5.0789999999999997</v>
      </c>
      <c r="G28" s="14">
        <f t="shared" si="5"/>
        <v>0</v>
      </c>
      <c r="H28" s="14">
        <f t="shared" si="4"/>
        <v>1937834.0414999998</v>
      </c>
    </row>
    <row r="29" spans="1:8" ht="15.75" thickBot="1" x14ac:dyDescent="0.3">
      <c r="A29" s="63" t="s">
        <v>473</v>
      </c>
      <c r="D29" s="60">
        <v>0</v>
      </c>
      <c r="E29" s="61">
        <v>54496.4</v>
      </c>
      <c r="F29" s="64">
        <v>174.03</v>
      </c>
      <c r="G29" s="14">
        <f t="shared" si="5"/>
        <v>0</v>
      </c>
      <c r="H29" s="14">
        <f t="shared" si="4"/>
        <v>9484008.4920000006</v>
      </c>
    </row>
    <row r="30" spans="1:8" ht="15.75" thickBot="1" x14ac:dyDescent="0.3">
      <c r="A30" s="63" t="s">
        <v>474</v>
      </c>
      <c r="D30" s="60">
        <v>30630.1</v>
      </c>
      <c r="E30" s="61">
        <v>44589</v>
      </c>
      <c r="F30" s="64">
        <v>8.8917000000000002</v>
      </c>
      <c r="G30" s="14">
        <f t="shared" si="5"/>
        <v>272353.66016999999</v>
      </c>
      <c r="H30" s="14">
        <f t="shared" si="4"/>
        <v>396472.01130000001</v>
      </c>
    </row>
    <row r="31" spans="1:8" ht="15.75" thickBot="1" x14ac:dyDescent="0.3">
      <c r="A31" s="63" t="s">
        <v>472</v>
      </c>
      <c r="D31" s="60">
        <v>250746.3</v>
      </c>
      <c r="E31" s="61">
        <v>183138.5</v>
      </c>
      <c r="F31" s="64">
        <v>5.0789999999999997</v>
      </c>
      <c r="G31" s="14">
        <f t="shared" si="5"/>
        <v>1273540.4576999999</v>
      </c>
      <c r="H31" s="14">
        <f t="shared" si="4"/>
        <v>930160.44149999996</v>
      </c>
    </row>
    <row r="32" spans="1:8" ht="15.75" thickBot="1" x14ac:dyDescent="0.3">
      <c r="A32" s="63" t="s">
        <v>471</v>
      </c>
      <c r="D32" s="60">
        <v>242</v>
      </c>
      <c r="E32" s="61">
        <v>0</v>
      </c>
      <c r="F32" s="64">
        <v>63929</v>
      </c>
      <c r="G32" s="14">
        <f t="shared" si="5"/>
        <v>15470818</v>
      </c>
      <c r="H32" s="14">
        <f t="shared" si="4"/>
        <v>0</v>
      </c>
    </row>
    <row r="33" spans="1:8" ht="15.75" thickBot="1" x14ac:dyDescent="0.3">
      <c r="A33" s="63" t="s">
        <v>473</v>
      </c>
      <c r="D33" s="60">
        <v>0</v>
      </c>
      <c r="E33" s="61">
        <v>156949.70000000001</v>
      </c>
      <c r="F33" s="64">
        <v>174.03</v>
      </c>
      <c r="G33" s="14">
        <f t="shared" si="5"/>
        <v>0</v>
      </c>
      <c r="H33" s="14">
        <f t="shared" si="4"/>
        <v>27313956.291000001</v>
      </c>
    </row>
    <row r="34" spans="1:8" ht="15.75" thickBot="1" x14ac:dyDescent="0.3">
      <c r="A34" s="63" t="s">
        <v>475</v>
      </c>
      <c r="D34" s="60">
        <v>19047.7</v>
      </c>
      <c r="E34" s="61">
        <v>6731.6</v>
      </c>
      <c r="F34" s="64">
        <v>19.149999999999999</v>
      </c>
      <c r="G34" s="14">
        <f>F34*D34</f>
        <v>364763.45499999996</v>
      </c>
      <c r="H34" s="14">
        <f>F34*E34</f>
        <v>128910.14</v>
      </c>
    </row>
    <row r="36" spans="1:8" x14ac:dyDescent="0.25">
      <c r="G36" s="14">
        <f>SUM(G18:G34)</f>
        <v>79709942.450148687</v>
      </c>
      <c r="H36" s="14">
        <f>SUM(H18:H34)</f>
        <v>42513213.793893836</v>
      </c>
    </row>
    <row r="38" spans="1:8" x14ac:dyDescent="0.25">
      <c r="G38" s="14">
        <f>G36+G14</f>
        <v>107945462.45014869</v>
      </c>
      <c r="H38" s="14">
        <f>H36+H14</f>
        <v>56106183.793893836</v>
      </c>
    </row>
    <row r="39" spans="1:8" x14ac:dyDescent="0.25">
      <c r="D39" s="14">
        <v>660000000</v>
      </c>
    </row>
    <row r="40" spans="1:8" x14ac:dyDescent="0.25">
      <c r="D40" s="14">
        <v>75000000</v>
      </c>
      <c r="G40">
        <v>107945462</v>
      </c>
      <c r="H40">
        <v>56106183</v>
      </c>
    </row>
    <row r="41" spans="1:8" x14ac:dyDescent="0.25">
      <c r="D41" s="9"/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3329-530B-435B-A658-CFB2B7E3DCDA}">
  <dimension ref="A1:AC28"/>
  <sheetViews>
    <sheetView workbookViewId="0">
      <selection activeCell="K16" sqref="K16"/>
    </sheetView>
  </sheetViews>
  <sheetFormatPr defaultRowHeight="15" x14ac:dyDescent="0.25"/>
  <cols>
    <col min="3" max="4" width="6.5703125" customWidth="1"/>
    <col min="5" max="5" width="11" bestFit="1" customWidth="1"/>
    <col min="6" max="10" width="6.5703125" customWidth="1"/>
    <col min="11" max="11" width="9.7109375" bestFit="1" customWidth="1"/>
    <col min="12" max="14" width="6.5703125" customWidth="1"/>
    <col min="15" max="15" width="15.7109375" bestFit="1" customWidth="1"/>
    <col min="16" max="20" width="6.5703125" customWidth="1"/>
    <col min="21" max="21" width="29.85546875" bestFit="1" customWidth="1"/>
    <col min="22" max="22" width="16.5703125" bestFit="1" customWidth="1"/>
    <col min="23" max="23" width="6.5703125" customWidth="1"/>
    <col min="24" max="24" width="16.5703125" customWidth="1"/>
    <col min="25" max="25" width="22.28515625" customWidth="1"/>
    <col min="26" max="29" width="6.5703125" customWidth="1"/>
  </cols>
  <sheetData>
    <row r="1" spans="1:29" ht="75" x14ac:dyDescent="0.25">
      <c r="A1" s="2" t="s">
        <v>13</v>
      </c>
      <c r="B1" s="2" t="s">
        <v>0</v>
      </c>
      <c r="C1" s="2" t="s">
        <v>14</v>
      </c>
      <c r="D1" s="2" t="s">
        <v>33</v>
      </c>
      <c r="E1" s="2" t="s">
        <v>46</v>
      </c>
      <c r="F1" s="2" t="s">
        <v>15</v>
      </c>
      <c r="G1" s="2" t="s">
        <v>47</v>
      </c>
      <c r="H1" s="2" t="s">
        <v>61</v>
      </c>
      <c r="I1" s="2" t="s">
        <v>62</v>
      </c>
      <c r="J1" s="2" t="s">
        <v>16</v>
      </c>
      <c r="K1" s="2" t="s">
        <v>75</v>
      </c>
      <c r="L1" s="2" t="s">
        <v>77</v>
      </c>
      <c r="M1" s="2" t="s">
        <v>30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44</v>
      </c>
      <c r="S1" s="3" t="s">
        <v>45</v>
      </c>
      <c r="T1" s="3" t="s">
        <v>55</v>
      </c>
      <c r="U1" s="3" t="s">
        <v>56</v>
      </c>
      <c r="V1" s="3" t="s">
        <v>57</v>
      </c>
      <c r="W1" s="3" t="s">
        <v>58</v>
      </c>
      <c r="X1" s="3" t="s">
        <v>59</v>
      </c>
      <c r="Y1" s="3" t="s">
        <v>60</v>
      </c>
      <c r="Z1" s="4" t="s">
        <v>29</v>
      </c>
      <c r="AA1" s="4" t="s">
        <v>48</v>
      </c>
      <c r="AB1" s="4" t="s">
        <v>49</v>
      </c>
      <c r="AC1" s="2" t="s">
        <v>50</v>
      </c>
    </row>
    <row r="2" spans="1:29" x14ac:dyDescent="0.25">
      <c r="B2">
        <v>1</v>
      </c>
      <c r="C2" t="s">
        <v>88</v>
      </c>
      <c r="D2" t="s">
        <v>34</v>
      </c>
      <c r="E2" s="14">
        <f>13000000000/33.3</f>
        <v>390390390.3903904</v>
      </c>
      <c r="F2" t="s">
        <v>327</v>
      </c>
      <c r="G2" t="s">
        <v>328</v>
      </c>
      <c r="H2" t="s">
        <v>70</v>
      </c>
      <c r="I2">
        <v>72</v>
      </c>
      <c r="J2" t="s">
        <v>331</v>
      </c>
      <c r="K2" t="s">
        <v>421</v>
      </c>
      <c r="L2">
        <v>1200</v>
      </c>
      <c r="M2" t="s">
        <v>23</v>
      </c>
      <c r="O2" s="14" t="s">
        <v>336</v>
      </c>
      <c r="U2" t="s">
        <v>337</v>
      </c>
      <c r="V2" t="s">
        <v>333</v>
      </c>
      <c r="W2" s="27" t="s">
        <v>332</v>
      </c>
      <c r="Z2" t="s">
        <v>34</v>
      </c>
      <c r="AA2" t="s">
        <v>334</v>
      </c>
      <c r="AB2" t="s">
        <v>421</v>
      </c>
      <c r="AC2" t="s">
        <v>37</v>
      </c>
    </row>
    <row r="3" spans="1:29" x14ac:dyDescent="0.25">
      <c r="B3">
        <v>3</v>
      </c>
      <c r="C3" t="s">
        <v>89</v>
      </c>
      <c r="D3" t="s">
        <v>34</v>
      </c>
      <c r="E3" s="14">
        <f>13000000000/33.3</f>
        <v>390390390.3903904</v>
      </c>
      <c r="F3" t="s">
        <v>327</v>
      </c>
      <c r="G3" t="s">
        <v>328</v>
      </c>
      <c r="H3" t="s">
        <v>70</v>
      </c>
      <c r="I3">
        <v>72</v>
      </c>
      <c r="J3" t="s">
        <v>331</v>
      </c>
      <c r="K3" t="s">
        <v>421</v>
      </c>
      <c r="L3">
        <v>5000</v>
      </c>
      <c r="M3" t="s">
        <v>24</v>
      </c>
      <c r="O3" s="14" t="s">
        <v>335</v>
      </c>
      <c r="U3" t="s">
        <v>338</v>
      </c>
      <c r="V3" t="s">
        <v>333</v>
      </c>
      <c r="W3" s="27" t="s">
        <v>332</v>
      </c>
      <c r="Z3" t="s">
        <v>34</v>
      </c>
      <c r="AA3" t="s">
        <v>334</v>
      </c>
      <c r="AB3" t="s">
        <v>421</v>
      </c>
      <c r="AC3" t="s">
        <v>37</v>
      </c>
    </row>
    <row r="4" spans="1:29" x14ac:dyDescent="0.25">
      <c r="B4">
        <v>5</v>
      </c>
      <c r="C4" t="s">
        <v>90</v>
      </c>
      <c r="D4" t="s">
        <v>26</v>
      </c>
      <c r="E4">
        <f>8.8*1600000</f>
        <v>14080000.000000002</v>
      </c>
      <c r="F4" t="s">
        <v>327</v>
      </c>
      <c r="G4" t="s">
        <v>328</v>
      </c>
      <c r="H4" t="s">
        <v>70</v>
      </c>
      <c r="I4">
        <v>72</v>
      </c>
      <c r="J4">
        <v>1</v>
      </c>
      <c r="K4">
        <v>0</v>
      </c>
      <c r="L4">
        <v>1200</v>
      </c>
      <c r="M4" t="s">
        <v>23</v>
      </c>
      <c r="O4" s="14" t="s">
        <v>330</v>
      </c>
      <c r="U4" s="14" t="s">
        <v>414</v>
      </c>
      <c r="W4" t="s">
        <v>329</v>
      </c>
      <c r="Z4" t="s">
        <v>26</v>
      </c>
      <c r="AA4">
        <v>0</v>
      </c>
      <c r="AB4">
        <v>0</v>
      </c>
      <c r="AC4" t="s">
        <v>37</v>
      </c>
    </row>
    <row r="5" spans="1:29" x14ac:dyDescent="0.25">
      <c r="B5">
        <v>6</v>
      </c>
      <c r="C5" t="s">
        <v>326</v>
      </c>
      <c r="D5" t="s">
        <v>26</v>
      </c>
      <c r="E5">
        <f>9.95*1100000</f>
        <v>10945000</v>
      </c>
      <c r="F5" t="s">
        <v>327</v>
      </c>
      <c r="G5" t="s">
        <v>328</v>
      </c>
      <c r="H5" t="s">
        <v>70</v>
      </c>
      <c r="I5">
        <v>72</v>
      </c>
      <c r="J5">
        <v>1</v>
      </c>
      <c r="K5">
        <v>0</v>
      </c>
      <c r="L5">
        <v>5000</v>
      </c>
      <c r="M5" t="s">
        <v>24</v>
      </c>
      <c r="N5" s="14"/>
      <c r="O5" s="14" t="s">
        <v>426</v>
      </c>
      <c r="U5" s="14" t="s">
        <v>415</v>
      </c>
      <c r="W5" t="s">
        <v>329</v>
      </c>
      <c r="Z5" t="s">
        <v>26</v>
      </c>
      <c r="AA5">
        <v>0</v>
      </c>
      <c r="AB5">
        <v>0</v>
      </c>
      <c r="AC5" t="s">
        <v>37</v>
      </c>
    </row>
    <row r="6" spans="1:29" x14ac:dyDescent="0.25">
      <c r="B6">
        <v>7</v>
      </c>
      <c r="C6" t="s">
        <v>92</v>
      </c>
      <c r="D6" t="s">
        <v>22</v>
      </c>
      <c r="E6">
        <f>600*1000*365*24</f>
        <v>5256000000</v>
      </c>
      <c r="F6">
        <v>0.5</v>
      </c>
      <c r="G6" t="s">
        <v>157</v>
      </c>
      <c r="H6" t="s">
        <v>80</v>
      </c>
      <c r="I6">
        <v>0</v>
      </c>
      <c r="J6" t="s">
        <v>339</v>
      </c>
      <c r="K6">
        <v>0</v>
      </c>
      <c r="L6">
        <v>800</v>
      </c>
      <c r="M6" t="s">
        <v>23</v>
      </c>
      <c r="O6" s="14" t="s">
        <v>340</v>
      </c>
      <c r="U6" t="s">
        <v>416</v>
      </c>
      <c r="W6" s="38"/>
      <c r="Z6" t="s">
        <v>22</v>
      </c>
      <c r="AA6">
        <v>0</v>
      </c>
      <c r="AB6">
        <v>0</v>
      </c>
      <c r="AC6" t="s">
        <v>38</v>
      </c>
    </row>
    <row r="7" spans="1:29" x14ac:dyDescent="0.25">
      <c r="B7">
        <v>8</v>
      </c>
      <c r="C7" t="s">
        <v>91</v>
      </c>
      <c r="D7" t="s">
        <v>22</v>
      </c>
      <c r="E7">
        <f>600*1000*365*24</f>
        <v>5256000000</v>
      </c>
      <c r="F7">
        <v>0.5</v>
      </c>
      <c r="G7" t="s">
        <v>157</v>
      </c>
      <c r="H7" t="s">
        <v>80</v>
      </c>
      <c r="I7">
        <v>0</v>
      </c>
      <c r="J7" t="s">
        <v>339</v>
      </c>
      <c r="K7">
        <v>0</v>
      </c>
      <c r="L7">
        <v>2500</v>
      </c>
      <c r="M7" t="s">
        <v>24</v>
      </c>
      <c r="O7" s="14" t="s">
        <v>341</v>
      </c>
      <c r="U7" t="s">
        <v>417</v>
      </c>
      <c r="W7" s="27"/>
      <c r="Z7" t="s">
        <v>22</v>
      </c>
      <c r="AA7">
        <v>0</v>
      </c>
      <c r="AB7">
        <v>0</v>
      </c>
      <c r="AC7" t="s">
        <v>38</v>
      </c>
    </row>
    <row r="8" spans="1:29" x14ac:dyDescent="0.25">
      <c r="B8">
        <v>9</v>
      </c>
      <c r="C8" t="s">
        <v>342</v>
      </c>
      <c r="D8" t="s">
        <v>35</v>
      </c>
      <c r="E8">
        <v>11376000</v>
      </c>
      <c r="F8" t="s">
        <v>327</v>
      </c>
      <c r="G8" t="s">
        <v>345</v>
      </c>
      <c r="H8" t="s">
        <v>70</v>
      </c>
      <c r="I8" t="s">
        <v>346</v>
      </c>
      <c r="J8" t="s">
        <v>347</v>
      </c>
      <c r="K8" t="s">
        <v>422</v>
      </c>
      <c r="L8">
        <v>500000</v>
      </c>
      <c r="M8" t="s">
        <v>23</v>
      </c>
      <c r="N8" s="14" t="s">
        <v>348</v>
      </c>
      <c r="T8" t="s">
        <v>418</v>
      </c>
      <c r="U8" s="9"/>
      <c r="V8" t="s">
        <v>356</v>
      </c>
      <c r="W8" s="27" t="s">
        <v>349</v>
      </c>
      <c r="Z8" t="s">
        <v>35</v>
      </c>
      <c r="AA8" t="s">
        <v>350</v>
      </c>
      <c r="AB8" t="s">
        <v>422</v>
      </c>
      <c r="AC8" t="s">
        <v>39</v>
      </c>
    </row>
    <row r="9" spans="1:29" x14ac:dyDescent="0.25">
      <c r="B9">
        <v>10</v>
      </c>
      <c r="C9" t="s">
        <v>343</v>
      </c>
      <c r="D9" t="s">
        <v>36</v>
      </c>
      <c r="E9">
        <v>1926176</v>
      </c>
      <c r="F9" t="s">
        <v>327</v>
      </c>
      <c r="G9" t="s">
        <v>345</v>
      </c>
      <c r="H9" t="s">
        <v>70</v>
      </c>
      <c r="I9" t="s">
        <v>346</v>
      </c>
      <c r="J9" t="s">
        <v>354</v>
      </c>
      <c r="K9" t="s">
        <v>424</v>
      </c>
      <c r="L9">
        <v>500000</v>
      </c>
      <c r="M9" t="s">
        <v>23</v>
      </c>
      <c r="N9" s="14" t="s">
        <v>348</v>
      </c>
      <c r="T9" t="s">
        <v>418</v>
      </c>
      <c r="V9" t="s">
        <v>355</v>
      </c>
      <c r="W9" s="27" t="s">
        <v>351</v>
      </c>
      <c r="Z9" t="s">
        <v>36</v>
      </c>
      <c r="AA9">
        <v>0</v>
      </c>
      <c r="AB9">
        <v>0</v>
      </c>
      <c r="AC9" t="s">
        <v>39</v>
      </c>
    </row>
    <row r="10" spans="1:29" x14ac:dyDescent="0.25">
      <c r="B10">
        <v>11</v>
      </c>
      <c r="C10" t="s">
        <v>344</v>
      </c>
      <c r="D10" t="s">
        <v>76</v>
      </c>
      <c r="E10">
        <v>1422000</v>
      </c>
      <c r="F10" t="s">
        <v>327</v>
      </c>
      <c r="G10" t="s">
        <v>345</v>
      </c>
      <c r="H10" t="s">
        <v>70</v>
      </c>
      <c r="I10" t="s">
        <v>346</v>
      </c>
      <c r="J10" t="s">
        <v>353</v>
      </c>
      <c r="K10">
        <v>0</v>
      </c>
      <c r="L10">
        <v>500000</v>
      </c>
      <c r="M10" t="s">
        <v>23</v>
      </c>
      <c r="N10" s="14" t="s">
        <v>348</v>
      </c>
      <c r="T10" t="s">
        <v>418</v>
      </c>
      <c r="V10" t="s">
        <v>355</v>
      </c>
      <c r="W10" s="27" t="s">
        <v>352</v>
      </c>
      <c r="Z10" t="s">
        <v>76</v>
      </c>
      <c r="AA10">
        <v>0</v>
      </c>
      <c r="AB10">
        <v>0</v>
      </c>
      <c r="AC10" t="s">
        <v>39</v>
      </c>
    </row>
    <row r="11" spans="1:29" x14ac:dyDescent="0.25">
      <c r="B11">
        <v>15</v>
      </c>
      <c r="C11" t="s">
        <v>95</v>
      </c>
      <c r="D11" t="s">
        <v>34</v>
      </c>
      <c r="E11">
        <v>670</v>
      </c>
      <c r="F11" t="s">
        <v>87</v>
      </c>
      <c r="G11" t="s">
        <v>358</v>
      </c>
      <c r="H11" t="s">
        <v>70</v>
      </c>
      <c r="I11" t="s">
        <v>357</v>
      </c>
      <c r="J11" t="s">
        <v>331</v>
      </c>
      <c r="K11" t="s">
        <v>423</v>
      </c>
      <c r="L11">
        <v>500000</v>
      </c>
      <c r="M11" t="s">
        <v>24</v>
      </c>
      <c r="N11" s="14" t="s">
        <v>359</v>
      </c>
      <c r="T11" t="s">
        <v>419</v>
      </c>
      <c r="V11" t="s">
        <v>333</v>
      </c>
      <c r="W11" t="s">
        <v>360</v>
      </c>
      <c r="Z11" t="s">
        <v>34</v>
      </c>
      <c r="AA11" t="s">
        <v>334</v>
      </c>
      <c r="AB11" t="s">
        <v>421</v>
      </c>
      <c r="AC11" t="s">
        <v>112</v>
      </c>
    </row>
    <row r="12" spans="1:29" x14ac:dyDescent="0.25">
      <c r="B12">
        <v>16</v>
      </c>
      <c r="C12" t="s">
        <v>94</v>
      </c>
      <c r="D12" t="s">
        <v>35</v>
      </c>
      <c r="E12">
        <v>4300</v>
      </c>
      <c r="F12" t="s">
        <v>87</v>
      </c>
      <c r="G12" t="s">
        <v>358</v>
      </c>
      <c r="H12" t="s">
        <v>70</v>
      </c>
      <c r="I12" t="s">
        <v>357</v>
      </c>
      <c r="J12" t="s">
        <v>347</v>
      </c>
      <c r="K12" t="s">
        <v>422</v>
      </c>
      <c r="L12">
        <v>500000</v>
      </c>
      <c r="M12" t="s">
        <v>24</v>
      </c>
      <c r="N12" s="14" t="s">
        <v>359</v>
      </c>
      <c r="T12" t="s">
        <v>419</v>
      </c>
      <c r="V12" t="s">
        <v>356</v>
      </c>
      <c r="W12" t="s">
        <v>360</v>
      </c>
      <c r="Z12" t="s">
        <v>35</v>
      </c>
      <c r="AA12" t="s">
        <v>350</v>
      </c>
      <c r="AB12" t="s">
        <v>422</v>
      </c>
      <c r="AC12" t="s">
        <v>112</v>
      </c>
    </row>
    <row r="13" spans="1:29" x14ac:dyDescent="0.25">
      <c r="B13">
        <v>17</v>
      </c>
      <c r="C13" t="s">
        <v>96</v>
      </c>
      <c r="D13" t="s">
        <v>36</v>
      </c>
      <c r="E13">
        <v>459</v>
      </c>
      <c r="F13" t="s">
        <v>87</v>
      </c>
      <c r="G13" t="s">
        <v>358</v>
      </c>
      <c r="H13" t="s">
        <v>70</v>
      </c>
      <c r="I13" t="s">
        <v>357</v>
      </c>
      <c r="J13" t="s">
        <v>354</v>
      </c>
      <c r="K13" t="s">
        <v>424</v>
      </c>
      <c r="L13">
        <v>500000</v>
      </c>
      <c r="M13" t="s">
        <v>24</v>
      </c>
      <c r="N13" s="14" t="s">
        <v>359</v>
      </c>
      <c r="T13" t="s">
        <v>419</v>
      </c>
      <c r="V13" t="s">
        <v>355</v>
      </c>
      <c r="W13" t="s">
        <v>362</v>
      </c>
      <c r="Z13" t="s">
        <v>36</v>
      </c>
      <c r="AA13">
        <v>0</v>
      </c>
      <c r="AB13">
        <v>0</v>
      </c>
      <c r="AC13" t="s">
        <v>112</v>
      </c>
    </row>
    <row r="14" spans="1:29" x14ac:dyDescent="0.25">
      <c r="B14">
        <v>18</v>
      </c>
      <c r="C14" t="s">
        <v>97</v>
      </c>
      <c r="D14" t="s">
        <v>76</v>
      </c>
      <c r="E14">
        <v>390</v>
      </c>
      <c r="F14" t="s">
        <v>87</v>
      </c>
      <c r="G14" t="s">
        <v>358</v>
      </c>
      <c r="H14" t="s">
        <v>70</v>
      </c>
      <c r="I14" t="s">
        <v>357</v>
      </c>
      <c r="J14" t="s">
        <v>353</v>
      </c>
      <c r="K14">
        <v>0</v>
      </c>
      <c r="L14">
        <v>500000</v>
      </c>
      <c r="M14" t="s">
        <v>24</v>
      </c>
      <c r="N14" s="14" t="s">
        <v>359</v>
      </c>
      <c r="T14" t="s">
        <v>419</v>
      </c>
      <c r="V14" t="s">
        <v>355</v>
      </c>
      <c r="W14" t="s">
        <v>361</v>
      </c>
      <c r="Z14" t="s">
        <v>76</v>
      </c>
      <c r="AA14">
        <v>0</v>
      </c>
      <c r="AB14">
        <v>0</v>
      </c>
      <c r="AC14" t="s">
        <v>112</v>
      </c>
    </row>
    <row r="18" spans="1:15" x14ac:dyDescent="0.25">
      <c r="A18" s="19"/>
      <c r="O18" s="14"/>
    </row>
    <row r="19" spans="1:15" x14ac:dyDescent="0.25">
      <c r="A19" s="19"/>
    </row>
    <row r="20" spans="1:15" x14ac:dyDescent="0.25">
      <c r="A20" s="19"/>
    </row>
    <row r="21" spans="1:15" x14ac:dyDescent="0.25">
      <c r="A21" s="19"/>
    </row>
    <row r="22" spans="1:15" x14ac:dyDescent="0.25">
      <c r="A22" s="19"/>
    </row>
    <row r="23" spans="1:15" x14ac:dyDescent="0.25">
      <c r="A23" s="19"/>
    </row>
    <row r="24" spans="1:15" x14ac:dyDescent="0.25">
      <c r="A24" s="19"/>
    </row>
    <row r="25" spans="1:15" x14ac:dyDescent="0.25">
      <c r="A25" s="19"/>
    </row>
    <row r="26" spans="1:15" x14ac:dyDescent="0.25">
      <c r="A26" s="19"/>
    </row>
    <row r="27" spans="1:15" x14ac:dyDescent="0.25">
      <c r="A27" s="19"/>
    </row>
    <row r="28" spans="1:15" x14ac:dyDescent="0.25">
      <c r="A28" s="1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3F9A-CE7C-41DF-B9A3-8E2A5E9E4027}">
  <dimension ref="A1:V9"/>
  <sheetViews>
    <sheetView workbookViewId="0">
      <selection activeCell="I13" sqref="I13"/>
    </sheetView>
  </sheetViews>
  <sheetFormatPr defaultRowHeight="15" x14ac:dyDescent="0.25"/>
  <cols>
    <col min="1" max="1" width="15.28515625" bestFit="1" customWidth="1"/>
    <col min="3" max="3" width="8.42578125" customWidth="1"/>
    <col min="9" max="9" width="10.5703125" bestFit="1" customWidth="1"/>
    <col min="15" max="15" width="13.28515625" bestFit="1" customWidth="1"/>
  </cols>
  <sheetData>
    <row r="1" spans="1:22" ht="45" x14ac:dyDescent="0.25">
      <c r="A1" s="24" t="s">
        <v>0</v>
      </c>
      <c r="B1" s="24" t="s">
        <v>33</v>
      </c>
      <c r="C1" s="24" t="s">
        <v>46</v>
      </c>
      <c r="D1" s="24" t="s">
        <v>15</v>
      </c>
      <c r="E1" s="24" t="s">
        <v>16</v>
      </c>
      <c r="F1" s="24" t="s">
        <v>294</v>
      </c>
      <c r="G1" s="24" t="s">
        <v>47</v>
      </c>
      <c r="H1" s="24" t="s">
        <v>30</v>
      </c>
      <c r="I1" s="25" t="s">
        <v>51</v>
      </c>
      <c r="J1" s="25" t="s">
        <v>288</v>
      </c>
      <c r="K1" s="25" t="s">
        <v>53</v>
      </c>
      <c r="L1" s="25" t="s">
        <v>289</v>
      </c>
      <c r="M1" s="25" t="s">
        <v>44</v>
      </c>
      <c r="N1" s="25" t="s">
        <v>290</v>
      </c>
      <c r="O1" s="25" t="s">
        <v>55</v>
      </c>
      <c r="P1" s="25" t="s">
        <v>291</v>
      </c>
      <c r="Q1" s="25" t="s">
        <v>57</v>
      </c>
      <c r="R1" s="25" t="s">
        <v>292</v>
      </c>
      <c r="S1" s="25" t="s">
        <v>59</v>
      </c>
      <c r="T1" s="25" t="s">
        <v>293</v>
      </c>
      <c r="U1" s="26" t="s">
        <v>115</v>
      </c>
      <c r="V1" s="26" t="s">
        <v>48</v>
      </c>
    </row>
    <row r="2" spans="1:22" s="10" customFormat="1" x14ac:dyDescent="0.25">
      <c r="A2" s="5" t="s">
        <v>363</v>
      </c>
      <c r="B2" s="5" t="s">
        <v>34</v>
      </c>
      <c r="C2" s="5">
        <f>567*365/3</f>
        <v>68985</v>
      </c>
      <c r="D2" s="5" t="s">
        <v>367</v>
      </c>
      <c r="E2" s="5" t="s">
        <v>331</v>
      </c>
      <c r="F2" s="16" t="s">
        <v>369</v>
      </c>
      <c r="G2" s="16" t="s">
        <v>295</v>
      </c>
      <c r="H2" s="5" t="s">
        <v>24</v>
      </c>
      <c r="I2" s="16" t="s">
        <v>499</v>
      </c>
      <c r="J2" s="16"/>
      <c r="K2" s="16"/>
      <c r="L2" s="16"/>
      <c r="M2" s="16"/>
      <c r="N2" s="16"/>
      <c r="O2" s="16" t="s">
        <v>407</v>
      </c>
      <c r="P2" s="16"/>
      <c r="Q2" s="16" t="s">
        <v>368</v>
      </c>
      <c r="R2" s="16"/>
      <c r="S2" s="16"/>
      <c r="T2" s="16"/>
      <c r="U2" s="5"/>
      <c r="V2" s="16" t="s">
        <v>334</v>
      </c>
    </row>
    <row r="3" spans="1:22" x14ac:dyDescent="0.25">
      <c r="A3" s="5" t="s">
        <v>364</v>
      </c>
      <c r="B3" s="5" t="s">
        <v>35</v>
      </c>
      <c r="C3" s="5">
        <f>5677*365/3</f>
        <v>690701.66666666663</v>
      </c>
      <c r="D3" s="5" t="s">
        <v>367</v>
      </c>
      <c r="E3" s="5" t="s">
        <v>371</v>
      </c>
      <c r="F3" s="16" t="s">
        <v>372</v>
      </c>
      <c r="G3" s="16" t="s">
        <v>295</v>
      </c>
      <c r="H3" s="5" t="s">
        <v>24</v>
      </c>
      <c r="I3" s="16" t="s">
        <v>500</v>
      </c>
      <c r="J3" s="16"/>
      <c r="K3" s="16"/>
      <c r="L3" s="16"/>
      <c r="M3" s="16"/>
      <c r="N3" s="16"/>
      <c r="O3" s="16" t="s">
        <v>407</v>
      </c>
      <c r="P3" s="16"/>
      <c r="Q3" s="16" t="s">
        <v>370</v>
      </c>
      <c r="R3" s="16"/>
      <c r="S3" s="16"/>
      <c r="T3" s="16"/>
      <c r="U3" s="5"/>
      <c r="V3" s="16" t="s">
        <v>373</v>
      </c>
    </row>
    <row r="4" spans="1:22" x14ac:dyDescent="0.25">
      <c r="A4" s="5" t="s">
        <v>365</v>
      </c>
      <c r="B4" s="5" t="s">
        <v>36</v>
      </c>
      <c r="C4" s="5">
        <f>544500*3/17*365/3</f>
        <v>11690735.294117646</v>
      </c>
      <c r="D4" s="5" t="s">
        <v>367</v>
      </c>
      <c r="E4" s="5" t="s">
        <v>376</v>
      </c>
      <c r="F4" s="16" t="s">
        <v>425</v>
      </c>
      <c r="G4" s="16" t="s">
        <v>295</v>
      </c>
      <c r="H4" s="5" t="s">
        <v>24</v>
      </c>
      <c r="I4" s="16" t="s">
        <v>501</v>
      </c>
      <c r="J4" s="16"/>
      <c r="K4" s="16"/>
      <c r="L4" s="16"/>
      <c r="M4" s="16"/>
      <c r="N4" s="16"/>
      <c r="O4" s="16" t="s">
        <v>408</v>
      </c>
      <c r="P4" s="16"/>
      <c r="Q4" s="16" t="s">
        <v>375</v>
      </c>
      <c r="R4" s="16"/>
      <c r="S4" s="16"/>
      <c r="T4" s="16"/>
      <c r="U4" s="5"/>
      <c r="V4" s="16">
        <v>0</v>
      </c>
    </row>
    <row r="5" spans="1:22" s="10" customFormat="1" x14ac:dyDescent="0.25">
      <c r="A5" s="5" t="s">
        <v>366</v>
      </c>
      <c r="B5" s="5" t="s">
        <v>76</v>
      </c>
      <c r="C5" s="5">
        <f>643000*4/32*365/3</f>
        <v>9778958.333333334</v>
      </c>
      <c r="D5" s="5" t="s">
        <v>367</v>
      </c>
      <c r="E5" s="5">
        <v>1</v>
      </c>
      <c r="F5" s="16">
        <v>0</v>
      </c>
      <c r="G5" s="16" t="s">
        <v>295</v>
      </c>
      <c r="H5" s="5" t="s">
        <v>24</v>
      </c>
      <c r="I5" s="16" t="s">
        <v>502</v>
      </c>
      <c r="J5" s="16"/>
      <c r="K5" s="16"/>
      <c r="L5" s="16"/>
      <c r="M5" s="16"/>
      <c r="N5" s="16"/>
      <c r="O5" s="16" t="s">
        <v>408</v>
      </c>
      <c r="P5" s="16"/>
      <c r="Q5" s="16" t="s">
        <v>374</v>
      </c>
      <c r="R5" s="16"/>
      <c r="S5" s="16"/>
      <c r="T5" s="16"/>
      <c r="U5" s="5"/>
      <c r="V5" s="16">
        <v>0</v>
      </c>
    </row>
    <row r="6" spans="1:22" x14ac:dyDescent="0.25">
      <c r="F6" s="20"/>
      <c r="G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V6" s="20"/>
    </row>
    <row r="7" spans="1:22" x14ac:dyDescent="0.25">
      <c r="F7" s="20"/>
      <c r="G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V7" s="20"/>
    </row>
    <row r="8" spans="1:22" x14ac:dyDescent="0.25">
      <c r="F8" s="20"/>
      <c r="G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V8" s="20"/>
    </row>
    <row r="9" spans="1:22" x14ac:dyDescent="0.25">
      <c r="F9" s="20"/>
      <c r="G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V9" s="2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D4A3-D5EB-4A7C-809A-AD16A715FC71}">
  <dimension ref="A1:R46"/>
  <sheetViews>
    <sheetView topLeftCell="G1" zoomScale="80" zoomScaleNormal="80" workbookViewId="0">
      <selection activeCell="B10" sqref="B10"/>
    </sheetView>
  </sheetViews>
  <sheetFormatPr defaultRowHeight="15" x14ac:dyDescent="0.25"/>
  <cols>
    <col min="5" max="5" width="12" bestFit="1" customWidth="1"/>
    <col min="11" max="11" width="20.85546875" bestFit="1" customWidth="1"/>
    <col min="12" max="12" width="11.85546875" bestFit="1" customWidth="1"/>
    <col min="13" max="13" width="12" bestFit="1" customWidth="1"/>
    <col min="14" max="14" width="19.85546875" bestFit="1" customWidth="1"/>
    <col min="15" max="15" width="27" bestFit="1" customWidth="1"/>
    <col min="22" max="22" width="10" bestFit="1" customWidth="1"/>
  </cols>
  <sheetData>
    <row r="1" spans="1:18" ht="30" x14ac:dyDescent="0.25">
      <c r="A1" s="2" t="s">
        <v>13</v>
      </c>
      <c r="B1" s="2" t="s">
        <v>0</v>
      </c>
      <c r="C1" s="2" t="s">
        <v>66</v>
      </c>
      <c r="D1" s="2" t="s">
        <v>67</v>
      </c>
      <c r="E1" s="2" t="s">
        <v>46</v>
      </c>
      <c r="F1" s="2" t="s">
        <v>15</v>
      </c>
      <c r="G1" s="2" t="s">
        <v>47</v>
      </c>
      <c r="H1" s="2" t="s">
        <v>61</v>
      </c>
      <c r="I1" s="2" t="s">
        <v>16</v>
      </c>
      <c r="J1" s="2" t="s">
        <v>30</v>
      </c>
      <c r="K1" s="3" t="s">
        <v>51</v>
      </c>
      <c r="L1" s="3" t="s">
        <v>53</v>
      </c>
      <c r="M1" s="3" t="s">
        <v>44</v>
      </c>
      <c r="N1" s="3" t="s">
        <v>55</v>
      </c>
      <c r="O1" s="3" t="s">
        <v>57</v>
      </c>
      <c r="P1" s="3" t="s">
        <v>59</v>
      </c>
      <c r="Q1" s="4" t="s">
        <v>48</v>
      </c>
      <c r="R1" s="29" t="s">
        <v>384</v>
      </c>
    </row>
    <row r="2" spans="1:18" x14ac:dyDescent="0.25">
      <c r="A2" s="5"/>
      <c r="B2" s="5" t="s">
        <v>395</v>
      </c>
      <c r="C2" s="5" t="s">
        <v>34</v>
      </c>
      <c r="D2" s="5" t="s">
        <v>35</v>
      </c>
      <c r="E2" s="5">
        <f>50*365*1000</f>
        <v>18250000</v>
      </c>
      <c r="F2" s="5" t="s">
        <v>377</v>
      </c>
      <c r="G2" s="5" t="s">
        <v>317</v>
      </c>
      <c r="H2" s="5"/>
      <c r="I2" s="5" t="s">
        <v>379</v>
      </c>
      <c r="J2" s="5" t="s">
        <v>24</v>
      </c>
      <c r="K2" s="5" t="s">
        <v>380</v>
      </c>
      <c r="L2" s="5"/>
      <c r="M2" s="5"/>
      <c r="N2" s="5" t="s">
        <v>409</v>
      </c>
      <c r="O2" s="5" t="s">
        <v>496</v>
      </c>
      <c r="P2" s="5"/>
      <c r="Q2" s="5" t="s">
        <v>378</v>
      </c>
      <c r="R2">
        <v>1</v>
      </c>
    </row>
    <row r="3" spans="1:18" x14ac:dyDescent="0.25">
      <c r="A3" s="5"/>
      <c r="B3" s="5" t="s">
        <v>396</v>
      </c>
      <c r="C3" s="5" t="s">
        <v>34</v>
      </c>
      <c r="D3" s="5" t="s">
        <v>36</v>
      </c>
      <c r="E3" s="5">
        <f>2500000000*3/17</f>
        <v>441176470.58823532</v>
      </c>
      <c r="F3" s="5" t="s">
        <v>377</v>
      </c>
      <c r="G3" s="5" t="s">
        <v>382</v>
      </c>
      <c r="H3" s="5"/>
      <c r="I3" s="5" t="s">
        <v>386</v>
      </c>
      <c r="J3" s="5" t="s">
        <v>24</v>
      </c>
      <c r="K3" s="23" t="s">
        <v>381</v>
      </c>
      <c r="L3" s="15"/>
      <c r="M3" s="5"/>
      <c r="N3" s="5" t="s">
        <v>410</v>
      </c>
      <c r="O3" s="15" t="s">
        <v>434</v>
      </c>
      <c r="P3" s="5"/>
      <c r="Q3" s="5">
        <v>0</v>
      </c>
      <c r="R3">
        <f>3/17</f>
        <v>0.17647058823529413</v>
      </c>
    </row>
    <row r="4" spans="1:18" x14ac:dyDescent="0.25">
      <c r="A4" s="5"/>
      <c r="B4" s="5" t="s">
        <v>397</v>
      </c>
      <c r="C4" s="5" t="s">
        <v>34</v>
      </c>
      <c r="D4" s="5" t="s">
        <v>76</v>
      </c>
      <c r="E4" s="5">
        <f>2700*365*4/32*1000</f>
        <v>123187500</v>
      </c>
      <c r="F4" s="5" t="s">
        <v>377</v>
      </c>
      <c r="G4" s="5" t="s">
        <v>157</v>
      </c>
      <c r="H4" s="5"/>
      <c r="I4" s="5" t="s">
        <v>385</v>
      </c>
      <c r="J4" s="5" t="s">
        <v>24</v>
      </c>
      <c r="K4" s="5" t="s">
        <v>383</v>
      </c>
      <c r="L4" s="39"/>
      <c r="M4" s="5"/>
      <c r="N4" s="5" t="s">
        <v>411</v>
      </c>
      <c r="O4" s="5" t="s">
        <v>498</v>
      </c>
      <c r="P4" s="5"/>
      <c r="Q4" s="5">
        <v>0</v>
      </c>
      <c r="R4">
        <v>0.20799999999999999</v>
      </c>
    </row>
    <row r="5" spans="1:18" x14ac:dyDescent="0.25">
      <c r="A5" s="5"/>
      <c r="B5" s="5" t="s">
        <v>398</v>
      </c>
      <c r="C5" s="5" t="s">
        <v>35</v>
      </c>
      <c r="D5" s="5" t="s">
        <v>34</v>
      </c>
      <c r="E5" s="23">
        <f>50*365*1000</f>
        <v>18250000</v>
      </c>
      <c r="F5" s="5" t="s">
        <v>377</v>
      </c>
      <c r="G5" s="5" t="s">
        <v>317</v>
      </c>
      <c r="H5" s="5"/>
      <c r="I5" s="5" t="s">
        <v>379</v>
      </c>
      <c r="J5" s="5" t="s">
        <v>24</v>
      </c>
      <c r="K5" s="5" t="s">
        <v>380</v>
      </c>
      <c r="L5" s="5"/>
      <c r="M5" s="5"/>
      <c r="N5" s="5" t="s">
        <v>409</v>
      </c>
      <c r="O5" s="5" t="s">
        <v>436</v>
      </c>
      <c r="P5" s="5"/>
      <c r="Q5" s="5" t="s">
        <v>378</v>
      </c>
    </row>
    <row r="6" spans="1:18" x14ac:dyDescent="0.25">
      <c r="A6" s="5"/>
      <c r="B6" s="5" t="s">
        <v>399</v>
      </c>
      <c r="C6" s="5" t="s">
        <v>35</v>
      </c>
      <c r="D6" s="5" t="s">
        <v>36</v>
      </c>
      <c r="E6" s="5">
        <f>2500000000*3/17</f>
        <v>441176470.58823532</v>
      </c>
      <c r="F6" s="5" t="s">
        <v>377</v>
      </c>
      <c r="G6" s="5" t="s">
        <v>382</v>
      </c>
      <c r="H6" s="5"/>
      <c r="I6" s="5" t="s">
        <v>390</v>
      </c>
      <c r="J6" s="5" t="s">
        <v>24</v>
      </c>
      <c r="K6" s="23" t="s">
        <v>381</v>
      </c>
      <c r="L6" s="5"/>
      <c r="M6" s="5"/>
      <c r="N6" s="5" t="s">
        <v>410</v>
      </c>
      <c r="O6" s="15" t="s">
        <v>434</v>
      </c>
      <c r="P6" s="5"/>
      <c r="Q6" s="5" t="s">
        <v>378</v>
      </c>
    </row>
    <row r="7" spans="1:18" x14ac:dyDescent="0.25">
      <c r="A7" s="5"/>
      <c r="B7" s="5" t="s">
        <v>400</v>
      </c>
      <c r="C7" s="5" t="s">
        <v>35</v>
      </c>
      <c r="D7" s="5" t="s">
        <v>76</v>
      </c>
      <c r="E7" s="5">
        <f>2700*365*4/32*1000</f>
        <v>123187500</v>
      </c>
      <c r="F7" s="5" t="s">
        <v>377</v>
      </c>
      <c r="G7" s="5" t="s">
        <v>157</v>
      </c>
      <c r="H7" s="5"/>
      <c r="I7" s="5" t="s">
        <v>391</v>
      </c>
      <c r="J7" s="5" t="s">
        <v>24</v>
      </c>
      <c r="K7" s="5" t="s">
        <v>383</v>
      </c>
      <c r="L7" s="39"/>
      <c r="M7" s="5"/>
      <c r="N7" s="5" t="s">
        <v>411</v>
      </c>
      <c r="O7" s="5" t="s">
        <v>435</v>
      </c>
      <c r="P7" s="5"/>
      <c r="Q7" s="5" t="s">
        <v>378</v>
      </c>
    </row>
    <row r="8" spans="1:18" x14ac:dyDescent="0.25">
      <c r="A8" s="5"/>
      <c r="B8" s="5" t="s">
        <v>401</v>
      </c>
      <c r="C8" s="5" t="s">
        <v>76</v>
      </c>
      <c r="D8" s="5" t="s">
        <v>35</v>
      </c>
      <c r="E8" s="5">
        <f>2700*365*4/32*1000</f>
        <v>123187500</v>
      </c>
      <c r="F8" s="5" t="s">
        <v>377</v>
      </c>
      <c r="G8" s="5" t="s">
        <v>317</v>
      </c>
      <c r="H8" s="5"/>
      <c r="I8" s="5" t="s">
        <v>394</v>
      </c>
      <c r="J8" s="5" t="s">
        <v>24</v>
      </c>
      <c r="K8" s="5" t="s">
        <v>383</v>
      </c>
      <c r="L8" s="5" t="s">
        <v>477</v>
      </c>
      <c r="M8" s="5"/>
      <c r="N8" s="5" t="s">
        <v>411</v>
      </c>
      <c r="O8" s="5" t="s">
        <v>480</v>
      </c>
      <c r="P8" s="5"/>
      <c r="Q8" s="5" t="s">
        <v>378</v>
      </c>
    </row>
    <row r="9" spans="1:18" x14ac:dyDescent="0.25">
      <c r="A9" s="5"/>
      <c r="B9" s="5" t="s">
        <v>402</v>
      </c>
      <c r="C9" s="5" t="s">
        <v>76</v>
      </c>
      <c r="D9" s="5" t="s">
        <v>36</v>
      </c>
      <c r="E9" s="5">
        <f>2500000000*3/17</f>
        <v>441176470.58823532</v>
      </c>
      <c r="F9" s="5" t="s">
        <v>377</v>
      </c>
      <c r="G9" s="5" t="s">
        <v>382</v>
      </c>
      <c r="H9" s="5"/>
      <c r="I9" s="5" t="s">
        <v>393</v>
      </c>
      <c r="J9" s="5" t="s">
        <v>24</v>
      </c>
      <c r="K9" s="5" t="s">
        <v>392</v>
      </c>
      <c r="L9" s="5" t="s">
        <v>477</v>
      </c>
      <c r="M9" s="5"/>
      <c r="N9" s="5" t="s">
        <v>412</v>
      </c>
      <c r="O9" s="15" t="s">
        <v>479</v>
      </c>
      <c r="P9" s="5"/>
      <c r="Q9" s="5">
        <v>0</v>
      </c>
    </row>
    <row r="10" spans="1:18" x14ac:dyDescent="0.25">
      <c r="A10" s="5"/>
      <c r="B10" s="5" t="s">
        <v>403</v>
      </c>
      <c r="C10" s="5" t="s">
        <v>76</v>
      </c>
      <c r="D10" s="5" t="s">
        <v>34</v>
      </c>
      <c r="E10" s="5">
        <f>2700*365*4/32*1000</f>
        <v>123187500</v>
      </c>
      <c r="F10" s="5" t="s">
        <v>377</v>
      </c>
      <c r="G10" s="5" t="s">
        <v>157</v>
      </c>
      <c r="H10" s="5"/>
      <c r="I10" s="5" t="s">
        <v>87</v>
      </c>
      <c r="J10" s="5" t="s">
        <v>24</v>
      </c>
      <c r="K10" s="5" t="s">
        <v>383</v>
      </c>
      <c r="L10" s="5" t="s">
        <v>477</v>
      </c>
      <c r="M10" s="5"/>
      <c r="N10" s="5" t="s">
        <v>411</v>
      </c>
      <c r="O10" s="5" t="s">
        <v>478</v>
      </c>
      <c r="P10" s="5"/>
      <c r="Q10" s="5">
        <v>0</v>
      </c>
    </row>
    <row r="11" spans="1:18" x14ac:dyDescent="0.25">
      <c r="A11" s="5"/>
      <c r="B11" s="5" t="s">
        <v>404</v>
      </c>
      <c r="C11" s="5" t="s">
        <v>36</v>
      </c>
      <c r="D11" s="5" t="s">
        <v>35</v>
      </c>
      <c r="E11" s="5">
        <f t="shared" ref="E11:E17" si="0">2500000000*3/17</f>
        <v>441176470.58823532</v>
      </c>
      <c r="F11" s="5" t="s">
        <v>377</v>
      </c>
      <c r="G11" s="5" t="s">
        <v>382</v>
      </c>
      <c r="H11" s="5"/>
      <c r="I11" s="5" t="s">
        <v>387</v>
      </c>
      <c r="J11" s="5" t="s">
        <v>24</v>
      </c>
      <c r="K11" s="5" t="s">
        <v>389</v>
      </c>
      <c r="L11" s="5"/>
      <c r="M11" s="5"/>
      <c r="N11" s="5" t="s">
        <v>413</v>
      </c>
      <c r="O11" s="5" t="s">
        <v>483</v>
      </c>
      <c r="P11" s="5"/>
      <c r="Q11" s="5" t="s">
        <v>378</v>
      </c>
    </row>
    <row r="12" spans="1:18" x14ac:dyDescent="0.25">
      <c r="A12" s="5"/>
      <c r="B12" s="5" t="s">
        <v>405</v>
      </c>
      <c r="C12" s="5" t="s">
        <v>36</v>
      </c>
      <c r="D12" s="5" t="s">
        <v>34</v>
      </c>
      <c r="E12" s="5">
        <f t="shared" si="0"/>
        <v>441176470.58823532</v>
      </c>
      <c r="F12" s="5" t="s">
        <v>377</v>
      </c>
      <c r="G12" s="5" t="s">
        <v>382</v>
      </c>
      <c r="H12" s="5"/>
      <c r="I12" s="5" t="s">
        <v>388</v>
      </c>
      <c r="J12" s="5" t="s">
        <v>24</v>
      </c>
      <c r="K12" s="23" t="s">
        <v>381</v>
      </c>
      <c r="L12" s="5"/>
      <c r="M12" s="5"/>
      <c r="N12" s="5" t="s">
        <v>410</v>
      </c>
      <c r="O12" s="5" t="s">
        <v>497</v>
      </c>
      <c r="P12" s="5"/>
      <c r="Q12" s="5">
        <v>0</v>
      </c>
    </row>
    <row r="13" spans="1:18" x14ac:dyDescent="0.25">
      <c r="B13" s="5" t="s">
        <v>406</v>
      </c>
      <c r="C13" s="5" t="s">
        <v>36</v>
      </c>
      <c r="D13" s="5" t="s">
        <v>76</v>
      </c>
      <c r="E13" s="5">
        <f t="shared" si="0"/>
        <v>441176470.58823532</v>
      </c>
      <c r="F13" s="5" t="s">
        <v>377</v>
      </c>
      <c r="G13" s="5" t="s">
        <v>157</v>
      </c>
      <c r="H13" s="5"/>
      <c r="I13" s="5" t="s">
        <v>385</v>
      </c>
      <c r="J13" s="5" t="s">
        <v>24</v>
      </c>
      <c r="K13" s="5" t="s">
        <v>392</v>
      </c>
      <c r="L13" s="39"/>
      <c r="M13" s="5"/>
      <c r="N13" s="5" t="s">
        <v>412</v>
      </c>
      <c r="O13" s="5" t="s">
        <v>482</v>
      </c>
      <c r="P13" s="5"/>
      <c r="Q13" s="5">
        <v>0</v>
      </c>
    </row>
    <row r="14" spans="1:18" x14ac:dyDescent="0.25">
      <c r="B14" s="55" t="s">
        <v>442</v>
      </c>
      <c r="C14" s="5" t="s">
        <v>34</v>
      </c>
      <c r="D14" s="5" t="s">
        <v>34</v>
      </c>
      <c r="E14" s="5">
        <f t="shared" si="0"/>
        <v>441176470.58823532</v>
      </c>
      <c r="F14">
        <v>1</v>
      </c>
      <c r="G14">
        <v>100</v>
      </c>
      <c r="I14">
        <v>1</v>
      </c>
      <c r="J14" s="5" t="s">
        <v>24</v>
      </c>
      <c r="K14">
        <v>0</v>
      </c>
      <c r="M14">
        <v>0</v>
      </c>
      <c r="N14" t="s">
        <v>443</v>
      </c>
      <c r="O14" t="s">
        <v>444</v>
      </c>
      <c r="P14">
        <v>0</v>
      </c>
      <c r="Q14" s="55">
        <v>0</v>
      </c>
      <c r="R14">
        <v>0</v>
      </c>
    </row>
    <row r="15" spans="1:18" x14ac:dyDescent="0.25">
      <c r="B15" s="55" t="s">
        <v>445</v>
      </c>
      <c r="C15" s="5" t="s">
        <v>34</v>
      </c>
      <c r="D15" s="5" t="s">
        <v>34</v>
      </c>
      <c r="E15" s="5">
        <f t="shared" si="0"/>
        <v>441176470.58823532</v>
      </c>
      <c r="F15">
        <v>1</v>
      </c>
      <c r="G15">
        <v>100</v>
      </c>
      <c r="I15">
        <v>1</v>
      </c>
      <c r="J15" s="5" t="s">
        <v>24</v>
      </c>
      <c r="K15">
        <v>0</v>
      </c>
      <c r="L15">
        <v>0</v>
      </c>
      <c r="M15">
        <v>0</v>
      </c>
      <c r="N15" t="s">
        <v>443</v>
      </c>
      <c r="O15" t="s">
        <v>444</v>
      </c>
      <c r="P15">
        <v>0</v>
      </c>
      <c r="Q15" s="55">
        <v>0</v>
      </c>
      <c r="R15">
        <v>0</v>
      </c>
    </row>
    <row r="16" spans="1:18" x14ac:dyDescent="0.25">
      <c r="B16" s="55" t="s">
        <v>446</v>
      </c>
      <c r="C16" s="5" t="s">
        <v>34</v>
      </c>
      <c r="D16" s="5" t="s">
        <v>34</v>
      </c>
      <c r="E16" s="5">
        <f t="shared" si="0"/>
        <v>441176470.58823532</v>
      </c>
      <c r="F16">
        <v>1</v>
      </c>
      <c r="G16">
        <v>100</v>
      </c>
      <c r="I16">
        <v>1</v>
      </c>
      <c r="J16" s="5" t="s">
        <v>24</v>
      </c>
      <c r="K16">
        <v>0</v>
      </c>
      <c r="L16">
        <v>0</v>
      </c>
      <c r="M16">
        <v>0</v>
      </c>
      <c r="N16" t="s">
        <v>443</v>
      </c>
      <c r="O16" t="s">
        <v>444</v>
      </c>
      <c r="P16">
        <v>0</v>
      </c>
      <c r="Q16" s="55">
        <v>0</v>
      </c>
      <c r="R16">
        <v>0</v>
      </c>
    </row>
    <row r="17" spans="2:18" x14ac:dyDescent="0.25">
      <c r="B17" s="55" t="s">
        <v>447</v>
      </c>
      <c r="C17" s="5" t="s">
        <v>34</v>
      </c>
      <c r="D17" s="5" t="s">
        <v>34</v>
      </c>
      <c r="E17" s="5">
        <f t="shared" si="0"/>
        <v>441176470.58823532</v>
      </c>
      <c r="F17">
        <v>1</v>
      </c>
      <c r="G17">
        <v>100</v>
      </c>
      <c r="I17">
        <v>1</v>
      </c>
      <c r="J17" s="5" t="s">
        <v>24</v>
      </c>
      <c r="K17">
        <v>0</v>
      </c>
      <c r="L17">
        <v>0</v>
      </c>
      <c r="M17">
        <v>0</v>
      </c>
      <c r="N17" t="s">
        <v>443</v>
      </c>
      <c r="O17" t="s">
        <v>444</v>
      </c>
      <c r="P17">
        <v>0</v>
      </c>
      <c r="Q17" s="55">
        <v>0</v>
      </c>
      <c r="R17">
        <v>0</v>
      </c>
    </row>
    <row r="19" spans="2:18" x14ac:dyDescent="0.25">
      <c r="C19" s="14"/>
    </row>
    <row r="20" spans="2:18" x14ac:dyDescent="0.25">
      <c r="K20" s="14"/>
    </row>
    <row r="25" spans="2:18" x14ac:dyDescent="0.25">
      <c r="C25" s="14"/>
    </row>
    <row r="26" spans="2:18" x14ac:dyDescent="0.25">
      <c r="K26" s="14"/>
    </row>
    <row r="29" spans="2:18" x14ac:dyDescent="0.25">
      <c r="C29" s="52"/>
    </row>
    <row r="32" spans="2:18" x14ac:dyDescent="0.25">
      <c r="C32" s="52"/>
    </row>
    <row r="38" spans="3:3" x14ac:dyDescent="0.25">
      <c r="C38" s="52"/>
    </row>
    <row r="40" spans="3:3" x14ac:dyDescent="0.25">
      <c r="C40" s="1"/>
    </row>
    <row r="43" spans="3:3" x14ac:dyDescent="0.25">
      <c r="C43" s="1"/>
    </row>
    <row r="46" spans="3:3" x14ac:dyDescent="0.25">
      <c r="C46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Uses</vt:lpstr>
      <vt:lpstr>Electrification Options</vt:lpstr>
      <vt:lpstr>EnergySources</vt:lpstr>
      <vt:lpstr>Locations</vt:lpstr>
      <vt:lpstr>ProductionMethods</vt:lpstr>
      <vt:lpstr>Sheet1</vt:lpstr>
      <vt:lpstr>TransmissionInfra</vt:lpstr>
      <vt:lpstr>Storage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 Bennett</dc:creator>
  <cp:lastModifiedBy>A.M. Bennett</cp:lastModifiedBy>
  <dcterms:created xsi:type="dcterms:W3CDTF">2024-05-02T14:16:50Z</dcterms:created>
  <dcterms:modified xsi:type="dcterms:W3CDTF">2024-12-17T10:56:51Z</dcterms:modified>
</cp:coreProperties>
</file>