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niversityofcambridgecloud-my.sharepoint.com/personal/ab2472_cam_ac_uk/Documents/PhD/yr2/Working/Final_Code/Data/"/>
    </mc:Choice>
  </mc:AlternateContent>
  <xr:revisionPtr revIDLastSave="997" documentId="8_{673A798D-DBA7-4E81-8984-DB6B2C346D2C}" xr6:coauthVersionLast="47" xr6:coauthVersionMax="47" xr10:uidLastSave="{3F026DCF-0E9D-470E-B4F3-F077E03FF2D0}"/>
  <bookViews>
    <workbookView xWindow="-120" yWindow="-120" windowWidth="29040" windowHeight="15720" firstSheet="17" activeTab="6" xr2:uid="{41D9B7B1-D9D1-4F45-AA42-156F98D6083C}"/>
  </bookViews>
  <sheets>
    <sheet name="Contents" sheetId="1" r:id="rId1"/>
    <sheet name="1. Energy Sources" sheetId="2" r:id="rId2"/>
    <sheet name="2. H2 Production Methods" sheetId="3" r:id="rId3"/>
    <sheet name="3. H2 Production Infrastructure" sheetId="10" r:id="rId4"/>
    <sheet name="4. Transmission Infrastructure" sheetId="29" r:id="rId5"/>
    <sheet name="5. Transmission Vector" sheetId="36" r:id="rId6"/>
    <sheet name="6. MC Bounds" sheetId="38" r:id="rId7"/>
    <sheet name="References" sheetId="37" r:id="rId8"/>
    <sheet name="2.1" sheetId="11" r:id="rId9"/>
    <sheet name="2.2." sheetId="12" r:id="rId10"/>
    <sheet name="2.3" sheetId="13" r:id="rId11"/>
    <sheet name="2.4" sheetId="14" r:id="rId12"/>
    <sheet name="2.5." sheetId="8" r:id="rId13"/>
    <sheet name="2.6." sheetId="9" r:id="rId14"/>
    <sheet name="3.1. Centralised Offshore" sheetId="19" r:id="rId15"/>
    <sheet name="3.2. Decentralised Offshore" sheetId="22" r:id="rId16"/>
    <sheet name="3.3. Onshore" sheetId="23" r:id="rId17"/>
    <sheet name="4.1. Pipelines" sheetId="24" r:id="rId18"/>
    <sheet name="4.2. Cable" sheetId="25" r:id="rId19"/>
    <sheet name="4.3. Vessel - LH2" sheetId="26" r:id="rId20"/>
    <sheet name="4.4. Vessel - NH3" sheetId="27" r:id="rId21"/>
    <sheet name="4.5. Vessel LOHC" sheetId="28" r:id="rId22"/>
    <sheet name="5.1. LH2 " sheetId="32" r:id="rId23"/>
    <sheet name="5.2. CH2 - 60bar" sheetId="33" r:id="rId24"/>
    <sheet name="5.3. LOHC" sheetId="34" r:id="rId25"/>
    <sheet name="5.4. NH3" sheetId="35" r:id="rId26"/>
  </sheets>
  <externalReferences>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 i="36" l="1"/>
  <c r="Z4" i="36"/>
  <c r="E24" i="33"/>
  <c r="E25" i="33"/>
  <c r="E26" i="33"/>
  <c r="E27" i="33"/>
  <c r="E28" i="33"/>
  <c r="E29" i="33"/>
  <c r="E23" i="33"/>
  <c r="V5" i="26"/>
  <c r="W9" i="29" s="1"/>
  <c r="J13" i="3"/>
  <c r="J15" i="3"/>
  <c r="C49" i="19"/>
  <c r="X2" i="36"/>
  <c r="X3" i="36"/>
  <c r="X4" i="36"/>
  <c r="X5" i="36"/>
  <c r="X6" i="36"/>
  <c r="X7" i="36"/>
  <c r="D2" i="36"/>
  <c r="E2" i="36"/>
  <c r="F2" i="36"/>
  <c r="G2" i="36"/>
  <c r="H2" i="36"/>
  <c r="I2" i="36"/>
  <c r="J2" i="36"/>
  <c r="L2" i="36"/>
  <c r="M2" i="36"/>
  <c r="N2" i="36"/>
  <c r="P2" i="36"/>
  <c r="R2" i="36"/>
  <c r="S2" i="36"/>
  <c r="T2" i="36"/>
  <c r="V2" i="36"/>
  <c r="W2" i="36"/>
  <c r="D3" i="36"/>
  <c r="E3" i="36"/>
  <c r="F3" i="36"/>
  <c r="G3" i="36"/>
  <c r="H3" i="36"/>
  <c r="I3" i="36"/>
  <c r="J3" i="36"/>
  <c r="L3" i="36"/>
  <c r="M3" i="36"/>
  <c r="N3" i="36"/>
  <c r="P3" i="36"/>
  <c r="R3" i="36"/>
  <c r="S3" i="36"/>
  <c r="T3" i="36"/>
  <c r="V3" i="36"/>
  <c r="W3" i="36"/>
  <c r="D4" i="36"/>
  <c r="E4" i="36"/>
  <c r="F4" i="36"/>
  <c r="G4" i="36"/>
  <c r="H4" i="36"/>
  <c r="I4" i="36"/>
  <c r="J4" i="36"/>
  <c r="L4" i="36"/>
  <c r="M4" i="36"/>
  <c r="N4" i="36"/>
  <c r="P4" i="36"/>
  <c r="R4" i="36"/>
  <c r="S4" i="36"/>
  <c r="T4" i="36"/>
  <c r="V4" i="36"/>
  <c r="W4" i="36"/>
  <c r="D5" i="36"/>
  <c r="E5" i="36"/>
  <c r="F5" i="36"/>
  <c r="G5" i="36"/>
  <c r="H5" i="36"/>
  <c r="I5" i="36"/>
  <c r="J5" i="36"/>
  <c r="L5" i="36"/>
  <c r="M5" i="36"/>
  <c r="N5" i="36"/>
  <c r="P5" i="36"/>
  <c r="R5" i="36"/>
  <c r="S5" i="36"/>
  <c r="T5" i="36"/>
  <c r="V5" i="36"/>
  <c r="W5" i="36"/>
  <c r="D6" i="36"/>
  <c r="E6" i="36"/>
  <c r="F6" i="36"/>
  <c r="G6" i="36"/>
  <c r="H6" i="36"/>
  <c r="I6" i="36"/>
  <c r="J6" i="36"/>
  <c r="L6" i="36"/>
  <c r="M6" i="36"/>
  <c r="N6" i="36"/>
  <c r="P6" i="36"/>
  <c r="Q6" i="36"/>
  <c r="R6" i="36"/>
  <c r="S6" i="36"/>
  <c r="T6" i="36"/>
  <c r="U6" i="36"/>
  <c r="V6" i="36"/>
  <c r="W6" i="36"/>
  <c r="D7" i="36"/>
  <c r="E7" i="36"/>
  <c r="F7" i="36"/>
  <c r="G7" i="36"/>
  <c r="H7" i="36"/>
  <c r="I7" i="36"/>
  <c r="J7" i="36"/>
  <c r="L7" i="36"/>
  <c r="M7" i="36"/>
  <c r="N7" i="36"/>
  <c r="P7" i="36"/>
  <c r="Q7" i="36"/>
  <c r="R7" i="36"/>
  <c r="S7" i="36"/>
  <c r="T7" i="36"/>
  <c r="U7" i="36"/>
  <c r="V7" i="36"/>
  <c r="W7" i="36"/>
  <c r="D8" i="36"/>
  <c r="F8" i="36"/>
  <c r="G8" i="36"/>
  <c r="I8" i="36"/>
  <c r="J8" i="36"/>
  <c r="N8" i="36"/>
  <c r="T8" i="36"/>
  <c r="W8" i="36"/>
  <c r="D9" i="36"/>
  <c r="F9" i="36"/>
  <c r="G9" i="36"/>
  <c r="I9" i="36"/>
  <c r="J9" i="36"/>
  <c r="N9" i="36"/>
  <c r="T9" i="36"/>
  <c r="W9" i="36"/>
  <c r="D10" i="36"/>
  <c r="F10" i="36"/>
  <c r="G10" i="36"/>
  <c r="I10" i="36"/>
  <c r="J10" i="36"/>
  <c r="N10" i="36"/>
  <c r="T10" i="36"/>
  <c r="W10" i="36"/>
  <c r="D11" i="36"/>
  <c r="F11" i="36"/>
  <c r="G11" i="36"/>
  <c r="I11" i="36"/>
  <c r="J11" i="36"/>
  <c r="N11" i="36"/>
  <c r="T11" i="36"/>
  <c r="W11" i="36"/>
  <c r="C9" i="36"/>
  <c r="C10" i="36"/>
  <c r="C11" i="36"/>
  <c r="C8" i="36"/>
  <c r="C7" i="36"/>
  <c r="C6" i="36"/>
  <c r="C5" i="36"/>
  <c r="C4" i="36"/>
  <c r="C3" i="36"/>
  <c r="C2" i="36"/>
  <c r="X14" i="29"/>
  <c r="D8" i="29"/>
  <c r="E8" i="29"/>
  <c r="F8" i="29"/>
  <c r="G8" i="29"/>
  <c r="H8" i="29"/>
  <c r="I8" i="29"/>
  <c r="K8" i="29"/>
  <c r="L8" i="29"/>
  <c r="M8" i="29"/>
  <c r="O8" i="29"/>
  <c r="Q8" i="29"/>
  <c r="R8" i="29"/>
  <c r="S8" i="29"/>
  <c r="U8" i="29"/>
  <c r="V8" i="29"/>
  <c r="W8" i="29"/>
  <c r="X8" i="29"/>
  <c r="D9" i="29"/>
  <c r="E9" i="29"/>
  <c r="F9" i="29"/>
  <c r="G9" i="29"/>
  <c r="H9" i="29"/>
  <c r="I9" i="29"/>
  <c r="K9" i="29"/>
  <c r="L9" i="29"/>
  <c r="M9" i="29"/>
  <c r="O9" i="29"/>
  <c r="Q9" i="29"/>
  <c r="R9" i="29"/>
  <c r="S9" i="29"/>
  <c r="U9" i="29"/>
  <c r="V9" i="29"/>
  <c r="X9" i="29"/>
  <c r="D10" i="29"/>
  <c r="E10" i="29"/>
  <c r="F10" i="29"/>
  <c r="G10" i="29"/>
  <c r="H10" i="29"/>
  <c r="I10" i="29"/>
  <c r="J10" i="29"/>
  <c r="K10" i="29"/>
  <c r="L10" i="29"/>
  <c r="M10" i="29"/>
  <c r="N10" i="29"/>
  <c r="O10" i="29"/>
  <c r="P10" i="29"/>
  <c r="Q10" i="29"/>
  <c r="R10" i="29"/>
  <c r="S10" i="29"/>
  <c r="T10" i="29"/>
  <c r="U10" i="29"/>
  <c r="V10" i="29"/>
  <c r="W10" i="29"/>
  <c r="X10" i="29"/>
  <c r="D11" i="29"/>
  <c r="E11" i="29"/>
  <c r="F11" i="29"/>
  <c r="G11" i="29"/>
  <c r="H11" i="29"/>
  <c r="I11" i="29"/>
  <c r="J11" i="29"/>
  <c r="K11" i="29"/>
  <c r="L11" i="29"/>
  <c r="M11" i="29"/>
  <c r="N11" i="29"/>
  <c r="O11" i="29"/>
  <c r="P11" i="29"/>
  <c r="Q11" i="29"/>
  <c r="R11" i="29"/>
  <c r="S11" i="29"/>
  <c r="T11" i="29"/>
  <c r="U11" i="29"/>
  <c r="V11" i="29"/>
  <c r="W11" i="29"/>
  <c r="X11" i="29"/>
  <c r="D12" i="29"/>
  <c r="E12" i="29"/>
  <c r="F12" i="29"/>
  <c r="G12" i="29"/>
  <c r="H12" i="29"/>
  <c r="I12" i="29"/>
  <c r="J12" i="29"/>
  <c r="K12" i="29"/>
  <c r="L12" i="29"/>
  <c r="M12" i="29"/>
  <c r="N12" i="29"/>
  <c r="O12" i="29"/>
  <c r="P12" i="29"/>
  <c r="Q12" i="29"/>
  <c r="R12" i="29"/>
  <c r="T12" i="29"/>
  <c r="U12" i="29"/>
  <c r="V12" i="29"/>
  <c r="W12" i="29"/>
  <c r="X12" i="29"/>
  <c r="D13" i="29"/>
  <c r="E13" i="29"/>
  <c r="F13" i="29"/>
  <c r="G13" i="29"/>
  <c r="H13" i="29"/>
  <c r="I13" i="29"/>
  <c r="J13" i="29"/>
  <c r="K13" i="29"/>
  <c r="L13" i="29"/>
  <c r="M13" i="29"/>
  <c r="N13" i="29"/>
  <c r="O13" i="29"/>
  <c r="P13" i="29"/>
  <c r="Q13" i="29"/>
  <c r="R13" i="29"/>
  <c r="T13" i="29"/>
  <c r="U13" i="29"/>
  <c r="V13" i="29"/>
  <c r="W13" i="29"/>
  <c r="X13" i="29"/>
  <c r="D14" i="29"/>
  <c r="E14" i="29"/>
  <c r="F14" i="29"/>
  <c r="G14" i="29"/>
  <c r="H14" i="29"/>
  <c r="I14" i="29"/>
  <c r="J14" i="29"/>
  <c r="K14" i="29"/>
  <c r="L14" i="29"/>
  <c r="M14" i="29"/>
  <c r="N14" i="29"/>
  <c r="O14" i="29"/>
  <c r="P14" i="29"/>
  <c r="Q14" i="29"/>
  <c r="R14" i="29"/>
  <c r="S14" i="29"/>
  <c r="T14" i="29"/>
  <c r="U14" i="29"/>
  <c r="V14" i="29"/>
  <c r="W14" i="29"/>
  <c r="C8" i="29"/>
  <c r="C9" i="29"/>
  <c r="C10" i="29"/>
  <c r="C11" i="29"/>
  <c r="C12" i="29"/>
  <c r="C13" i="29"/>
  <c r="C14" i="29"/>
  <c r="D7" i="29"/>
  <c r="E7" i="29"/>
  <c r="F7" i="29"/>
  <c r="G7" i="29"/>
  <c r="H7" i="29"/>
  <c r="I7" i="29"/>
  <c r="J7" i="29"/>
  <c r="K7" i="29"/>
  <c r="L7" i="29"/>
  <c r="M7" i="29"/>
  <c r="N7" i="29"/>
  <c r="O7" i="29"/>
  <c r="P7" i="29"/>
  <c r="Q7" i="29"/>
  <c r="R7" i="29"/>
  <c r="S7" i="29"/>
  <c r="T7" i="29"/>
  <c r="U7" i="29"/>
  <c r="V7" i="29"/>
  <c r="W7" i="29"/>
  <c r="X7" i="29"/>
  <c r="C7" i="29"/>
  <c r="D2" i="29"/>
  <c r="E2" i="29"/>
  <c r="F2" i="29"/>
  <c r="G2" i="29"/>
  <c r="H2" i="29"/>
  <c r="I2" i="29"/>
  <c r="J2" i="29"/>
  <c r="K2" i="29"/>
  <c r="L2" i="29"/>
  <c r="M2" i="29"/>
  <c r="N2" i="29"/>
  <c r="O2" i="29"/>
  <c r="P2" i="29"/>
  <c r="Q2" i="29"/>
  <c r="R2" i="29"/>
  <c r="S2" i="29"/>
  <c r="T2" i="29"/>
  <c r="U2" i="29"/>
  <c r="V2" i="29"/>
  <c r="W2" i="29"/>
  <c r="X2" i="29"/>
  <c r="D3" i="29"/>
  <c r="E3" i="29"/>
  <c r="F3" i="29"/>
  <c r="G3" i="29"/>
  <c r="H3" i="29"/>
  <c r="I3" i="29"/>
  <c r="J3" i="29"/>
  <c r="K3" i="29"/>
  <c r="L3" i="29"/>
  <c r="M3" i="29"/>
  <c r="N3" i="29"/>
  <c r="O3" i="29"/>
  <c r="P3" i="29"/>
  <c r="Q3" i="29"/>
  <c r="R3" i="29"/>
  <c r="S3" i="29"/>
  <c r="T3" i="29"/>
  <c r="U3" i="29"/>
  <c r="V3" i="29"/>
  <c r="W3" i="29"/>
  <c r="X3" i="29"/>
  <c r="D4" i="29"/>
  <c r="E4" i="29"/>
  <c r="F4" i="29"/>
  <c r="G4" i="29"/>
  <c r="H4" i="29"/>
  <c r="I4" i="29"/>
  <c r="J4" i="29"/>
  <c r="L4" i="29"/>
  <c r="M4" i="29"/>
  <c r="N4" i="29"/>
  <c r="P4" i="29"/>
  <c r="R4" i="29"/>
  <c r="S4" i="29"/>
  <c r="T4" i="29"/>
  <c r="V4" i="29"/>
  <c r="W4" i="29"/>
  <c r="X4" i="29"/>
  <c r="D5" i="29"/>
  <c r="E5" i="29"/>
  <c r="F5" i="29"/>
  <c r="G5" i="29"/>
  <c r="H5" i="29"/>
  <c r="I5" i="29"/>
  <c r="J5" i="29"/>
  <c r="L5" i="29"/>
  <c r="M5" i="29"/>
  <c r="N5" i="29"/>
  <c r="P5" i="29"/>
  <c r="R5" i="29"/>
  <c r="S5" i="29"/>
  <c r="T5" i="29"/>
  <c r="V5" i="29"/>
  <c r="W5" i="29"/>
  <c r="X5" i="29"/>
  <c r="D6" i="29"/>
  <c r="E6" i="29"/>
  <c r="F6" i="29"/>
  <c r="G6" i="29"/>
  <c r="H6" i="29"/>
  <c r="I6" i="29"/>
  <c r="J6" i="29"/>
  <c r="K6" i="29"/>
  <c r="L6" i="29"/>
  <c r="M6" i="29"/>
  <c r="N6" i="29"/>
  <c r="O6" i="29"/>
  <c r="P6" i="29"/>
  <c r="Q6" i="29"/>
  <c r="R6" i="29"/>
  <c r="S6" i="29"/>
  <c r="T6" i="29"/>
  <c r="U6" i="29"/>
  <c r="V6" i="29"/>
  <c r="W6" i="29"/>
  <c r="X6" i="29"/>
  <c r="C3" i="29"/>
  <c r="C4" i="29"/>
  <c r="C5" i="29"/>
  <c r="C6" i="29"/>
  <c r="C2" i="29"/>
  <c r="D7" i="10"/>
  <c r="E7" i="10"/>
  <c r="F7" i="10"/>
  <c r="G7" i="10"/>
  <c r="H7" i="10"/>
  <c r="I7" i="10"/>
  <c r="J7" i="10"/>
  <c r="K7" i="10"/>
  <c r="L7" i="10"/>
  <c r="M7" i="10"/>
  <c r="N7" i="10"/>
  <c r="O7" i="10"/>
  <c r="P7" i="10"/>
  <c r="Q7" i="10"/>
  <c r="R7" i="10"/>
  <c r="S7" i="10"/>
  <c r="T7" i="10"/>
  <c r="U7" i="10"/>
  <c r="V7" i="10"/>
  <c r="W7" i="10"/>
  <c r="D8" i="10"/>
  <c r="E8" i="10"/>
  <c r="F8" i="10"/>
  <c r="G8" i="10"/>
  <c r="H8" i="10"/>
  <c r="I8" i="10"/>
  <c r="J8" i="10"/>
  <c r="K8" i="10"/>
  <c r="L8" i="10"/>
  <c r="M8" i="10"/>
  <c r="N8" i="10"/>
  <c r="O8" i="10"/>
  <c r="P8" i="10"/>
  <c r="Q8" i="10"/>
  <c r="R8" i="10"/>
  <c r="S8" i="10"/>
  <c r="T8" i="10"/>
  <c r="U8" i="10"/>
  <c r="V8" i="10"/>
  <c r="W8" i="10"/>
  <c r="D9" i="10"/>
  <c r="E9" i="10"/>
  <c r="F9" i="10"/>
  <c r="G9" i="10"/>
  <c r="H9" i="10"/>
  <c r="I9" i="10"/>
  <c r="J9" i="10"/>
  <c r="K9" i="10"/>
  <c r="L9" i="10"/>
  <c r="M9" i="10"/>
  <c r="N9" i="10"/>
  <c r="O9" i="10"/>
  <c r="P9" i="10"/>
  <c r="Q9" i="10"/>
  <c r="R9" i="10"/>
  <c r="S9" i="10"/>
  <c r="T9" i="10"/>
  <c r="U9" i="10"/>
  <c r="V9" i="10"/>
  <c r="W9" i="10"/>
  <c r="D10" i="10"/>
  <c r="E10" i="10"/>
  <c r="F10" i="10"/>
  <c r="G10" i="10"/>
  <c r="H10" i="10"/>
  <c r="I10" i="10"/>
  <c r="J10" i="10"/>
  <c r="K10" i="10"/>
  <c r="L10" i="10"/>
  <c r="M10" i="10"/>
  <c r="N10" i="10"/>
  <c r="O10" i="10"/>
  <c r="P10" i="10"/>
  <c r="Q10" i="10"/>
  <c r="R10" i="10"/>
  <c r="S10" i="10"/>
  <c r="T10" i="10"/>
  <c r="U10" i="10"/>
  <c r="V10" i="10"/>
  <c r="W10" i="10"/>
  <c r="D11" i="10"/>
  <c r="E11" i="10"/>
  <c r="F11" i="10"/>
  <c r="G11" i="10"/>
  <c r="H11" i="10"/>
  <c r="I11" i="10"/>
  <c r="J11" i="10"/>
  <c r="K11" i="10"/>
  <c r="L11" i="10"/>
  <c r="M11" i="10"/>
  <c r="N11" i="10"/>
  <c r="O11" i="10"/>
  <c r="P11" i="10"/>
  <c r="Q11" i="10"/>
  <c r="R11" i="10"/>
  <c r="S11" i="10"/>
  <c r="T11" i="10"/>
  <c r="U11" i="10"/>
  <c r="V11" i="10"/>
  <c r="W11" i="10"/>
  <c r="C8" i="10"/>
  <c r="C9" i="10"/>
  <c r="C10" i="10"/>
  <c r="C11" i="10"/>
  <c r="C7" i="10"/>
  <c r="D5" i="10"/>
  <c r="E5" i="10"/>
  <c r="F5" i="10"/>
  <c r="H5" i="10"/>
  <c r="I5" i="10"/>
  <c r="J5" i="10"/>
  <c r="K5" i="10"/>
  <c r="L5" i="10"/>
  <c r="M5" i="10"/>
  <c r="N5" i="10"/>
  <c r="O5" i="10"/>
  <c r="P5" i="10"/>
  <c r="Q5" i="10"/>
  <c r="R5" i="10"/>
  <c r="S5" i="10"/>
  <c r="T5" i="10"/>
  <c r="U5" i="10"/>
  <c r="V5" i="10"/>
  <c r="W5" i="10"/>
  <c r="D6" i="10"/>
  <c r="E6" i="10"/>
  <c r="F6" i="10"/>
  <c r="G6" i="10"/>
  <c r="H6" i="10"/>
  <c r="I6" i="10"/>
  <c r="J6" i="10"/>
  <c r="K6" i="10"/>
  <c r="L6" i="10"/>
  <c r="M6" i="10"/>
  <c r="N6" i="10"/>
  <c r="O6" i="10"/>
  <c r="P6" i="10"/>
  <c r="Q6" i="10"/>
  <c r="R6" i="10"/>
  <c r="S6" i="10"/>
  <c r="T6" i="10"/>
  <c r="U6" i="10"/>
  <c r="V6" i="10"/>
  <c r="W6" i="10"/>
  <c r="C6" i="10"/>
  <c r="C5" i="10"/>
  <c r="D2" i="10" l="1"/>
  <c r="E2" i="10"/>
  <c r="F2" i="10"/>
  <c r="G2" i="10"/>
  <c r="H2" i="10"/>
  <c r="I2" i="10"/>
  <c r="J2" i="10"/>
  <c r="L2" i="10"/>
  <c r="M2" i="10"/>
  <c r="N2" i="10"/>
  <c r="P2" i="10"/>
  <c r="R2" i="10"/>
  <c r="S2" i="10"/>
  <c r="T2" i="10"/>
  <c r="V2" i="10"/>
  <c r="W2" i="10"/>
  <c r="D3" i="10"/>
  <c r="E3" i="10"/>
  <c r="F3" i="10"/>
  <c r="G3" i="10"/>
  <c r="H3" i="10"/>
  <c r="I3" i="10"/>
  <c r="J3" i="10"/>
  <c r="K3" i="10"/>
  <c r="L3" i="10"/>
  <c r="M3" i="10"/>
  <c r="N3" i="10"/>
  <c r="O3" i="10"/>
  <c r="P3" i="10"/>
  <c r="Q3" i="10"/>
  <c r="R3" i="10"/>
  <c r="S3" i="10"/>
  <c r="T3" i="10"/>
  <c r="U3" i="10"/>
  <c r="V3" i="10"/>
  <c r="W3" i="10"/>
  <c r="D4" i="10"/>
  <c r="E4" i="10"/>
  <c r="F4" i="10"/>
  <c r="G4" i="10"/>
  <c r="H4" i="10"/>
  <c r="I4" i="10"/>
  <c r="J4" i="10"/>
  <c r="K4" i="10"/>
  <c r="L4" i="10"/>
  <c r="M4" i="10"/>
  <c r="N4" i="10"/>
  <c r="O4" i="10"/>
  <c r="P4" i="10"/>
  <c r="Q4" i="10"/>
  <c r="R4" i="10"/>
  <c r="S4" i="10"/>
  <c r="T4" i="10"/>
  <c r="U4" i="10"/>
  <c r="V4" i="10"/>
  <c r="W4" i="10"/>
  <c r="C3" i="10"/>
  <c r="C4" i="10"/>
  <c r="C2" i="10"/>
  <c r="D14" i="3"/>
  <c r="E14" i="3"/>
  <c r="F14" i="3"/>
  <c r="G14" i="3"/>
  <c r="H14" i="3"/>
  <c r="I14" i="3"/>
  <c r="J14" i="3"/>
  <c r="K14" i="3"/>
  <c r="L14" i="3"/>
  <c r="M14" i="3"/>
  <c r="N14" i="3"/>
  <c r="O14" i="3"/>
  <c r="P14" i="3"/>
  <c r="Q14" i="3"/>
  <c r="R14" i="3"/>
  <c r="S14" i="3"/>
  <c r="T14" i="3"/>
  <c r="U14" i="3"/>
  <c r="V14" i="3"/>
  <c r="W14" i="3"/>
  <c r="D15" i="3"/>
  <c r="E15" i="3"/>
  <c r="F15" i="3"/>
  <c r="G15" i="3"/>
  <c r="H15" i="3"/>
  <c r="I15" i="3"/>
  <c r="K15" i="3"/>
  <c r="L15" i="3"/>
  <c r="M15" i="3"/>
  <c r="N15" i="3"/>
  <c r="O15" i="3"/>
  <c r="P15" i="3"/>
  <c r="Q15" i="3"/>
  <c r="R15" i="3"/>
  <c r="S15" i="3"/>
  <c r="T15" i="3"/>
  <c r="U15" i="3"/>
  <c r="V15" i="3"/>
  <c r="W15" i="3"/>
  <c r="C15" i="3"/>
  <c r="C14" i="3"/>
  <c r="D10" i="3"/>
  <c r="E10" i="3"/>
  <c r="F10" i="3"/>
  <c r="G10" i="3"/>
  <c r="H10" i="3"/>
  <c r="I10" i="3"/>
  <c r="J10" i="3"/>
  <c r="K10" i="3"/>
  <c r="L10" i="3"/>
  <c r="M10" i="3"/>
  <c r="N10" i="3"/>
  <c r="O10" i="3"/>
  <c r="P10" i="3"/>
  <c r="Q10" i="3"/>
  <c r="R10" i="3"/>
  <c r="S10" i="3"/>
  <c r="T10" i="3"/>
  <c r="U10" i="3"/>
  <c r="V10" i="3"/>
  <c r="W10" i="3"/>
  <c r="D11" i="3"/>
  <c r="E11" i="3"/>
  <c r="F11" i="3"/>
  <c r="G11" i="3"/>
  <c r="H11" i="3"/>
  <c r="I11" i="3"/>
  <c r="J11" i="3"/>
  <c r="K11" i="3"/>
  <c r="L11" i="3"/>
  <c r="M11" i="3"/>
  <c r="N11" i="3"/>
  <c r="O11" i="3"/>
  <c r="P11" i="3"/>
  <c r="Q11" i="3"/>
  <c r="R11" i="3"/>
  <c r="S11" i="3"/>
  <c r="T11" i="3"/>
  <c r="U11" i="3"/>
  <c r="V11" i="3"/>
  <c r="W11" i="3"/>
  <c r="D12" i="3"/>
  <c r="E12" i="3"/>
  <c r="F12" i="3"/>
  <c r="G12" i="3"/>
  <c r="H12" i="3"/>
  <c r="I12" i="3"/>
  <c r="J12" i="3"/>
  <c r="K12" i="3"/>
  <c r="L12" i="3"/>
  <c r="M12" i="3"/>
  <c r="N12" i="3"/>
  <c r="O12" i="3"/>
  <c r="P12" i="3"/>
  <c r="Q12" i="3"/>
  <c r="R12" i="3"/>
  <c r="S12" i="3"/>
  <c r="T12" i="3"/>
  <c r="U12" i="3"/>
  <c r="V12" i="3"/>
  <c r="W12" i="3"/>
  <c r="D13" i="3"/>
  <c r="E13" i="3"/>
  <c r="F13" i="3"/>
  <c r="G13" i="3"/>
  <c r="H13" i="3"/>
  <c r="I13" i="3"/>
  <c r="K13" i="3"/>
  <c r="L13" i="3"/>
  <c r="M13" i="3"/>
  <c r="N13" i="3"/>
  <c r="O13" i="3"/>
  <c r="P13" i="3"/>
  <c r="Q13" i="3"/>
  <c r="R13" i="3"/>
  <c r="S13" i="3"/>
  <c r="T13" i="3"/>
  <c r="U13" i="3"/>
  <c r="V13" i="3"/>
  <c r="W13" i="3"/>
  <c r="C12" i="3"/>
  <c r="C13" i="3"/>
  <c r="C11" i="3"/>
  <c r="C10" i="3"/>
  <c r="D8" i="3"/>
  <c r="G8" i="3"/>
  <c r="I8" i="3"/>
  <c r="J8" i="3"/>
  <c r="N8" i="3"/>
  <c r="T8" i="3"/>
  <c r="D9" i="3"/>
  <c r="G9" i="3"/>
  <c r="I9" i="3"/>
  <c r="J9" i="3"/>
  <c r="L9" i="3"/>
  <c r="N9" i="3"/>
  <c r="P9" i="3"/>
  <c r="R9" i="3"/>
  <c r="T9" i="3"/>
  <c r="V9" i="3"/>
  <c r="C9" i="3"/>
  <c r="C8" i="3"/>
  <c r="C7" i="3"/>
  <c r="D7" i="3"/>
  <c r="G7" i="3"/>
  <c r="I7" i="3"/>
  <c r="J7" i="3"/>
  <c r="L7" i="3"/>
  <c r="N7" i="3"/>
  <c r="P7" i="3"/>
  <c r="R7" i="3"/>
  <c r="T7" i="3"/>
  <c r="V7" i="3"/>
  <c r="D6" i="3"/>
  <c r="G6" i="3"/>
  <c r="I6" i="3"/>
  <c r="J6" i="3"/>
  <c r="N6" i="3"/>
  <c r="T6" i="3"/>
  <c r="C6" i="3"/>
  <c r="C5" i="3"/>
  <c r="D5" i="3"/>
  <c r="G5" i="3"/>
  <c r="I5" i="3"/>
  <c r="J5" i="3"/>
  <c r="L5" i="3"/>
  <c r="N5" i="3"/>
  <c r="P5" i="3"/>
  <c r="R5" i="3"/>
  <c r="T5" i="3"/>
  <c r="V5" i="3"/>
  <c r="D4" i="3"/>
  <c r="G4" i="3"/>
  <c r="I4" i="3"/>
  <c r="J4" i="3"/>
  <c r="N4" i="3"/>
  <c r="T4" i="3"/>
  <c r="C4" i="3"/>
  <c r="C3" i="3"/>
  <c r="D3" i="3"/>
  <c r="E3" i="3"/>
  <c r="F3" i="3"/>
  <c r="G3" i="3"/>
  <c r="H3" i="3"/>
  <c r="I3" i="3"/>
  <c r="J3" i="3"/>
  <c r="L3" i="3"/>
  <c r="M3" i="3"/>
  <c r="N3" i="3"/>
  <c r="P3" i="3"/>
  <c r="R3" i="3"/>
  <c r="S3" i="3"/>
  <c r="T3" i="3"/>
  <c r="V3" i="3"/>
  <c r="W3" i="3"/>
  <c r="D2" i="3"/>
  <c r="E2" i="3"/>
  <c r="F2" i="3"/>
  <c r="G2" i="3"/>
  <c r="H2" i="3"/>
  <c r="I2" i="3"/>
  <c r="J2" i="3"/>
  <c r="K2" i="3"/>
  <c r="M2" i="3"/>
  <c r="N2" i="3"/>
  <c r="O2" i="3"/>
  <c r="Q2" i="3"/>
  <c r="S2" i="3"/>
  <c r="T2" i="3"/>
  <c r="U2" i="3"/>
  <c r="W2" i="3"/>
  <c r="C2" i="3"/>
  <c r="F47" i="34"/>
  <c r="H52" i="35"/>
  <c r="G52" i="35" s="1"/>
  <c r="H51" i="35"/>
  <c r="G51" i="35"/>
  <c r="H40" i="35"/>
  <c r="G40" i="35"/>
  <c r="H39" i="35"/>
  <c r="K6" i="35" s="1"/>
  <c r="L10" i="36" s="1"/>
  <c r="G39" i="35"/>
  <c r="Q4" i="35" s="1"/>
  <c r="R8" i="36" s="1"/>
  <c r="D33" i="35"/>
  <c r="D28" i="35"/>
  <c r="D30" i="35" s="1"/>
  <c r="D31" i="35" s="1"/>
  <c r="I35" i="35" s="1"/>
  <c r="D17" i="35"/>
  <c r="D7" i="35" s="1"/>
  <c r="E11" i="36" s="1"/>
  <c r="F16" i="35"/>
  <c r="G16" i="35" s="1"/>
  <c r="F15" i="35"/>
  <c r="D14" i="35"/>
  <c r="D12" i="35"/>
  <c r="F12" i="35" s="1"/>
  <c r="F11" i="35"/>
  <c r="W7" i="35"/>
  <c r="X11" i="36" s="1"/>
  <c r="W6" i="35"/>
  <c r="X10" i="36" s="1"/>
  <c r="L6" i="35"/>
  <c r="M10" i="36" s="1"/>
  <c r="W5" i="35"/>
  <c r="X9" i="36" s="1"/>
  <c r="W4" i="35"/>
  <c r="X8" i="36" s="1"/>
  <c r="L4" i="35"/>
  <c r="M8" i="36" s="1"/>
  <c r="D4" i="35"/>
  <c r="E8" i="36" s="1"/>
  <c r="G48" i="34"/>
  <c r="F48" i="34"/>
  <c r="G47" i="34"/>
  <c r="G37" i="34"/>
  <c r="F37" i="34"/>
  <c r="G36" i="34"/>
  <c r="J4" i="34" s="1"/>
  <c r="F36" i="34"/>
  <c r="P4" i="34" s="1"/>
  <c r="E28" i="34"/>
  <c r="G28" i="34" s="1"/>
  <c r="E27" i="34"/>
  <c r="H26" i="34"/>
  <c r="E26" i="34"/>
  <c r="G26" i="34" s="1"/>
  <c r="E25" i="34"/>
  <c r="I25" i="34" s="1"/>
  <c r="K25" i="34" s="1"/>
  <c r="C16" i="34"/>
  <c r="C4" i="34" s="1"/>
  <c r="C14" i="34"/>
  <c r="C13" i="34"/>
  <c r="F5" i="34" s="1"/>
  <c r="E12" i="34"/>
  <c r="F12" i="34" s="1"/>
  <c r="K5" i="34" s="1"/>
  <c r="E11" i="34"/>
  <c r="Q5" i="34"/>
  <c r="E5" i="34"/>
  <c r="D5" i="34"/>
  <c r="Q4" i="34"/>
  <c r="K4" i="34"/>
  <c r="F4" i="34"/>
  <c r="E4" i="34"/>
  <c r="D4" i="34"/>
  <c r="G36" i="33"/>
  <c r="F36" i="33"/>
  <c r="G35" i="33"/>
  <c r="J4" i="33" s="1"/>
  <c r="F35" i="33"/>
  <c r="P4" i="33" s="1"/>
  <c r="I28" i="33"/>
  <c r="I27" i="33"/>
  <c r="I26" i="33"/>
  <c r="H24" i="33"/>
  <c r="H23" i="33"/>
  <c r="E15" i="33"/>
  <c r="E14" i="33"/>
  <c r="E12" i="33"/>
  <c r="Q5" i="33" s="1"/>
  <c r="E11" i="33"/>
  <c r="V5" i="33"/>
  <c r="F5" i="33"/>
  <c r="C5" i="33"/>
  <c r="V4" i="33"/>
  <c r="Q4" i="33"/>
  <c r="F4" i="33"/>
  <c r="C4" i="33"/>
  <c r="G76" i="32"/>
  <c r="F76" i="32"/>
  <c r="G75" i="32"/>
  <c r="F75" i="32"/>
  <c r="T4" i="32" s="1"/>
  <c r="C65" i="32"/>
  <c r="B65" i="32"/>
  <c r="C64" i="32"/>
  <c r="B64" i="32"/>
  <c r="C63" i="32"/>
  <c r="B63" i="32"/>
  <c r="E60" i="32"/>
  <c r="F60" i="32" s="1"/>
  <c r="D60" i="32"/>
  <c r="C60" i="32"/>
  <c r="B57" i="32"/>
  <c r="F47" i="32"/>
  <c r="E47" i="32"/>
  <c r="C46" i="32"/>
  <c r="F42" i="32"/>
  <c r="E42" i="32"/>
  <c r="F41" i="32"/>
  <c r="E41" i="32"/>
  <c r="F40" i="32"/>
  <c r="E40" i="32"/>
  <c r="F39" i="32"/>
  <c r="E39" i="32"/>
  <c r="C38" i="32"/>
  <c r="B33" i="32"/>
  <c r="C18" i="32"/>
  <c r="E18" i="32" s="1"/>
  <c r="C17" i="32"/>
  <c r="E17" i="32" s="1"/>
  <c r="C15" i="32"/>
  <c r="E15" i="32" s="1"/>
  <c r="E13" i="32"/>
  <c r="E14" i="32" s="1"/>
  <c r="T5" i="32"/>
  <c r="J5" i="32"/>
  <c r="N5" i="32" s="1"/>
  <c r="Q4" i="32"/>
  <c r="N4" i="32"/>
  <c r="G6" i="35" l="1"/>
  <c r="H10" i="36" s="1"/>
  <c r="G5" i="35"/>
  <c r="H9" i="36" s="1"/>
  <c r="G4" i="35"/>
  <c r="H8" i="36" s="1"/>
  <c r="I36" i="35"/>
  <c r="D5" i="35"/>
  <c r="E9" i="36" s="1"/>
  <c r="D6" i="35"/>
  <c r="E10" i="36" s="1"/>
  <c r="G7" i="35"/>
  <c r="H11" i="36" s="1"/>
  <c r="E48" i="32"/>
  <c r="F48" i="32"/>
  <c r="J26" i="34"/>
  <c r="G25" i="34"/>
  <c r="H25" i="34"/>
  <c r="J25" i="34" s="1"/>
  <c r="C5" i="34"/>
  <c r="I26" i="34"/>
  <c r="K26" i="34" s="1"/>
  <c r="G27" i="34"/>
  <c r="V4" i="32"/>
  <c r="V5" i="32"/>
  <c r="R4" i="35"/>
  <c r="S8" i="36" s="1"/>
  <c r="F13" i="35"/>
  <c r="R6" i="35"/>
  <c r="S10" i="36" s="1"/>
  <c r="D65" i="32"/>
  <c r="E65" i="32"/>
  <c r="E63" i="32"/>
  <c r="D64" i="32"/>
  <c r="E64" i="32"/>
  <c r="E66" i="32" s="1"/>
  <c r="F29" i="33"/>
  <c r="H29" i="33"/>
  <c r="I29" i="33"/>
  <c r="F14" i="32"/>
  <c r="K5" i="32" s="1"/>
  <c r="Q5" i="32"/>
  <c r="P5" i="33"/>
  <c r="T5" i="33" s="1"/>
  <c r="T4" i="33"/>
  <c r="C5" i="32"/>
  <c r="C4" i="32"/>
  <c r="D63" i="32"/>
  <c r="D66" i="32" s="1"/>
  <c r="J7" i="35"/>
  <c r="J6" i="35"/>
  <c r="J4" i="35"/>
  <c r="J5" i="35"/>
  <c r="H35" i="35"/>
  <c r="H36" i="35" s="1"/>
  <c r="U4" i="35"/>
  <c r="V8" i="36" s="1"/>
  <c r="Q5" i="35"/>
  <c r="K7" i="35"/>
  <c r="O6" i="35"/>
  <c r="P10" i="36" s="1"/>
  <c r="T4" i="34"/>
  <c r="P5" i="34"/>
  <c r="T5" i="34" s="1"/>
  <c r="N4" i="34"/>
  <c r="J5" i="34"/>
  <c r="N5" i="34" s="1"/>
  <c r="F5" i="32"/>
  <c r="F4" i="32"/>
  <c r="N4" i="33"/>
  <c r="J5" i="33"/>
  <c r="N5" i="33" s="1"/>
  <c r="F26" i="33"/>
  <c r="F12" i="33"/>
  <c r="K5" i="33" s="1"/>
  <c r="H26" i="33"/>
  <c r="Q6" i="35"/>
  <c r="R10" i="36" s="1"/>
  <c r="K4" i="35"/>
  <c r="L8" i="36" s="1"/>
  <c r="I23" i="33"/>
  <c r="F28" i="33"/>
  <c r="I24" i="33"/>
  <c r="H27" i="34"/>
  <c r="J27" i="34" s="1"/>
  <c r="I27" i="34"/>
  <c r="K27" i="34" s="1"/>
  <c r="F23" i="33"/>
  <c r="F27" i="33"/>
  <c r="H27" i="33"/>
  <c r="F24" i="33"/>
  <c r="H28" i="33"/>
  <c r="O7" i="35" l="1"/>
  <c r="P11" i="36" s="1"/>
  <c r="L11" i="36"/>
  <c r="U5" i="35"/>
  <c r="V9" i="36" s="1"/>
  <c r="R9" i="36"/>
  <c r="N5" i="35"/>
  <c r="O9" i="36" s="1"/>
  <c r="K9" i="36"/>
  <c r="N4" i="35"/>
  <c r="O8" i="36" s="1"/>
  <c r="K8" i="36"/>
  <c r="N6" i="35"/>
  <c r="O10" i="36" s="1"/>
  <c r="K10" i="36"/>
  <c r="N7" i="35"/>
  <c r="O11" i="36" s="1"/>
  <c r="K11" i="36"/>
  <c r="J30" i="34"/>
  <c r="O4" i="32"/>
  <c r="I5" i="32"/>
  <c r="G30" i="34"/>
  <c r="K30" i="34"/>
  <c r="O5" i="32"/>
  <c r="I4" i="32"/>
  <c r="P4" i="35"/>
  <c r="P5" i="35"/>
  <c r="P6" i="35"/>
  <c r="P7" i="35"/>
  <c r="F25" i="33"/>
  <c r="F30" i="33" s="1"/>
  <c r="H25" i="33"/>
  <c r="H30" i="33" s="1"/>
  <c r="I25" i="33"/>
  <c r="I30" i="33" s="1"/>
  <c r="G13" i="35"/>
  <c r="R5" i="35"/>
  <c r="S9" i="36" s="1"/>
  <c r="R7" i="35"/>
  <c r="S11" i="36" s="1"/>
  <c r="O4" i="35"/>
  <c r="P8" i="36" s="1"/>
  <c r="K5" i="35"/>
  <c r="U6" i="35"/>
  <c r="V10" i="36" s="1"/>
  <c r="Q7" i="35"/>
  <c r="O5" i="35" l="1"/>
  <c r="P9" i="36" s="1"/>
  <c r="L9" i="36"/>
  <c r="T7" i="35"/>
  <c r="U11" i="36" s="1"/>
  <c r="Q11" i="36"/>
  <c r="T6" i="35"/>
  <c r="U10" i="36" s="1"/>
  <c r="Q10" i="36"/>
  <c r="T5" i="35"/>
  <c r="U9" i="36" s="1"/>
  <c r="Q9" i="36"/>
  <c r="T4" i="35"/>
  <c r="U8" i="36" s="1"/>
  <c r="Q8" i="36"/>
  <c r="U7" i="35"/>
  <c r="V11" i="36" s="1"/>
  <c r="R11" i="36"/>
  <c r="M4" i="32"/>
  <c r="O2" i="36" s="1"/>
  <c r="K2" i="36"/>
  <c r="S5" i="32"/>
  <c r="U3" i="36" s="1"/>
  <c r="Q3" i="36"/>
  <c r="M5" i="32"/>
  <c r="O3" i="36" s="1"/>
  <c r="K3" i="36"/>
  <c r="S4" i="32"/>
  <c r="U2" i="36" s="1"/>
  <c r="Q2" i="36"/>
  <c r="G40" i="34"/>
  <c r="F40" i="34" s="1"/>
  <c r="O5" i="34" s="1"/>
  <c r="S5" i="34" s="1"/>
  <c r="G39" i="34"/>
  <c r="G39" i="33"/>
  <c r="F39" i="33" s="1"/>
  <c r="G38" i="33"/>
  <c r="F38" i="33" s="1"/>
  <c r="L7" i="35"/>
  <c r="M11" i="36" s="1"/>
  <c r="L5" i="35"/>
  <c r="M9" i="36" s="1"/>
  <c r="I5" i="33" l="1"/>
  <c r="M5" i="33" s="1"/>
  <c r="O5" i="36" s="1"/>
  <c r="I4" i="33"/>
  <c r="O5" i="33"/>
  <c r="S5" i="33" s="1"/>
  <c r="U5" i="36" s="1"/>
  <c r="M4" i="33"/>
  <c r="O4" i="36" s="1"/>
  <c r="F39" i="34"/>
  <c r="O4" i="34" s="1"/>
  <c r="S4" i="34" s="1"/>
  <c r="I5" i="34"/>
  <c r="I4" i="34"/>
  <c r="O4" i="33"/>
  <c r="K5" i="36" l="1"/>
  <c r="K4" i="36"/>
  <c r="Q5" i="36"/>
  <c r="S4" i="33"/>
  <c r="U4" i="36" s="1"/>
  <c r="Q4" i="36"/>
  <c r="M4" i="34"/>
  <c r="O6" i="36" s="1"/>
  <c r="K6" i="36"/>
  <c r="M5" i="34"/>
  <c r="O7" i="36" s="1"/>
  <c r="K7" i="36"/>
  <c r="G4" i="26"/>
  <c r="F17" i="26"/>
  <c r="F16" i="26"/>
  <c r="D17" i="26"/>
  <c r="D16" i="26"/>
  <c r="D11" i="26"/>
  <c r="C40" i="28" l="1"/>
  <c r="B32" i="28"/>
  <c r="B30" i="28"/>
  <c r="B31" i="28" s="1"/>
  <c r="B33" i="28" s="1"/>
  <c r="D24" i="28"/>
  <c r="C24" i="28"/>
  <c r="C11" i="28" s="1"/>
  <c r="F23" i="28"/>
  <c r="E23" i="28"/>
  <c r="E22" i="28"/>
  <c r="F22" i="28" s="1"/>
  <c r="F21" i="28"/>
  <c r="E21" i="28"/>
  <c r="F20" i="28"/>
  <c r="E20" i="28"/>
  <c r="E19" i="28"/>
  <c r="F19" i="28" s="1"/>
  <c r="E18" i="28"/>
  <c r="F18" i="28" s="1"/>
  <c r="C18" i="28"/>
  <c r="E17" i="28"/>
  <c r="E24" i="28" s="1"/>
  <c r="C12" i="28" s="1"/>
  <c r="E12" i="28" s="1"/>
  <c r="F12" i="28" s="1"/>
  <c r="K4" i="28" s="1"/>
  <c r="A11" i="28"/>
  <c r="E9" i="28"/>
  <c r="C8" i="28"/>
  <c r="E7" i="28"/>
  <c r="E8" i="28" s="1"/>
  <c r="C4" i="28" s="1"/>
  <c r="N4" i="28"/>
  <c r="R4" i="28" s="1"/>
  <c r="H4" i="28"/>
  <c r="L4" i="28" s="1"/>
  <c r="F4" i="28"/>
  <c r="E4" i="28"/>
  <c r="C44" i="27"/>
  <c r="C39" i="27"/>
  <c r="B39" i="27"/>
  <c r="E39" i="27" s="1"/>
  <c r="D38" i="27"/>
  <c r="E38" i="27" s="1"/>
  <c r="D37" i="27"/>
  <c r="E37" i="27" s="1"/>
  <c r="E36" i="27"/>
  <c r="D36" i="27"/>
  <c r="D35" i="27"/>
  <c r="E35" i="27" s="1"/>
  <c r="E34" i="27"/>
  <c r="D34" i="27"/>
  <c r="D33" i="27"/>
  <c r="B33" i="27"/>
  <c r="E33" i="27" s="1"/>
  <c r="D32" i="27"/>
  <c r="E32" i="27" s="1"/>
  <c r="B28" i="27"/>
  <c r="B27" i="27"/>
  <c r="A15" i="27"/>
  <c r="E13" i="27"/>
  <c r="F6" i="27" s="1"/>
  <c r="F7" i="27" s="1"/>
  <c r="C12" i="27"/>
  <c r="E12" i="27" s="1"/>
  <c r="E11" i="27"/>
  <c r="R7" i="27"/>
  <c r="N7" i="27"/>
  <c r="H7" i="27"/>
  <c r="L7" i="27" s="1"/>
  <c r="E7" i="27"/>
  <c r="C7" i="27"/>
  <c r="N6" i="27"/>
  <c r="R6" i="27" s="1"/>
  <c r="L6" i="27"/>
  <c r="H6" i="27"/>
  <c r="E6" i="27"/>
  <c r="N5" i="27"/>
  <c r="R5" i="27" s="1"/>
  <c r="H5" i="27"/>
  <c r="L5" i="27" s="1"/>
  <c r="E5" i="27"/>
  <c r="C5" i="27"/>
  <c r="N4" i="27"/>
  <c r="R4" i="27" s="1"/>
  <c r="H4" i="27"/>
  <c r="L4" i="27" s="1"/>
  <c r="E4" i="27"/>
  <c r="A108" i="26"/>
  <c r="A104" i="26"/>
  <c r="D58" i="26"/>
  <c r="C58" i="26"/>
  <c r="D57" i="26"/>
  <c r="C57" i="26"/>
  <c r="D56" i="26"/>
  <c r="C56" i="26"/>
  <c r="C53" i="26"/>
  <c r="D43" i="26"/>
  <c r="D53" i="26" s="1"/>
  <c r="E53" i="26" s="1"/>
  <c r="H42" i="26"/>
  <c r="G42" i="26"/>
  <c r="H40" i="26"/>
  <c r="G40" i="26"/>
  <c r="D39" i="26"/>
  <c r="H39" i="26" s="1"/>
  <c r="D23" i="26"/>
  <c r="C23" i="26"/>
  <c r="F15" i="26"/>
  <c r="D24" i="26" s="1"/>
  <c r="D26" i="26" s="1"/>
  <c r="D27" i="26" s="1"/>
  <c r="D28" i="26" s="1"/>
  <c r="D29" i="26" s="1"/>
  <c r="F11" i="26"/>
  <c r="F9" i="26"/>
  <c r="D4" i="26" s="1"/>
  <c r="D9" i="26"/>
  <c r="F8" i="26"/>
  <c r="F5" i="26"/>
  <c r="V4" i="26"/>
  <c r="P4" i="26"/>
  <c r="J4" i="26"/>
  <c r="F4" i="26"/>
  <c r="U4" i="25"/>
  <c r="U7" i="24"/>
  <c r="U6" i="24"/>
  <c r="U4" i="24"/>
  <c r="E30" i="24"/>
  <c r="D29" i="24"/>
  <c r="D30" i="24" s="1"/>
  <c r="C23" i="24"/>
  <c r="D23" i="24" s="1"/>
  <c r="E22" i="24"/>
  <c r="C22" i="24"/>
  <c r="D22" i="24" s="1"/>
  <c r="D21" i="24"/>
  <c r="C21" i="24"/>
  <c r="E21" i="24" s="1"/>
  <c r="F17" i="24"/>
  <c r="C17" i="24"/>
  <c r="F15" i="24"/>
  <c r="C6" i="24" s="1"/>
  <c r="C8" i="24" s="1"/>
  <c r="C5" i="24" s="1"/>
  <c r="C4" i="24" s="1"/>
  <c r="F14" i="24"/>
  <c r="F5" i="24" s="1"/>
  <c r="F13" i="24"/>
  <c r="G13" i="24" s="1"/>
  <c r="D13" i="24"/>
  <c r="J8" i="24"/>
  <c r="I8" i="24"/>
  <c r="H8" i="24"/>
  <c r="E8" i="24"/>
  <c r="J7" i="24"/>
  <c r="H7" i="24"/>
  <c r="F7" i="24"/>
  <c r="E7" i="24"/>
  <c r="C7" i="24"/>
  <c r="K6" i="24"/>
  <c r="J6" i="24"/>
  <c r="H6" i="24"/>
  <c r="E6" i="24"/>
  <c r="S5" i="24"/>
  <c r="K5" i="24"/>
  <c r="J5" i="24"/>
  <c r="H5" i="24"/>
  <c r="S4" i="24"/>
  <c r="Q4" i="24"/>
  <c r="K4" i="24"/>
  <c r="H4" i="24"/>
  <c r="F4" i="24"/>
  <c r="F17" i="28" l="1"/>
  <c r="F24" i="28"/>
  <c r="G12" i="28" s="1"/>
  <c r="Q4" i="28" s="1"/>
  <c r="C6" i="27"/>
  <c r="C4" i="27"/>
  <c r="C15" i="27"/>
  <c r="F5" i="27"/>
  <c r="F4" i="27"/>
  <c r="D39" i="27"/>
  <c r="C16" i="27" s="1"/>
  <c r="E56" i="26"/>
  <c r="G5" i="26"/>
  <c r="F56" i="26"/>
  <c r="D31" i="26"/>
  <c r="D30" i="26"/>
  <c r="D32" i="26" s="1"/>
  <c r="R4" i="26" s="1"/>
  <c r="E57" i="26"/>
  <c r="F57" i="26"/>
  <c r="E58" i="26"/>
  <c r="F58" i="26"/>
  <c r="G43" i="26"/>
  <c r="D5" i="26"/>
  <c r="H43" i="26"/>
  <c r="H44" i="26" s="1"/>
  <c r="D44" i="26"/>
  <c r="C24" i="26"/>
  <c r="C26" i="26" s="1"/>
  <c r="C27" i="26" s="1"/>
  <c r="C28" i="26" s="1"/>
  <c r="C29" i="26" s="1"/>
  <c r="G39" i="26"/>
  <c r="D24" i="24"/>
  <c r="I4" i="24"/>
  <c r="M4" i="24" s="1"/>
  <c r="I5" i="24"/>
  <c r="M5" i="24" s="1"/>
  <c r="Q7" i="24"/>
  <c r="Q6" i="24"/>
  <c r="E23" i="24"/>
  <c r="E24" i="24" s="1"/>
  <c r="F6" i="24"/>
  <c r="K7" i="24"/>
  <c r="U5" i="24"/>
  <c r="E16" i="27" l="1"/>
  <c r="F16" i="27" s="1"/>
  <c r="C17" i="27"/>
  <c r="E17" i="27" s="1"/>
  <c r="F17" i="27" s="1"/>
  <c r="C31" i="26"/>
  <c r="L5" i="26" s="1"/>
  <c r="C30" i="26"/>
  <c r="C32" i="26" s="1"/>
  <c r="L4" i="26"/>
  <c r="A105" i="26"/>
  <c r="A106" i="26" s="1"/>
  <c r="A107" i="26" s="1"/>
  <c r="F59" i="26"/>
  <c r="E59" i="26"/>
  <c r="O5" i="26" s="1"/>
  <c r="G44" i="26"/>
  <c r="O6" i="24"/>
  <c r="O7" i="24"/>
  <c r="I6" i="24"/>
  <c r="I7" i="24"/>
  <c r="M7" i="24" l="1"/>
  <c r="O5" i="29" s="1"/>
  <c r="K5" i="29"/>
  <c r="M6" i="24"/>
  <c r="O4" i="29" s="1"/>
  <c r="K4" i="29"/>
  <c r="S7" i="24"/>
  <c r="U5" i="29" s="1"/>
  <c r="Q5" i="29"/>
  <c r="S6" i="24"/>
  <c r="U4" i="29" s="1"/>
  <c r="Q4" i="29"/>
  <c r="S5" i="26"/>
  <c r="T9" i="29" s="1"/>
  <c r="P9" i="29"/>
  <c r="K7" i="27"/>
  <c r="G17" i="27"/>
  <c r="Q7" i="27" s="1"/>
  <c r="S13" i="29" s="1"/>
  <c r="F19" i="27"/>
  <c r="F18" i="27"/>
  <c r="G16" i="27"/>
  <c r="Q6" i="27" s="1"/>
  <c r="S12" i="29" s="1"/>
  <c r="K6" i="27"/>
  <c r="I4" i="26"/>
  <c r="I5" i="26"/>
  <c r="A109" i="26"/>
  <c r="R5" i="26"/>
  <c r="O4" i="26"/>
  <c r="M4" i="26" l="1"/>
  <c r="N8" i="29" s="1"/>
  <c r="J8" i="29"/>
  <c r="M5" i="26"/>
  <c r="N9" i="29" s="1"/>
  <c r="J9" i="29"/>
  <c r="S4" i="26"/>
  <c r="T8" i="29" s="1"/>
  <c r="P8" i="29"/>
  <c r="K4" i="27"/>
  <c r="G18" i="27"/>
  <c r="Q4" i="27" s="1"/>
  <c r="K5" i="27"/>
  <c r="G19" i="27"/>
  <c r="Q5" i="27" s="1"/>
  <c r="B43" i="23" l="1"/>
  <c r="C42" i="23"/>
  <c r="C41" i="23"/>
  <c r="C40" i="23"/>
  <c r="C39" i="23"/>
  <c r="C38" i="23"/>
  <c r="C37" i="23"/>
  <c r="C36" i="23"/>
  <c r="F31" i="23"/>
  <c r="G31" i="23" s="1"/>
  <c r="F30" i="23"/>
  <c r="G30" i="23" s="1"/>
  <c r="F29" i="23"/>
  <c r="G29" i="23" s="1"/>
  <c r="F28" i="23"/>
  <c r="G28" i="23" s="1"/>
  <c r="F27" i="23"/>
  <c r="G27" i="23" s="1"/>
  <c r="F26" i="23"/>
  <c r="G26" i="23" s="1"/>
  <c r="C23" i="23"/>
  <c r="B23" i="23"/>
  <c r="D23" i="23" s="1"/>
  <c r="J27" i="23" s="1"/>
  <c r="D22" i="23"/>
  <c r="H26" i="23" s="1"/>
  <c r="I26" i="23" s="1"/>
  <c r="C22" i="23"/>
  <c r="E8" i="23"/>
  <c r="C8" i="23"/>
  <c r="E7" i="23"/>
  <c r="E6" i="23"/>
  <c r="E5" i="23"/>
  <c r="E4" i="23"/>
  <c r="C17" i="12"/>
  <c r="C43" i="23" l="1"/>
  <c r="J26" i="23"/>
  <c r="J31" i="23"/>
  <c r="J30" i="23"/>
  <c r="J29" i="23"/>
  <c r="O7" i="23" s="1"/>
  <c r="S7" i="23" s="1"/>
  <c r="J28" i="23"/>
  <c r="H29" i="23"/>
  <c r="K29" i="23" s="1"/>
  <c r="H28" i="23"/>
  <c r="I28" i="23" s="1"/>
  <c r="H27" i="23"/>
  <c r="K27" i="23" s="1"/>
  <c r="H31" i="23"/>
  <c r="H30" i="23"/>
  <c r="O6" i="23"/>
  <c r="S6" i="23" s="1"/>
  <c r="I6" i="23"/>
  <c r="M6" i="23" s="1"/>
  <c r="I29" i="23"/>
  <c r="I7" i="23" s="1"/>
  <c r="M7" i="23" s="1"/>
  <c r="I4" i="23"/>
  <c r="M4" i="23" s="1"/>
  <c r="O4" i="23"/>
  <c r="S4" i="23" s="1"/>
  <c r="K26" i="23"/>
  <c r="B31" i="23"/>
  <c r="B30" i="23"/>
  <c r="I27" i="23" l="1"/>
  <c r="K28" i="23"/>
  <c r="O5" i="23"/>
  <c r="S5" i="23" s="1"/>
  <c r="I5" i="23"/>
  <c r="M5" i="23" s="1"/>
  <c r="K30" i="23"/>
  <c r="I30" i="23"/>
  <c r="K31" i="23"/>
  <c r="I31" i="23"/>
  <c r="I8" i="23" l="1"/>
  <c r="M8" i="23" s="1"/>
  <c r="O8" i="23"/>
  <c r="S8" i="23" s="1"/>
  <c r="E103" i="22" l="1"/>
  <c r="F103" i="22" s="1"/>
  <c r="H103" i="22" s="1"/>
  <c r="I103" i="22" s="1"/>
  <c r="E102" i="22"/>
  <c r="F102" i="22" s="1"/>
  <c r="H102" i="22" s="1"/>
  <c r="I102" i="22" s="1"/>
  <c r="E101" i="22"/>
  <c r="F101" i="22" s="1"/>
  <c r="H101" i="22" s="1"/>
  <c r="I101" i="22" s="1"/>
  <c r="E100" i="22"/>
  <c r="F100" i="22" s="1"/>
  <c r="E99" i="22"/>
  <c r="F99" i="22" s="1"/>
  <c r="E98" i="22"/>
  <c r="F98" i="22" s="1"/>
  <c r="E97" i="22"/>
  <c r="F97" i="22" s="1"/>
  <c r="E96" i="22"/>
  <c r="F96" i="22" s="1"/>
  <c r="H96" i="22" s="1"/>
  <c r="I96" i="22" s="1"/>
  <c r="E95" i="22"/>
  <c r="F95" i="22" s="1"/>
  <c r="E94" i="22"/>
  <c r="F94" i="22" s="1"/>
  <c r="E93" i="22"/>
  <c r="F93" i="22" s="1"/>
  <c r="H93" i="22" s="1"/>
  <c r="I93" i="22" s="1"/>
  <c r="E92" i="22"/>
  <c r="F92" i="22" s="1"/>
  <c r="H92" i="22" s="1"/>
  <c r="E91" i="22"/>
  <c r="F91" i="22" s="1"/>
  <c r="H91" i="22" s="1"/>
  <c r="I91" i="22" s="1"/>
  <c r="F84" i="22"/>
  <c r="F83" i="22"/>
  <c r="F82" i="22"/>
  <c r="H82" i="22" s="1"/>
  <c r="I82" i="22" s="1"/>
  <c r="F81" i="22"/>
  <c r="H81" i="22" s="1"/>
  <c r="I81" i="22" s="1"/>
  <c r="F80" i="22"/>
  <c r="F79" i="22"/>
  <c r="F78" i="22"/>
  <c r="F77" i="22"/>
  <c r="F76" i="22"/>
  <c r="F75" i="22"/>
  <c r="H75" i="22" s="1"/>
  <c r="I75" i="22" s="1"/>
  <c r="F74" i="22"/>
  <c r="F73" i="22"/>
  <c r="F72" i="22"/>
  <c r="H72" i="22" s="1"/>
  <c r="I72" i="22" s="1"/>
  <c r="F71" i="22"/>
  <c r="H71" i="22" s="1"/>
  <c r="I71" i="22" s="1"/>
  <c r="F70" i="22"/>
  <c r="H70" i="22" s="1"/>
  <c r="I70" i="22" s="1"/>
  <c r="F69" i="22"/>
  <c r="H69" i="22" s="1"/>
  <c r="I69" i="22" s="1"/>
  <c r="F68" i="22"/>
  <c r="H68" i="22" s="1"/>
  <c r="I68" i="22" s="1"/>
  <c r="F67" i="22"/>
  <c r="H67" i="22" s="1"/>
  <c r="I67" i="22" s="1"/>
  <c r="F66" i="22"/>
  <c r="H66" i="22" s="1"/>
  <c r="I66" i="22" s="1"/>
  <c r="F65" i="22"/>
  <c r="H65" i="22" s="1"/>
  <c r="I65" i="22" s="1"/>
  <c r="F64" i="22"/>
  <c r="E63" i="22"/>
  <c r="F63" i="22" s="1"/>
  <c r="E51" i="22"/>
  <c r="D51" i="22"/>
  <c r="C50" i="22"/>
  <c r="D50" i="22" s="1"/>
  <c r="F40" i="22"/>
  <c r="D39" i="22"/>
  <c r="F41" i="22" s="1"/>
  <c r="H41" i="22" s="1"/>
  <c r="C34" i="22"/>
  <c r="C35" i="22" s="1"/>
  <c r="C25" i="22"/>
  <c r="D25" i="22" s="1"/>
  <c r="D24" i="22"/>
  <c r="G24" i="22" s="1"/>
  <c r="R5" i="22"/>
  <c r="U4" i="22"/>
  <c r="R4" i="22"/>
  <c r="O4" i="22"/>
  <c r="F4" i="22"/>
  <c r="G5" i="10" s="1"/>
  <c r="D28" i="12"/>
  <c r="J4" i="19"/>
  <c r="E107" i="19"/>
  <c r="D107" i="19"/>
  <c r="E106" i="19"/>
  <c r="D106" i="19"/>
  <c r="E105" i="19"/>
  <c r="D105" i="19"/>
  <c r="E104" i="19"/>
  <c r="D104" i="19"/>
  <c r="E103" i="19"/>
  <c r="D103" i="19"/>
  <c r="E102" i="19"/>
  <c r="D102" i="19"/>
  <c r="E101" i="19"/>
  <c r="D101" i="19"/>
  <c r="E100" i="19"/>
  <c r="D100" i="19"/>
  <c r="E99" i="19"/>
  <c r="D99" i="19"/>
  <c r="E98" i="19"/>
  <c r="D98" i="19"/>
  <c r="E97" i="19"/>
  <c r="D97" i="19"/>
  <c r="E92" i="19"/>
  <c r="D92" i="19"/>
  <c r="E91" i="19"/>
  <c r="D91" i="19"/>
  <c r="E90" i="19"/>
  <c r="D90" i="19"/>
  <c r="E89" i="19"/>
  <c r="D89" i="19"/>
  <c r="D93" i="19" s="1"/>
  <c r="O5" i="19" s="1"/>
  <c r="E88" i="19"/>
  <c r="D88" i="19"/>
  <c r="E87" i="19"/>
  <c r="D87" i="19"/>
  <c r="E86" i="19"/>
  <c r="D86" i="19"/>
  <c r="E85" i="19"/>
  <c r="D85" i="19"/>
  <c r="E84" i="19"/>
  <c r="D84" i="19"/>
  <c r="E83" i="19"/>
  <c r="D83" i="19"/>
  <c r="E82" i="19"/>
  <c r="D82" i="19"/>
  <c r="E81" i="19"/>
  <c r="D81" i="19"/>
  <c r="E80" i="19"/>
  <c r="D80" i="19"/>
  <c r="B68" i="19"/>
  <c r="D68" i="19" s="1"/>
  <c r="B67" i="19"/>
  <c r="C67" i="19" s="1"/>
  <c r="C57" i="19"/>
  <c r="I48" i="19"/>
  <c r="D48" i="19"/>
  <c r="D47" i="19"/>
  <c r="D46" i="19"/>
  <c r="D45" i="19"/>
  <c r="D44" i="19"/>
  <c r="D43" i="19"/>
  <c r="B36" i="19"/>
  <c r="C35" i="19"/>
  <c r="C34" i="19"/>
  <c r="C33" i="19"/>
  <c r="C32" i="19"/>
  <c r="T6" i="19"/>
  <c r="R6" i="19"/>
  <c r="P6" i="19"/>
  <c r="N6" i="19"/>
  <c r="L6" i="19"/>
  <c r="J6" i="19"/>
  <c r="H6" i="19"/>
  <c r="G6" i="19"/>
  <c r="F6" i="19"/>
  <c r="D6" i="19"/>
  <c r="C6" i="19"/>
  <c r="Q5" i="19"/>
  <c r="Q6" i="19" s="1"/>
  <c r="K5" i="19"/>
  <c r="K6" i="19" s="1"/>
  <c r="E5" i="19"/>
  <c r="E6" i="19" s="1"/>
  <c r="T4" i="19"/>
  <c r="Q4" i="19"/>
  <c r="N4" i="19"/>
  <c r="E4" i="19"/>
  <c r="D49" i="19" l="1"/>
  <c r="E47" i="19" s="1"/>
  <c r="I85" i="22"/>
  <c r="F25" i="22"/>
  <c r="G25" i="22"/>
  <c r="D52" i="22"/>
  <c r="H106" i="22"/>
  <c r="I92" i="22"/>
  <c r="I106" i="22" s="1"/>
  <c r="C52" i="22"/>
  <c r="H85" i="22"/>
  <c r="E50" i="22"/>
  <c r="E52" i="22" s="1"/>
  <c r="F24" i="22"/>
  <c r="G41" i="22"/>
  <c r="E104" i="22"/>
  <c r="F104" i="22" s="1"/>
  <c r="E105" i="22"/>
  <c r="F105" i="22" s="1"/>
  <c r="C36" i="19"/>
  <c r="E108" i="19"/>
  <c r="E93" i="19"/>
  <c r="I5" i="19" s="1"/>
  <c r="I6" i="19" s="1"/>
  <c r="M6" i="19" s="1"/>
  <c r="D67" i="19"/>
  <c r="L80" i="19"/>
  <c r="L82" i="19" s="1"/>
  <c r="D108" i="19"/>
  <c r="K80" i="19" s="1"/>
  <c r="K82" i="19" s="1"/>
  <c r="S5" i="19"/>
  <c r="O6" i="19"/>
  <c r="S6" i="19" s="1"/>
  <c r="C68" i="19"/>
  <c r="E45" i="19" l="1"/>
  <c r="B66" i="19" s="1"/>
  <c r="M5" i="19"/>
  <c r="E43" i="19"/>
  <c r="B63" i="19" s="1"/>
  <c r="E48" i="19"/>
  <c r="L81" i="19"/>
  <c r="E44" i="19"/>
  <c r="B65" i="19" s="1"/>
  <c r="D65" i="19" s="1"/>
  <c r="E46" i="19"/>
  <c r="B64" i="19" s="1"/>
  <c r="D64" i="19" s="1"/>
  <c r="E55" i="22"/>
  <c r="E54" i="22"/>
  <c r="P4" i="22"/>
  <c r="T4" i="22" s="1"/>
  <c r="D55" i="22"/>
  <c r="J5" i="22" s="1"/>
  <c r="N5" i="22" s="1"/>
  <c r="P5" i="22"/>
  <c r="T5" i="22" s="1"/>
  <c r="D54" i="22"/>
  <c r="J4" i="22" s="1"/>
  <c r="N4" i="22" s="1"/>
  <c r="K81" i="19"/>
  <c r="D66" i="19"/>
  <c r="C66" i="19"/>
  <c r="C64" i="19"/>
  <c r="C65" i="19" l="1"/>
  <c r="E49" i="19"/>
  <c r="B69" i="19"/>
  <c r="D63" i="19"/>
  <c r="D69" i="19" s="1"/>
  <c r="O4" i="19" s="1"/>
  <c r="C63" i="19"/>
  <c r="C69" i="19" s="1"/>
  <c r="I4" i="19" s="1"/>
  <c r="M4" i="19" l="1"/>
  <c r="O2" i="10" s="1"/>
  <c r="K2" i="10"/>
  <c r="S4" i="19"/>
  <c r="U2" i="10" s="1"/>
  <c r="Q2" i="10"/>
  <c r="G60" i="9"/>
  <c r="F60" i="9" s="1"/>
  <c r="G64" i="9"/>
  <c r="F64" i="9" s="1"/>
  <c r="G63" i="8"/>
  <c r="F63" i="8" s="1"/>
  <c r="G67" i="8"/>
  <c r="F67" i="8" s="1"/>
  <c r="E6" i="8"/>
  <c r="E5" i="8"/>
  <c r="D27" i="14"/>
  <c r="D28" i="14"/>
  <c r="D29" i="14"/>
  <c r="D30" i="14"/>
  <c r="D31" i="14"/>
  <c r="D32" i="14"/>
  <c r="D33" i="14"/>
  <c r="D34" i="14"/>
  <c r="D35" i="14"/>
  <c r="D36" i="14"/>
  <c r="D37" i="14"/>
  <c r="D38" i="14"/>
  <c r="D39" i="14"/>
  <c r="D40" i="14"/>
  <c r="D41" i="14"/>
  <c r="D42" i="14"/>
  <c r="D43" i="14"/>
  <c r="D26" i="14"/>
  <c r="D27" i="13"/>
  <c r="D28" i="13"/>
  <c r="D29" i="13"/>
  <c r="D30" i="13"/>
  <c r="D31" i="13"/>
  <c r="D32" i="13"/>
  <c r="D33" i="13"/>
  <c r="D34" i="13"/>
  <c r="D35" i="13"/>
  <c r="D36" i="13"/>
  <c r="D37" i="13"/>
  <c r="D38" i="13"/>
  <c r="D39" i="13"/>
  <c r="D40" i="13"/>
  <c r="D41" i="13"/>
  <c r="D42" i="13"/>
  <c r="D43" i="13"/>
  <c r="D26" i="13"/>
  <c r="G72" i="14"/>
  <c r="F72" i="14" s="1"/>
  <c r="S6" i="14" s="1"/>
  <c r="U9" i="3" s="1"/>
  <c r="G68" i="14"/>
  <c r="F68" i="14" s="1"/>
  <c r="G67" i="14"/>
  <c r="F67" i="14"/>
  <c r="G66" i="14"/>
  <c r="F66" i="14"/>
  <c r="C65" i="14"/>
  <c r="F65" i="14" s="1"/>
  <c r="G56" i="14"/>
  <c r="F56" i="14"/>
  <c r="G55" i="14"/>
  <c r="J5" i="14" s="1"/>
  <c r="L8" i="3" s="1"/>
  <c r="F55" i="14"/>
  <c r="P5" i="14" s="1"/>
  <c r="R8" i="3" s="1"/>
  <c r="E49" i="14"/>
  <c r="C48" i="14"/>
  <c r="E50" i="14" s="1"/>
  <c r="G44" i="14"/>
  <c r="I5" i="14" s="1"/>
  <c r="K8" i="3" s="1"/>
  <c r="F44" i="14"/>
  <c r="O5" i="14" s="1"/>
  <c r="Q8" i="3" s="1"/>
  <c r="C17" i="14"/>
  <c r="F15" i="14"/>
  <c r="E13" i="14"/>
  <c r="F14" i="14" s="1"/>
  <c r="Q6" i="14" s="1"/>
  <c r="S9" i="3" s="1"/>
  <c r="C12" i="14"/>
  <c r="E12" i="14" s="1"/>
  <c r="U6" i="14"/>
  <c r="W9" i="3" s="1"/>
  <c r="K6" i="14"/>
  <c r="M9" i="3" s="1"/>
  <c r="F6" i="14"/>
  <c r="H9" i="3" s="1"/>
  <c r="D6" i="14"/>
  <c r="F9" i="3" s="1"/>
  <c r="U5" i="14"/>
  <c r="W8" i="3" s="1"/>
  <c r="K5" i="14"/>
  <c r="M8" i="3" s="1"/>
  <c r="F5" i="14"/>
  <c r="H8" i="3" s="1"/>
  <c r="D5" i="14"/>
  <c r="F8" i="3" s="1"/>
  <c r="G65" i="13"/>
  <c r="F65" i="13"/>
  <c r="G61" i="13"/>
  <c r="F61" i="13" s="1"/>
  <c r="G60" i="13"/>
  <c r="F60" i="13"/>
  <c r="G51" i="13"/>
  <c r="F51" i="13"/>
  <c r="G50" i="13"/>
  <c r="F50" i="13"/>
  <c r="G44" i="13"/>
  <c r="I5" i="13" s="1"/>
  <c r="K6" i="3" s="1"/>
  <c r="F44" i="13"/>
  <c r="O5" i="13" s="1"/>
  <c r="Q6" i="3" s="1"/>
  <c r="F15" i="13"/>
  <c r="E13" i="13"/>
  <c r="F14" i="13" s="1"/>
  <c r="Q6" i="13" s="1"/>
  <c r="S7" i="3" s="1"/>
  <c r="C12" i="13"/>
  <c r="E12" i="13" s="1"/>
  <c r="U6" i="13"/>
  <c r="W7" i="3" s="1"/>
  <c r="K6" i="13"/>
  <c r="M7" i="3" s="1"/>
  <c r="F6" i="13"/>
  <c r="H7" i="3" s="1"/>
  <c r="D6" i="13"/>
  <c r="F7" i="3" s="1"/>
  <c r="U5" i="13"/>
  <c r="W6" i="3" s="1"/>
  <c r="K5" i="13"/>
  <c r="M6" i="3" s="1"/>
  <c r="F5" i="13"/>
  <c r="H6" i="3" s="1"/>
  <c r="D5" i="13"/>
  <c r="F6" i="3" s="1"/>
  <c r="G67" i="12"/>
  <c r="F67" i="12" s="1"/>
  <c r="G63" i="12"/>
  <c r="F63" i="12" s="1"/>
  <c r="G62" i="12"/>
  <c r="F62" i="12"/>
  <c r="G61" i="12"/>
  <c r="F61" i="12"/>
  <c r="C60" i="12"/>
  <c r="G60" i="12" s="1"/>
  <c r="G52" i="12"/>
  <c r="F52" i="12"/>
  <c r="G51" i="12"/>
  <c r="F51" i="12"/>
  <c r="E45" i="12"/>
  <c r="C44" i="12"/>
  <c r="E46" i="12" s="1"/>
  <c r="G39" i="12"/>
  <c r="I5" i="12" s="1"/>
  <c r="K4" i="3" s="1"/>
  <c r="F39" i="12"/>
  <c r="O5" i="12" s="1"/>
  <c r="Q4" i="3" s="1"/>
  <c r="C38" i="12"/>
  <c r="D38" i="12" s="1"/>
  <c r="C37" i="12"/>
  <c r="D37" i="12" s="1"/>
  <c r="C36" i="12"/>
  <c r="D35" i="12"/>
  <c r="D34" i="12"/>
  <c r="D33" i="12"/>
  <c r="D32" i="12"/>
  <c r="D31" i="12"/>
  <c r="D30" i="12"/>
  <c r="D29" i="12"/>
  <c r="C19" i="12"/>
  <c r="E19" i="12" s="1"/>
  <c r="F15" i="12"/>
  <c r="E15" i="12"/>
  <c r="C13" i="12"/>
  <c r="C12" i="12"/>
  <c r="E12" i="12" s="1"/>
  <c r="C5" i="12" s="1"/>
  <c r="E4" i="3" s="1"/>
  <c r="U6" i="12"/>
  <c r="W5" i="3" s="1"/>
  <c r="K6" i="12"/>
  <c r="M5" i="3" s="1"/>
  <c r="F6" i="12"/>
  <c r="H5" i="3" s="1"/>
  <c r="D6" i="12"/>
  <c r="F5" i="3" s="1"/>
  <c r="U5" i="12"/>
  <c r="W4" i="3" s="1"/>
  <c r="K5" i="12"/>
  <c r="M4" i="3" s="1"/>
  <c r="F5" i="12"/>
  <c r="H4" i="3" s="1"/>
  <c r="D5" i="12"/>
  <c r="F4" i="3" s="1"/>
  <c r="D5" i="11"/>
  <c r="F5" i="11"/>
  <c r="K5" i="11"/>
  <c r="U5" i="11"/>
  <c r="G58" i="11"/>
  <c r="F58" i="11"/>
  <c r="G54" i="11"/>
  <c r="F54" i="11"/>
  <c r="G53" i="11"/>
  <c r="F53" i="11"/>
  <c r="G45" i="11"/>
  <c r="F45" i="11"/>
  <c r="G44" i="11"/>
  <c r="F44" i="11"/>
  <c r="P5" i="11" s="1"/>
  <c r="R2" i="3" s="1"/>
  <c r="C38" i="11"/>
  <c r="F38" i="11" s="1"/>
  <c r="C37" i="11"/>
  <c r="F37" i="11" s="1"/>
  <c r="C36" i="11"/>
  <c r="F35" i="11"/>
  <c r="E35" i="11"/>
  <c r="F34" i="11"/>
  <c r="E34" i="11"/>
  <c r="F33" i="11"/>
  <c r="E33" i="11"/>
  <c r="F32" i="11"/>
  <c r="E32" i="11"/>
  <c r="F31" i="11"/>
  <c r="E31" i="11"/>
  <c r="F30" i="11"/>
  <c r="E30" i="11"/>
  <c r="F29" i="11"/>
  <c r="E29" i="11"/>
  <c r="F28" i="11"/>
  <c r="E28" i="11"/>
  <c r="F16" i="11"/>
  <c r="E14" i="11"/>
  <c r="F15" i="11" s="1"/>
  <c r="E13" i="11"/>
  <c r="C6" i="11" s="1"/>
  <c r="U6" i="11"/>
  <c r="K6" i="11"/>
  <c r="F6" i="11"/>
  <c r="D6" i="11"/>
  <c r="S5" i="14" l="1"/>
  <c r="U8" i="3" s="1"/>
  <c r="T5" i="14"/>
  <c r="V8" i="3" s="1"/>
  <c r="J5" i="11"/>
  <c r="L2" i="3" s="1"/>
  <c r="D44" i="13"/>
  <c r="E19" i="13" s="1"/>
  <c r="J5" i="13"/>
  <c r="L6" i="3" s="1"/>
  <c r="P5" i="13"/>
  <c r="D44" i="14"/>
  <c r="E19" i="14" s="1"/>
  <c r="M6" i="14"/>
  <c r="O9" i="3" s="1"/>
  <c r="M5" i="14"/>
  <c r="O8" i="3" s="1"/>
  <c r="G65" i="14"/>
  <c r="N5" i="14" s="1"/>
  <c r="P8" i="3" s="1"/>
  <c r="S5" i="13"/>
  <c r="U6" i="3" s="1"/>
  <c r="M5" i="13"/>
  <c r="O6" i="3" s="1"/>
  <c r="C39" i="12"/>
  <c r="G54" i="12" s="1"/>
  <c r="F54" i="12" s="1"/>
  <c r="C5" i="14"/>
  <c r="E8" i="3" s="1"/>
  <c r="C6" i="14"/>
  <c r="E9" i="3" s="1"/>
  <c r="G58" i="14"/>
  <c r="F58" i="14" s="1"/>
  <c r="G57" i="14"/>
  <c r="F57" i="14" s="1"/>
  <c r="O6" i="14" s="1"/>
  <c r="Q9" i="3" s="1"/>
  <c r="I6" i="14"/>
  <c r="K9" i="3" s="1"/>
  <c r="G50" i="14"/>
  <c r="F50" i="14"/>
  <c r="F13" i="14"/>
  <c r="Q5" i="14" s="1"/>
  <c r="S8" i="3" s="1"/>
  <c r="G52" i="13"/>
  <c r="F52" i="13" s="1"/>
  <c r="N5" i="13"/>
  <c r="P6" i="3" s="1"/>
  <c r="C5" i="13"/>
  <c r="E6" i="3" s="1"/>
  <c r="C6" i="13"/>
  <c r="E7" i="3" s="1"/>
  <c r="F13" i="13"/>
  <c r="Q5" i="13" s="1"/>
  <c r="S6" i="3" s="1"/>
  <c r="J5" i="12"/>
  <c r="L4" i="3" s="1"/>
  <c r="P5" i="12"/>
  <c r="R4" i="3" s="1"/>
  <c r="C14" i="12"/>
  <c r="M5" i="12"/>
  <c r="O4" i="3" s="1"/>
  <c r="Q6" i="11"/>
  <c r="N5" i="11"/>
  <c r="P2" i="3" s="1"/>
  <c r="C39" i="11"/>
  <c r="G47" i="11" s="1"/>
  <c r="F47" i="11" s="1"/>
  <c r="S5" i="12"/>
  <c r="U4" i="3" s="1"/>
  <c r="G46" i="12"/>
  <c r="F46" i="12"/>
  <c r="E13" i="12"/>
  <c r="D36" i="12"/>
  <c r="D39" i="12" s="1"/>
  <c r="C6" i="12"/>
  <c r="E5" i="3" s="1"/>
  <c r="F60" i="12"/>
  <c r="T5" i="11"/>
  <c r="V2" i="3" s="1"/>
  <c r="C5" i="11"/>
  <c r="F14" i="11"/>
  <c r="Q5" i="11" s="1"/>
  <c r="E36" i="11"/>
  <c r="F36" i="11"/>
  <c r="F39" i="11" s="1"/>
  <c r="I5" i="11" s="1"/>
  <c r="M5" i="11" s="1"/>
  <c r="E37" i="11"/>
  <c r="E38" i="11"/>
  <c r="T5" i="13" l="1"/>
  <c r="V6" i="3" s="1"/>
  <c r="R6" i="3"/>
  <c r="G53" i="12"/>
  <c r="I6" i="12" s="1"/>
  <c r="N5" i="12"/>
  <c r="P4" i="3" s="1"/>
  <c r="G53" i="13"/>
  <c r="F53" i="13" s="1"/>
  <c r="O6" i="13" s="1"/>
  <c r="G46" i="11"/>
  <c r="F46" i="11" s="1"/>
  <c r="F14" i="12"/>
  <c r="Q6" i="12" s="1"/>
  <c r="S5" i="3" s="1"/>
  <c r="F13" i="12"/>
  <c r="Q5" i="12" s="1"/>
  <c r="S4" i="3" s="1"/>
  <c r="E39" i="11"/>
  <c r="O5" i="11" s="1"/>
  <c r="S5" i="11" s="1"/>
  <c r="I6" i="11"/>
  <c r="O6" i="11"/>
  <c r="S6" i="13" l="1"/>
  <c r="U7" i="3" s="1"/>
  <c r="Q7" i="3"/>
  <c r="I6" i="13"/>
  <c r="M6" i="12"/>
  <c r="O5" i="3" s="1"/>
  <c r="K5" i="3"/>
  <c r="F53" i="12"/>
  <c r="O6" i="12" s="1"/>
  <c r="T5" i="12"/>
  <c r="V4" i="3" s="1"/>
  <c r="S6" i="11"/>
  <c r="U3" i="3" s="1"/>
  <c r="Q3" i="3"/>
  <c r="M6" i="11"/>
  <c r="O3" i="3" s="1"/>
  <c r="K3" i="3"/>
  <c r="F33" i="9"/>
  <c r="G33" i="9" s="1"/>
  <c r="F32" i="9"/>
  <c r="G32" i="9" s="1"/>
  <c r="F31" i="9"/>
  <c r="G31" i="9" s="1"/>
  <c r="F36" i="8"/>
  <c r="G36" i="8" s="1"/>
  <c r="F35" i="8"/>
  <c r="G35" i="8" s="1"/>
  <c r="F34" i="8"/>
  <c r="G34" i="8" s="1"/>
  <c r="I29" i="8"/>
  <c r="I28" i="8"/>
  <c r="F29" i="8"/>
  <c r="F28" i="8"/>
  <c r="G62" i="8"/>
  <c r="F62" i="8"/>
  <c r="G54" i="8"/>
  <c r="F54" i="8"/>
  <c r="G53" i="8"/>
  <c r="F53" i="8"/>
  <c r="G44" i="8"/>
  <c r="I44" i="8" s="1"/>
  <c r="D46" i="8"/>
  <c r="C46" i="8"/>
  <c r="D45" i="8"/>
  <c r="C45" i="8"/>
  <c r="D44" i="8"/>
  <c r="C44" i="8"/>
  <c r="D43" i="8"/>
  <c r="C43" i="8"/>
  <c r="C29" i="8"/>
  <c r="C28" i="8"/>
  <c r="M6" i="13" l="1"/>
  <c r="O7" i="3" s="1"/>
  <c r="K7" i="3"/>
  <c r="S6" i="12"/>
  <c r="U5" i="3" s="1"/>
  <c r="Q5" i="3"/>
  <c r="D47" i="8"/>
  <c r="C47" i="8"/>
  <c r="B47" i="8"/>
  <c r="B48" i="8"/>
  <c r="D48" i="8"/>
  <c r="C48" i="8"/>
  <c r="G56" i="8" l="1"/>
  <c r="F56" i="8" s="1"/>
  <c r="G55" i="8"/>
  <c r="F5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 Bennett</author>
  </authors>
  <commentList>
    <comment ref="B23" authorId="0" shapeId="0" xr:uid="{44645D3A-8844-49CD-B134-0A24782CF6D5}">
      <text>
        <r>
          <rPr>
            <b/>
            <sz val="9"/>
            <color indexed="81"/>
            <rFont val="Tahoma"/>
            <family val="2"/>
          </rPr>
          <t>A.M. Bennett:</t>
        </r>
        <r>
          <rPr>
            <sz val="9"/>
            <color indexed="81"/>
            <rFont val="Tahoma"/>
            <family val="2"/>
          </rPr>
          <t xml:space="preserve">
Based on (19) 98% energy use in construction is deisel, so use GHG conversion factors.</t>
        </r>
      </text>
    </comment>
  </commentList>
</comments>
</file>

<file path=xl/sharedStrings.xml><?xml version="1.0" encoding="utf-8"?>
<sst xmlns="http://schemas.openxmlformats.org/spreadsheetml/2006/main" count="5126" uniqueCount="1186">
  <si>
    <t>Primary Energy Sources</t>
  </si>
  <si>
    <t>Production Location</t>
  </si>
  <si>
    <t>Transmission Vector</t>
  </si>
  <si>
    <t>Transmission Infrastructure</t>
  </si>
  <si>
    <t>Production Infrastructure</t>
  </si>
  <si>
    <t>Process Name</t>
  </si>
  <si>
    <t>Location</t>
  </si>
  <si>
    <t>Energy Type</t>
  </si>
  <si>
    <t>Reference</t>
  </si>
  <si>
    <t>Desc</t>
  </si>
  <si>
    <t>Efficiency</t>
  </si>
  <si>
    <t>Offshore Wind Fixed</t>
  </si>
  <si>
    <t>Offshore</t>
  </si>
  <si>
    <t>E</t>
  </si>
  <si>
    <t>Offshore Wind Floating</t>
  </si>
  <si>
    <t>Onshore Wind</t>
  </si>
  <si>
    <t>Onshore</t>
  </si>
  <si>
    <t>Solar (PV)</t>
  </si>
  <si>
    <t>Nuclear</t>
  </si>
  <si>
    <t>Power Station - NG with CCS</t>
  </si>
  <si>
    <t>Grid (Current Intensity)</t>
  </si>
  <si>
    <t>Grid (2030)</t>
  </si>
  <si>
    <t>Imported LNG</t>
  </si>
  <si>
    <t>NG</t>
  </si>
  <si>
    <t>UKCS</t>
  </si>
  <si>
    <t>References</t>
  </si>
  <si>
    <t>Ref</t>
  </si>
  <si>
    <t>Production Methods</t>
  </si>
  <si>
    <t>Process ID</t>
  </si>
  <si>
    <t>Production Rate (kg/yr)</t>
  </si>
  <si>
    <t>Capacity Factor</t>
  </si>
  <si>
    <t>Lifetime (yrs)</t>
  </si>
  <si>
    <t>Yield</t>
  </si>
  <si>
    <t>Infrastructure Type</t>
  </si>
  <si>
    <t>Embodied Emissions</t>
  </si>
  <si>
    <t>Embodied Emissions (/km)</t>
  </si>
  <si>
    <t>Process Emissions</t>
  </si>
  <si>
    <t>Process Emissions (/km)</t>
  </si>
  <si>
    <t>Maintenance Emissions</t>
  </si>
  <si>
    <t>Maintenance Emissions (/km)</t>
  </si>
  <si>
    <t>Embodied Energy</t>
  </si>
  <si>
    <t>Embodied Energy (/km)</t>
  </si>
  <si>
    <t>Process Energy</t>
  </si>
  <si>
    <t>Process Energy (/km)</t>
  </si>
  <si>
    <t>Maintenance Energy</t>
  </si>
  <si>
    <t>Maintenance Energy (/km)</t>
  </si>
  <si>
    <t>Hydrogen Emissions</t>
  </si>
  <si>
    <t>CPF</t>
  </si>
  <si>
    <t>CPL</t>
  </si>
  <si>
    <t>DPF</t>
  </si>
  <si>
    <t>DPL</t>
  </si>
  <si>
    <t>CAF</t>
  </si>
  <si>
    <t>CAL</t>
  </si>
  <si>
    <t>DAF</t>
  </si>
  <si>
    <t>DAL</t>
  </si>
  <si>
    <t>SLF</t>
  </si>
  <si>
    <t>SLL</t>
  </si>
  <si>
    <t>SHF</t>
  </si>
  <si>
    <t>SHL</t>
  </si>
  <si>
    <t>AHF</t>
  </si>
  <si>
    <t>AHL</t>
  </si>
  <si>
    <t>Centralised PEM</t>
  </si>
  <si>
    <t>Centralised</t>
  </si>
  <si>
    <t>Centralised - PEM</t>
  </si>
  <si>
    <t>Decentralised PEM</t>
  </si>
  <si>
    <t>Decentralised - PEM</t>
  </si>
  <si>
    <t>Centralised Alkaline</t>
  </si>
  <si>
    <t>Centralised - ALK</t>
  </si>
  <si>
    <t>Decentralised Alkaline</t>
  </si>
  <si>
    <t>Decentralised - ALK</t>
  </si>
  <si>
    <t>SMR - No CCS</t>
  </si>
  <si>
    <t xml:space="preserve">Centralised </t>
  </si>
  <si>
    <t>SMR - Low CCS</t>
  </si>
  <si>
    <t>SMR - High CCS</t>
  </si>
  <si>
    <t>ATR - High CCS</t>
  </si>
  <si>
    <t>Page</t>
  </si>
  <si>
    <t>2.1.</t>
  </si>
  <si>
    <t>2.2.</t>
  </si>
  <si>
    <t>2.3.</t>
  </si>
  <si>
    <t>2.4.</t>
  </si>
  <si>
    <t>2.5.</t>
  </si>
  <si>
    <t>2.6.</t>
  </si>
  <si>
    <t>Lifetime</t>
  </si>
  <si>
    <t>Centralised/Decentralised</t>
  </si>
  <si>
    <t>Embodied</t>
  </si>
  <si>
    <t>/km</t>
  </si>
  <si>
    <t>Process</t>
  </si>
  <si>
    <t>Maintenance</t>
  </si>
  <si>
    <t>kg/kg H2</t>
  </si>
  <si>
    <t>Emissions</t>
  </si>
  <si>
    <t>Energy</t>
  </si>
  <si>
    <t>Component</t>
  </si>
  <si>
    <t>Unit (if applicable)</t>
  </si>
  <si>
    <t>Quantity</t>
  </si>
  <si>
    <t>Standardised Units</t>
  </si>
  <si>
    <t>kWh/unit</t>
  </si>
  <si>
    <t>kgCO2e/unit</t>
  </si>
  <si>
    <t>desc/limitations</t>
  </si>
  <si>
    <t>Uncertainty</t>
  </si>
  <si>
    <t xml:space="preserve">Utilisation/Capacity factor </t>
  </si>
  <si>
    <t>90% based on cost efficient utilisation</t>
  </si>
  <si>
    <t>Capacity</t>
  </si>
  <si>
    <t>MW</t>
  </si>
  <si>
    <t>Production Rate</t>
  </si>
  <si>
    <t>Nm3/hr</t>
  </si>
  <si>
    <t>Water Consumption</t>
  </si>
  <si>
    <t>l/Nm3</t>
  </si>
  <si>
    <t>l/kg</t>
  </si>
  <si>
    <t>kWh /Nm3</t>
  </si>
  <si>
    <t>%</t>
  </si>
  <si>
    <t>Area Required</t>
  </si>
  <si>
    <t>m2</t>
  </si>
  <si>
    <t>Pressure of generated H2</t>
  </si>
  <si>
    <t>bar</t>
  </si>
  <si>
    <t xml:space="preserve">lifetime </t>
  </si>
  <si>
    <t>hydrogen emissions</t>
  </si>
  <si>
    <t>cooper 2022, not specific to electrolyser type</t>
  </si>
  <si>
    <t>Process/Basic Details</t>
  </si>
  <si>
    <t>yrs</t>
  </si>
  <si>
    <t>kWh/kg H2</t>
  </si>
  <si>
    <t xml:space="preserve">Materials </t>
  </si>
  <si>
    <t>Energy (kWh)</t>
  </si>
  <si>
    <t>Emissions (kgCO2e)</t>
  </si>
  <si>
    <t>Titanium</t>
  </si>
  <si>
    <t>kg</t>
  </si>
  <si>
    <t>Aluminium</t>
  </si>
  <si>
    <t>Stainless steel</t>
  </si>
  <si>
    <t>Copper</t>
  </si>
  <si>
    <t>PFSA</t>
  </si>
  <si>
    <t>Activated Carbon</t>
  </si>
  <si>
    <t>Iridium</t>
  </si>
  <si>
    <t>Platinum</t>
  </si>
  <si>
    <t>low alloyed steel</t>
  </si>
  <si>
    <t>high alloyed steel</t>
  </si>
  <si>
    <t>plastic</t>
  </si>
  <si>
    <t>Material</t>
  </si>
  <si>
    <t>Mass (kg)</t>
  </si>
  <si>
    <t>Construction/Decommissioning</t>
  </si>
  <si>
    <t>energy</t>
  </si>
  <si>
    <t>emissions</t>
  </si>
  <si>
    <t>Offshore Construction</t>
  </si>
  <si>
    <t>trips</t>
  </si>
  <si>
    <t>unit/km</t>
  </si>
  <si>
    <t>installation using HLV based on arvesen 2013 energy intensity, assumed fuel oil, distance adjusted in the model, fuel rate = 160l/hr, speed = 16.7km/h</t>
  </si>
  <si>
    <t>Offshore Decommissioning</t>
  </si>
  <si>
    <t>installation using HLV based on arvesen 2013 energy intensity, assumed fuel oil, distance adjusted in the model</t>
  </si>
  <si>
    <t>Onshore Construction</t>
  </si>
  <si>
    <t>km</t>
  </si>
  <si>
    <t>unit/tonne</t>
  </si>
  <si>
    <t>delivery by lorry, based on mass and emissions factors for freight transport - 62gCO2e/tonne km https://www.ecta.com/wp-content/uploads/2021/03/ECTA-CEFIC-GUIDELINE-FOR-MEASURING-AND-MANAGING-CO2-ISSUE-1.pdf, energy intensity based on deisel emissions intensity 0.2407 kgCO2e/ Gross kWh</t>
  </si>
  <si>
    <t>Onshore Decommissioning</t>
  </si>
  <si>
    <t>delivery by lorry, based on mass and emissions factors for freight transport - 62gCO2e/tonne km https://www.ecta.com/wp-content/uploads/2021/03/ECTA-CEFIC-GUIDELINE-FOR-MEASURING-AND-MANAGING-CO2-ISSUE-1.pdf, energy intensity based on deisel emissions intensity</t>
  </si>
  <si>
    <t>Offshore Commuting</t>
  </si>
  <si>
    <t>energy (kWh/yr)</t>
  </si>
  <si>
    <t>emissions (kgCO2e/yr)</t>
  </si>
  <si>
    <t>Number of Workers</t>
  </si>
  <si>
    <t>no. people</t>
  </si>
  <si>
    <t>Helicopter use</t>
  </si>
  <si>
    <t>unit/per person/km</t>
  </si>
  <si>
    <t>Commute to helicopter</t>
  </si>
  <si>
    <t>unit/per person</t>
  </si>
  <si>
    <t>Onshore Commuting</t>
  </si>
  <si>
    <t>Commute to work</t>
  </si>
  <si>
    <t>kgCO2e/person/km</t>
  </si>
  <si>
    <t>unit/person</t>
  </si>
  <si>
    <t>unit</t>
  </si>
  <si>
    <t>energy (kWh)</t>
  </si>
  <si>
    <t>emissions (kgCO2e)</t>
  </si>
  <si>
    <t>cooper 2022</t>
  </si>
  <si>
    <t>Totals</t>
  </si>
  <si>
    <t>from spec https://www.h-tec.com/fileadmin/user_upload/produkte/produktseiten/ME450-1400/spec-sheet/H-TEC-Datenblatt-ME450-EN-23-08.pdf, uses 81% of possible electricity from a 7MW turbine (eg beatrice wind farm) by combine 3 MW electrolysers</t>
  </si>
  <si>
    <t>kg/h</t>
  </si>
  <si>
    <t>Aluminum</t>
  </si>
  <si>
    <t>Nafion® (PFSA)</t>
  </si>
  <si>
    <t>Activated carbon</t>
  </si>
  <si>
    <t>Mass</t>
  </si>
  <si>
    <t>Materials - Array Pipelines (offshore)</t>
  </si>
  <si>
    <t>Length per Turbine</t>
  </si>
  <si>
    <t xml:space="preserve">based on average length of interarray cable for beatrice offshore wind farm </t>
  </si>
  <si>
    <t>Pipeline Diameter</t>
  </si>
  <si>
    <t>inches</t>
  </si>
  <si>
    <t>mm</t>
  </si>
  <si>
    <t>Steel required</t>
  </si>
  <si>
    <t>kg/m</t>
  </si>
  <si>
    <t>Vessel Transport</t>
  </si>
  <si>
    <t>l/km</t>
  </si>
  <si>
    <t>Helicopter Transport</t>
  </si>
  <si>
    <t>Commute to remote control</t>
  </si>
  <si>
    <t>Production Rate (kWh/yr)</t>
  </si>
  <si>
    <t>kg/hr</t>
  </si>
  <si>
    <t>kWh/kgH2</t>
  </si>
  <si>
    <t>based on spec of Alakline eletrolyser</t>
  </si>
  <si>
    <t>Materials for whole lifetime</t>
  </si>
  <si>
    <t>energy per 60MW</t>
  </si>
  <si>
    <t>emissions per 60MW</t>
  </si>
  <si>
    <t>Unalloyed steel</t>
  </si>
  <si>
    <t>Nickel</t>
  </si>
  <si>
    <t>Calendered rigid plastic</t>
  </si>
  <si>
    <t>Polytetrafluoroethylene</t>
  </si>
  <si>
    <t>Acrylonitrile butadiene styrene</t>
  </si>
  <si>
    <t>Polyphenylene sulfide</t>
  </si>
  <si>
    <t>Polysulfones</t>
  </si>
  <si>
    <t>N-Methyl-2-pyrrolidone</t>
  </si>
  <si>
    <t>Aniline</t>
  </si>
  <si>
    <t>Acetic anhydride</t>
  </si>
  <si>
    <t>Terephthalic acid</t>
  </si>
  <si>
    <t>Nitric acid</t>
  </si>
  <si>
    <t>Hydrochloric acid</t>
  </si>
  <si>
    <t>Graphite</t>
  </si>
  <si>
    <t>Lubricating oil</t>
  </si>
  <si>
    <t>Zirconium oxide</t>
  </si>
  <si>
    <t>total mass (60MW)</t>
  </si>
  <si>
    <t>reference</t>
  </si>
  <si>
    <t>Materials - Electrolyser</t>
  </si>
  <si>
    <t>energy per 3MW</t>
  </si>
  <si>
    <t>emissions per 3MW</t>
  </si>
  <si>
    <t>total mass (3MW)</t>
  </si>
  <si>
    <t>kWh /kg H2</t>
  </si>
  <si>
    <t>Assume generator used - 45% efficiency</t>
  </si>
  <si>
    <t>Grid intensity - slight overestimate as upstream NG emissions will be included in the model</t>
  </si>
  <si>
    <t>CH4 - Feedstock</t>
  </si>
  <si>
    <t>CH4  - Fuel</t>
  </si>
  <si>
    <t>kg/ kgH2</t>
  </si>
  <si>
    <t>Process Energy and Emissions</t>
  </si>
  <si>
    <t>CO2</t>
  </si>
  <si>
    <t>Electricity - Offshore</t>
  </si>
  <si>
    <t>Electricity - Onshore</t>
  </si>
  <si>
    <t>General</t>
  </si>
  <si>
    <t>kgCO2e</t>
  </si>
  <si>
    <t>Concrete (Onshore Only)</t>
  </si>
  <si>
    <t>Steel</t>
  </si>
  <si>
    <t>Iron</t>
  </si>
  <si>
    <t>Reference Plant</t>
  </si>
  <si>
    <t>Calcs</t>
  </si>
  <si>
    <t>total onshore</t>
  </si>
  <si>
    <t>total offshore</t>
  </si>
  <si>
    <t>Assume linear scale for material use</t>
  </si>
  <si>
    <t>Construction/Decommissioning - SMR Plant</t>
  </si>
  <si>
    <t>No CCS</t>
  </si>
  <si>
    <t>Low CCS</t>
  </si>
  <si>
    <t>High CCS</t>
  </si>
  <si>
    <t>Process Details</t>
  </si>
  <si>
    <t>t/day</t>
  </si>
  <si>
    <t>Linked to embodied and maintenance calculations</t>
  </si>
  <si>
    <t>Pressure of Produced H2</t>
  </si>
  <si>
    <t>yield</t>
  </si>
  <si>
    <t>Storage of CO2</t>
  </si>
  <si>
    <t>Pressure Required</t>
  </si>
  <si>
    <t>110 bar</t>
  </si>
  <si>
    <t>from Terlouw 2021</t>
  </si>
  <si>
    <t>Injection</t>
  </si>
  <si>
    <t>kWh/t CO2</t>
  </si>
  <si>
    <r>
      <t>from Terlouw 2021, adjusted to be per kWh LHV hydrogen produced.</t>
    </r>
    <r>
      <rPr>
        <sz val="11"/>
        <color rgb="FFFF0000"/>
        <rFont val="Calibri"/>
        <family val="2"/>
        <scheme val="minor"/>
      </rPr>
      <t xml:space="preserve"> Some challenges about energy type assumptions</t>
    </r>
    <r>
      <rPr>
        <sz val="11"/>
        <rFont val="Calibri"/>
        <family val="2"/>
        <scheme val="minor"/>
      </rPr>
      <t xml:space="preserve"> - assume a median case of grid emissions, though offshore will be worse as liekly to be produced from a generator</t>
    </r>
  </si>
  <si>
    <t>Compression</t>
  </si>
  <si>
    <t>From Terlouw 2021, assumes from 1bar to 110bar</t>
  </si>
  <si>
    <t>Pipeline Recompression</t>
  </si>
  <si>
    <t>Assume onshore needs two compression stations</t>
  </si>
  <si>
    <t>Pipeline Leakage</t>
  </si>
  <si>
    <t>Assume can scale linearly for bigger plant</t>
  </si>
  <si>
    <t>PEM Electrolysis - Centralised</t>
  </si>
  <si>
    <t>kg/yr</t>
  </si>
  <si>
    <t>Power Consumption</t>
  </si>
  <si>
    <t>kWh/kg</t>
  </si>
  <si>
    <t>coooper 2022</t>
  </si>
  <si>
    <t>lifetime of stack as the limiting factor</t>
  </si>
  <si>
    <t>kg/100MW</t>
  </si>
  <si>
    <t>Total mass</t>
  </si>
  <si>
    <t>kgCO2e/person/wee</t>
  </si>
  <si>
    <t>Materials</t>
  </si>
  <si>
    <t>Description</t>
  </si>
  <si>
    <t>1% of embodied emissions</t>
  </si>
  <si>
    <t xml:space="preserve">Maintenance of offshore wind farms is 18.9% of total expenditure, which is 20.8% of the capital expenditure. Averaged over a 20year lifespan this equates to 1% of capex per year. We assume that the emissions and energy intensity correlate to the costs. </t>
  </si>
  <si>
    <t>Proposed design from McPhy, 2018</t>
  </si>
  <si>
    <t>Offshore - Desalination. Average 4.89kWh/m3, conversion Nm3 to kWh LHV</t>
  </si>
  <si>
    <t>Onshore -(energy intensity - based on Thames Water Figures) (Worst Case) (no direct emissions, avoid double counting - will be assumed that the emissions intensity of electricity use is the same as the electrolysis plant)</t>
  </si>
  <si>
    <t xml:space="preserve"> Linearly scaled based on number of workers assumed from planning documents available online for planned hydrogen plant in Fife (10) and Trafford (11)</t>
  </si>
  <si>
    <t>4 weeks shift pattern based on HS&amp;E guidelines = 18 trips (13), distance included in the model, energy and emissions intensity per passenger km based on specification of a suitable helicopter (12), 90% occupancy, aviation turbine fuel (12.84 kWh/kg, 3.18 kgCO2e/kg) , 1092 km range, 2000kg fuel tank. Doubled as roundtrip assumed.</t>
  </si>
  <si>
    <t>Weighted average based on distance of Travel survey, and GHG Conversion Factors. Assume 8 weeks holiday, so 44 working weeks in the year. (14),(15)</t>
  </si>
  <si>
    <t xml:space="preserve">Maintenance of offshore wind farms is 18.9% of total expenditure, which is 20.8% of the capital expenditure. Averaged over a 20year lifespan of offshore wind this equates to 1% of capex per year. We assume that the emissions and energy intensity correlate to the costs. </t>
  </si>
  <si>
    <t xml:space="preserve">installation using HLV, assumed fuel oil, distance adjusted in the model, fuel rate = 160l/hr, speed = 16.7km/h </t>
  </si>
  <si>
    <t>delivery by lorry, based on mass and emissions factors for freight transport - 62gCO2e/tonne km, energy intensity based on deisel emissions intensity 0.2407 kgCO2e/ Gross kWh</t>
  </si>
  <si>
    <t>Nm/h</t>
  </si>
  <si>
    <t>kg/year</t>
  </si>
  <si>
    <t>kg/Nm3</t>
  </si>
  <si>
    <t>kWh / kg</t>
  </si>
  <si>
    <t>mass</t>
  </si>
  <si>
    <t>t</t>
  </si>
  <si>
    <t>lifetime</t>
  </si>
  <si>
    <t>years</t>
  </si>
  <si>
    <t>1MW</t>
  </si>
  <si>
    <t>4MW</t>
  </si>
  <si>
    <t>Crew do not stay offshore, more similar to offshore wind patterns, as assume that can be largely remotely operated. Use crew transfer vessel for most maintenance, average of 3767hrs per year for 50 turbines, so 75hrs per turbine per year. This equates to 6hrs per month, or 1 visit per month. Fuel assumptions from CTV in OM emissions assumptions</t>
  </si>
  <si>
    <t xml:space="preserve">6hrs loitering per visit, 6 visits per year, absed on vessel emissions O&amp;M and the GHG conversion factor for fuel oil. </t>
  </si>
  <si>
    <t>chosen based on  utilisation of the wind power from 7MW turbine as is the case for beatrice wind farm, as stated in H100 planning and technical submission. https://www.ofgem.gov.uk/sites/default/files/docs/2020/11/nic_2020_h100_fife_final_submission_20.10.20_-_redacted_ofgem_publication_applied.pdf</t>
  </si>
  <si>
    <t>from spec</t>
  </si>
  <si>
    <t xml:space="preserve">from spec </t>
  </si>
  <si>
    <t>same as used by Noh 2023 as not stated in spec</t>
  </si>
  <si>
    <t>Quantities as used by Noh 2023, embodied energy and emissions found using Ansys Granta EduPack</t>
  </si>
  <si>
    <t>Taken from cost case study of offshore production</t>
  </si>
  <si>
    <t>based on ASME/ANSI B 36.10 Welded and Seamless Wrought Steel Pipe and ASME/ANSI B36.19 Stainless Steel Pipe.</t>
  </si>
  <si>
    <t>1 visit a month, 50% by vessel, 50% by helicopter, distance included in the model, energy and emissions intensity per passenger km based on specification of a suitable helicopter (12), 90% occupancy, aviation turbine fuel (12.84 kWh/kg, 3.18 kgCO2e/kg) , 1092 km range, 2000kg fuel tank. Doubled as roundtrip</t>
  </si>
  <si>
    <t>10*6MW Electrolysers</t>
  </si>
  <si>
    <t>kg/kg</t>
  </si>
  <si>
    <t>kg/60MW</t>
  </si>
  <si>
    <t xml:space="preserve">3MW Electrolyser </t>
  </si>
  <si>
    <t>kg/3MW</t>
  </si>
  <si>
    <t>from reference</t>
  </si>
  <si>
    <t>due to limited available information assumed the same as SMR ref 28</t>
  </si>
  <si>
    <t>LI</t>
  </si>
  <si>
    <t>LRPI</t>
  </si>
  <si>
    <t>LRTI</t>
  </si>
  <si>
    <t>DPFI</t>
  </si>
  <si>
    <t>DAFI</t>
  </si>
  <si>
    <t>DPLI</t>
  </si>
  <si>
    <t>DALI</t>
  </si>
  <si>
    <t>CNGI</t>
  </si>
  <si>
    <t>Offshore Large</t>
  </si>
  <si>
    <t>Offshore Large - Repurposed</t>
  </si>
  <si>
    <t>Offshore Large - Retrofitted</t>
  </si>
  <si>
    <t>Offshore Decentralised</t>
  </si>
  <si>
    <t>Decentralised</t>
  </si>
  <si>
    <t xml:space="preserve">Centralised NG </t>
  </si>
  <si>
    <t>contents</t>
  </si>
  <si>
    <t>production methods</t>
  </si>
  <si>
    <t>3.1.</t>
  </si>
  <si>
    <t>3.2.</t>
  </si>
  <si>
    <t>3.3.</t>
  </si>
  <si>
    <t>h2 methods</t>
  </si>
  <si>
    <t>Specification</t>
  </si>
  <si>
    <t>New</t>
  </si>
  <si>
    <t>Taken from design of new offshore platform for CCS</t>
  </si>
  <si>
    <t>Repurposed</t>
  </si>
  <si>
    <t>50% of the lifetime, average age of platforms in north sea currently 26yrs so reasonable based on existing assets.</t>
  </si>
  <si>
    <t>Assumed to be included within the hydrogen production stage, so no energy use or emissions within this stage.</t>
  </si>
  <si>
    <t>only included for new platforms (so electrolysis only), based on ref 4.</t>
  </si>
  <si>
    <t>Size Required</t>
  </si>
  <si>
    <t xml:space="preserve">Based on the electrolyser specification a platform with area 8800m2 required for PEM and 8300m2 required for Alkaline Electrolysis, SMR is assumed to be retrofitted to the operational platform. Based on the information provided in the decommissioning documents, the Miller platform appears like it could be suitable as the available floor space is estimated at 8-10,000m2 based on the floor plans. All data is therefore found in the publically avialable decommissioning plan. </t>
  </si>
  <si>
    <t>Detail of the mass of the structure</t>
  </si>
  <si>
    <t>Mass (Te)</t>
  </si>
  <si>
    <t>Applicable to Electrolysis</t>
  </si>
  <si>
    <t>Topside</t>
  </si>
  <si>
    <t>Jacket</t>
  </si>
  <si>
    <t>Piles</t>
  </si>
  <si>
    <t>Piles (above cut)</t>
  </si>
  <si>
    <t xml:space="preserve">Total </t>
  </si>
  <si>
    <t>Topsides Material Inventory</t>
  </si>
  <si>
    <t xml:space="preserve">The key materials are included in the estimates, which are taken directly from the inventory listed in the decommissioning plan. Due to the uncertainty in the design those materials that contribute less than 2% mass have not been considered. This is then scaled by the mass of the topsides which are assumed to be relevent to both electrolysis and NG extraction. </t>
  </si>
  <si>
    <t>Purpose</t>
  </si>
  <si>
    <t>Mass Applicable</t>
  </si>
  <si>
    <t>Scaled</t>
  </si>
  <si>
    <t>Alloy Steel</t>
  </si>
  <si>
    <t>electrical + firefighting</t>
  </si>
  <si>
    <t>cables</t>
  </si>
  <si>
    <t>Copper Nickel</t>
  </si>
  <si>
    <t>fire water</t>
  </si>
  <si>
    <t>Stainless Steel</t>
  </si>
  <si>
    <t>cable trays, blast walls</t>
  </si>
  <si>
    <t>Cement</t>
  </si>
  <si>
    <t>Structural Steel</t>
  </si>
  <si>
    <t>stairs, walkways etc</t>
  </si>
  <si>
    <t>Structural and Other Steel</t>
  </si>
  <si>
    <t>Other</t>
  </si>
  <si>
    <t xml:space="preserve">Not included as do not know what material this is composed of. </t>
  </si>
  <si>
    <t>Piles (below cut)</t>
  </si>
  <si>
    <t xml:space="preserve">Material is not stated, so assume 100% structural steel </t>
  </si>
  <si>
    <t>Total</t>
  </si>
  <si>
    <t>The mass of the materials is then added, and embodied and energy factors used from Ansys Granta EduPack</t>
  </si>
  <si>
    <t>Total Mass (Te)</t>
  </si>
  <si>
    <t>kWh</t>
  </si>
  <si>
    <t xml:space="preserve">Construction and Decommissioning </t>
  </si>
  <si>
    <t>Decommissioning</t>
  </si>
  <si>
    <t>Energy (GJ)</t>
  </si>
  <si>
    <t>Emissions (TCO2)</t>
  </si>
  <si>
    <t>Emissions (kgCO2)</t>
  </si>
  <si>
    <t>comments</t>
  </si>
  <si>
    <t>Reprocessing of materials (Topsides)</t>
  </si>
  <si>
    <t xml:space="preserve">Not included within scope. Considered in upper bound. </t>
  </si>
  <si>
    <t>base case</t>
  </si>
  <si>
    <t>Reprocessing Material - Jacket</t>
  </si>
  <si>
    <t>lower bound</t>
  </si>
  <si>
    <t>Topsides - Existing</t>
  </si>
  <si>
    <t>Base Case</t>
  </si>
  <si>
    <t>upper bound</t>
  </si>
  <si>
    <t>Topsides - Single Lift</t>
  </si>
  <si>
    <t>Lower bound</t>
  </si>
  <si>
    <t>Jacket - Existing A (Full)</t>
  </si>
  <si>
    <t>Jacket - Exisitng B (Full)</t>
  </si>
  <si>
    <t>Upper bound</t>
  </si>
  <si>
    <t>Jacket - Existing A (Partial)</t>
  </si>
  <si>
    <t>Lower Bound</t>
  </si>
  <si>
    <t>Jacket - Exisitng B (Partial)</t>
  </si>
  <si>
    <t>Unused scenario</t>
  </si>
  <si>
    <t>Jacket - Future</t>
  </si>
  <si>
    <t>Full Recovery with Onshore Disposal</t>
  </si>
  <si>
    <t>Partial Recovery</t>
  </si>
  <si>
    <t>Leave and Cover</t>
  </si>
  <si>
    <t>Leave and Moniter</t>
  </si>
  <si>
    <t>Total (Base)</t>
  </si>
  <si>
    <t>Construction</t>
  </si>
  <si>
    <t>Base Case/Upper Bound</t>
  </si>
  <si>
    <t>Base Case/Lower Bound</t>
  </si>
  <si>
    <t>Upper bound/Base/Lower (can not partially construct)</t>
  </si>
  <si>
    <t xml:space="preserve">Assumed that workers already accounted for in the production method pathway stage. </t>
  </si>
  <si>
    <t xml:space="preserve">removed process equipment as accounted for in the production method. </t>
  </si>
  <si>
    <t xml:space="preserve">Production rate is defined in the model, capacity factor and yield assumed to be 1 as no impact on production. </t>
  </si>
  <si>
    <t>description</t>
  </si>
  <si>
    <t>lifespan</t>
  </si>
  <si>
    <t>Taken to be the same as an offshore wind turbine</t>
  </si>
  <si>
    <t xml:space="preserve">Based on available summaries of topside installation masses an estimate is taken that the structural component is the same mass as the equipment mass (e.g. as shown in cormorant alpha platform). Assumed all structural components are made of structural steel as is the case without electrolyser. </t>
  </si>
  <si>
    <t>Topsides</t>
  </si>
  <si>
    <t>Mass (T)</t>
  </si>
  <si>
    <t>PEM</t>
  </si>
  <si>
    <t>Taken from Production Method Definition</t>
  </si>
  <si>
    <t>Alkaline</t>
  </si>
  <si>
    <t>Foundations and Jacket</t>
  </si>
  <si>
    <t>Tower</t>
  </si>
  <si>
    <t>Nacelle</t>
  </si>
  <si>
    <t>Blades</t>
  </si>
  <si>
    <t>Interarray Pipelines</t>
  </si>
  <si>
    <t>kg/pipeline</t>
  </si>
  <si>
    <t xml:space="preserve">based on ASME/ANSI B 36.10 Welded and Seamless Wrought Steel Pipe and ASME/ANSI B36.19 Stainless Steel Pipe. (assume hydrogen pipeline would be imilar to naturalg gas pipeline), Ansys Granta EduPack stainless steel </t>
  </si>
  <si>
    <t>Compression and Distrubution Hub</t>
  </si>
  <si>
    <t xml:space="preserve">Assume that a third hub would be needed in addition to those built for the export of electricity from the wind farm to compress and export hydrogen, with the same dimensions and masses as described in the Beatrice Consent Plan. This is discussed within feasibility studies of offshore hydrogen production. </t>
  </si>
  <si>
    <t>Mass (t)</t>
  </si>
  <si>
    <t>total PEM</t>
  </si>
  <si>
    <t>total Alk</t>
  </si>
  <si>
    <t>Construction and Decommissioning</t>
  </si>
  <si>
    <t xml:space="preserve">Assume that minimal additional jounreys required but install time is increased. Use Beatrice Consent plan to estimate vessel use. Where needed the values are scaled by the number of wind turbines in the farm to estimate the impacts per decentralised electrolyser. The imapcts of vessel use are estimated using the methodology from Arevesen (ref 11) and GHG conversion factors (ref 12). </t>
  </si>
  <si>
    <t>Activity</t>
  </si>
  <si>
    <t>Vessels</t>
  </si>
  <si>
    <t>Time (hrs)</t>
  </si>
  <si>
    <t>Scaled Time</t>
  </si>
  <si>
    <t>Vessel Power KW</t>
  </si>
  <si>
    <t>energy kWh</t>
  </si>
  <si>
    <t>Emissions kgCO2e</t>
  </si>
  <si>
    <t>comment</t>
  </si>
  <si>
    <t>Interarray Pipeline</t>
  </si>
  <si>
    <t>grapnel run</t>
  </si>
  <si>
    <t>Platform support vessel</t>
  </si>
  <si>
    <t>Already occuring for cables so not included</t>
  </si>
  <si>
    <t>surveys</t>
  </si>
  <si>
    <t>installation</t>
  </si>
  <si>
    <t>Trenching Vessel</t>
  </si>
  <si>
    <t>Divided by  84</t>
  </si>
  <si>
    <t>trenching/protection</t>
  </si>
  <si>
    <t>Piling</t>
  </si>
  <si>
    <t>vessel set up</t>
  </si>
  <si>
    <t>heavy lift vessel</t>
  </si>
  <si>
    <t>Divided by  86 to account for installation of the hub (84 WT + 2 OTMs), and 84 as in the wind farm 84 decentralised electrolysers join to one hub</t>
  </si>
  <si>
    <t>Pile install</t>
  </si>
  <si>
    <t>pile driving</t>
  </si>
  <si>
    <t>Jacket Install</t>
  </si>
  <si>
    <t>lift</t>
  </si>
  <si>
    <t>grouting</t>
  </si>
  <si>
    <t>move out</t>
  </si>
  <si>
    <t xml:space="preserve">Turbine </t>
  </si>
  <si>
    <t>Prepartion</t>
  </si>
  <si>
    <t>Jack Up Vessel</t>
  </si>
  <si>
    <t>Not included</t>
  </si>
  <si>
    <t>Loading and Transit</t>
  </si>
  <si>
    <t>Tower Install</t>
  </si>
  <si>
    <t>Assume similar to platform install requirements )/84 for one electrolyser)</t>
  </si>
  <si>
    <t>Nacelle Install</t>
  </si>
  <si>
    <t>Blade Install</t>
  </si>
  <si>
    <t>Inter Turbine Transit</t>
  </si>
  <si>
    <t>Return</t>
  </si>
  <si>
    <t>OTM Installations</t>
  </si>
  <si>
    <t>Export Cable</t>
  </si>
  <si>
    <t>Topside Lift</t>
  </si>
  <si>
    <t>Heavy lift vessel</t>
  </si>
  <si>
    <t xml:space="preserve"> account for installation of the hub ( 2 OTMs in wind farm so divide by 2, then 84 to account for number of eelctrolysers invovled)</t>
  </si>
  <si>
    <t>Commissioning</t>
  </si>
  <si>
    <t>Divided by  86 to account for installation of the hub (84 WT + 2 OTMs)</t>
  </si>
  <si>
    <t>Support Vessels</t>
  </si>
  <si>
    <t>Support Vessel</t>
  </si>
  <si>
    <t>Tugboat</t>
  </si>
  <si>
    <t>total</t>
  </si>
  <si>
    <t>Jacket Removal</t>
  </si>
  <si>
    <t>Divided by  86 to account for decommissioning of the hub (84 WT + 2 OTMs), and 84 as spread between 84 wind turbine + electrolysers</t>
  </si>
  <si>
    <t>Turbine Removal</t>
  </si>
  <si>
    <t>Preperation</t>
  </si>
  <si>
    <t>Cables and Transformer Removal</t>
  </si>
  <si>
    <t>from spec, operational</t>
  </si>
  <si>
    <t xml:space="preserve">Assumed no additional requirements as total mass of turbine 720t, additional mass of electrolyser and platform &lt; 20% more in both cases and it is stated that the design is dominated by the horizontal loading (ref 6) </t>
  </si>
  <si>
    <t>ref 10</t>
  </si>
  <si>
    <t xml:space="preserve">13.2  x 4.0  x 5.7 from spec https://www.h-tec.com/fileadmin/user_upload/produkte/produktseiten/ME450-1400/spec-sheet/H-TEC-Datenblatt-ME450-EN-23-08.pdf (assume that could stack to minimise floor span required). </t>
  </si>
  <si>
    <t>Centralised NG</t>
  </si>
  <si>
    <t>Mid point between IEA and Ecoinvent assumptions</t>
  </si>
  <si>
    <t xml:space="preserve">Included in Production Pathway Stage. </t>
  </si>
  <si>
    <t>Capital Carbon From Construction and Materials</t>
  </si>
  <si>
    <t>Estimate using graphs of cost, floor numbers and m2. Most similar to warehouse as material for construction of plant components has already been included within the production method.  Median value for warehouse construction 0.44 tCO2e/m2. Compared to Ecoinvent value for chemical plants, which uses a combination of building construction, hall, steel construction and building construction, multi-storey appears to give a similar order of magnitude estimate for the infrastructure components of the chemical plant.</t>
  </si>
  <si>
    <t>tCo2e/m2</t>
  </si>
  <si>
    <t>kWh/m2</t>
  </si>
  <si>
    <t>Method</t>
  </si>
  <si>
    <t>Floor Area (m2) (specification)</t>
  </si>
  <si>
    <t>Floor Area per kWh HHV (Government Evidence)</t>
  </si>
  <si>
    <t>Floor Area (Gov) m2/kWh LHV capacity</t>
  </si>
  <si>
    <t>Using Values from Specifications (tCO2e)</t>
  </si>
  <si>
    <t>ktCO2e</t>
  </si>
  <si>
    <t>Percent difference</t>
  </si>
  <si>
    <t>Quoted in Production method</t>
  </si>
  <si>
    <t>(20)</t>
  </si>
  <si>
    <t>D-Pem</t>
  </si>
  <si>
    <t>D-Alk</t>
  </si>
  <si>
    <t>SMR with CCS</t>
  </si>
  <si>
    <t>Calc below refs 20,21</t>
  </si>
  <si>
    <t>ATR with CCS</t>
  </si>
  <si>
    <t>Calc below refs 20,22</t>
  </si>
  <si>
    <t>SMR/ATR Area Needed</t>
  </si>
  <si>
    <t>Based on Capacity Quoted (281kNm3/hr) (20)</t>
  </si>
  <si>
    <t>asu</t>
  </si>
  <si>
    <t>pretreatment</t>
  </si>
  <si>
    <t>reforming</t>
  </si>
  <si>
    <t>co shift</t>
  </si>
  <si>
    <t>co2 capture</t>
  </si>
  <si>
    <t>compressors</t>
  </si>
  <si>
    <t>h2 compression</t>
  </si>
  <si>
    <t>Average</t>
  </si>
  <si>
    <t>production infrastructure</t>
  </si>
  <si>
    <t>Vector</t>
  </si>
  <si>
    <t>Repurposed H2 Pipeline</t>
  </si>
  <si>
    <t>CH2</t>
  </si>
  <si>
    <t>New H2 Pipeline</t>
  </si>
  <si>
    <t>Existing Pipeline</t>
  </si>
  <si>
    <t>standardised</t>
  </si>
  <si>
    <t>des</t>
  </si>
  <si>
    <t>Recompression</t>
  </si>
  <si>
    <t>H2 - E</t>
  </si>
  <si>
    <t>kWhel/500m/kg</t>
  </si>
  <si>
    <t>based on reference, compressor ratio of 1.2, assumes recompression needed every 500km, so made assumption that proportional to distance. Operating pressures of between 100-16bar</t>
  </si>
  <si>
    <t>H2 - NG</t>
  </si>
  <si>
    <t>kWh/kg H5</t>
  </si>
  <si>
    <t>include emissions due to combustion of NG to provide electricity for the compressor stations, assume generator has an efficiency of 45% as best case based on power plant efficiency (3) and example generator specification (2)</t>
  </si>
  <si>
    <t>difference between transmission and storage stage compared to other pathways which instead use shipping</t>
  </si>
  <si>
    <t>TWh/a</t>
  </si>
  <si>
    <t>pipeline diameter 1m</t>
  </si>
  <si>
    <t>kgCO2e/km</t>
  </si>
  <si>
    <t>kWh/km</t>
  </si>
  <si>
    <t>desc</t>
  </si>
  <si>
    <t>steel</t>
  </si>
  <si>
    <t>kg/km</t>
  </si>
  <si>
    <t>x70 steel, high carbon (very similar to ecoinvent mass - 10% difference, but tin in addition)</t>
  </si>
  <si>
    <t>tin</t>
  </si>
  <si>
    <t>increases GWP and energy drastically</t>
  </si>
  <si>
    <t>concrete</t>
  </si>
  <si>
    <t>t/km</t>
  </si>
  <si>
    <t>density 2.3t/m3</t>
  </si>
  <si>
    <t>Energy (MJ/km)</t>
  </si>
  <si>
    <t>Energy (kWh/km)</t>
  </si>
  <si>
    <t>kgCo2e/km</t>
  </si>
  <si>
    <t>ref</t>
  </si>
  <si>
    <t>pipeline construction, natural gas, long distance, high capacity, offshore, CML 4.8 2016 ecoinvent</t>
  </si>
  <si>
    <t>diesel</t>
  </si>
  <si>
    <t>includes materials, land use, energy and water consumption, CED and CML v4.8 2016. Most impact from the steel</t>
  </si>
  <si>
    <t>Capacity/Production Rate (kWh/yr)</t>
  </si>
  <si>
    <t>OM (Transport)</t>
  </si>
  <si>
    <t>vector</t>
  </si>
  <si>
    <t>Cable</t>
  </si>
  <si>
    <t>Electricity</t>
  </si>
  <si>
    <t>No additional increase versus original windfarm assumptions</t>
  </si>
  <si>
    <t>Code</t>
  </si>
  <si>
    <t>T_LH2_LH2</t>
  </si>
  <si>
    <t>Tanker (LH2)</t>
  </si>
  <si>
    <t>LH2</t>
  </si>
  <si>
    <t>T_LH2_MDO</t>
  </si>
  <si>
    <t>MDO</t>
  </si>
  <si>
    <t>Capacity per trip</t>
  </si>
  <si>
    <t>Tonnes LH2</t>
  </si>
  <si>
    <t>kg H2 per trip</t>
  </si>
  <si>
    <t>Per year</t>
  </si>
  <si>
    <t>kg LH2/year</t>
  </si>
  <si>
    <t xml:space="preserve">kg </t>
  </si>
  <si>
    <t>Assume 1 trip a day (base distance = 150km, this takes at least 4.5hrs, so a round trip of 9hrs plus loading offloading)</t>
  </si>
  <si>
    <t>See below</t>
  </si>
  <si>
    <t>Yield %</t>
  </si>
  <si>
    <t>DWT</t>
  </si>
  <si>
    <t>tonnes</t>
  </si>
  <si>
    <t>how much the ship can carry</t>
  </si>
  <si>
    <t>LWT</t>
  </si>
  <si>
    <t>how much the ship weighs empty</t>
  </si>
  <si>
    <t>based on LNG Tanker</t>
  </si>
  <si>
    <t>Speed</t>
  </si>
  <si>
    <t>knots</t>
  </si>
  <si>
    <t>km/hr</t>
  </si>
  <si>
    <t>hydrogen emissions (Fuel Oil)</t>
  </si>
  <si>
    <t>hydrogen emissions (MDO)</t>
  </si>
  <si>
    <t>Fuel Calcs</t>
  </si>
  <si>
    <t>From ref 9</t>
  </si>
  <si>
    <t>Marine Diesel Oil</t>
  </si>
  <si>
    <t>Fuel Flow</t>
  </si>
  <si>
    <t>kg/s</t>
  </si>
  <si>
    <t>distance</t>
  </si>
  <si>
    <t>Time (round trip)</t>
  </si>
  <si>
    <t>hrs/km</t>
  </si>
  <si>
    <t>Fuel</t>
  </si>
  <si>
    <t>kg/km-roundtrip</t>
  </si>
  <si>
    <t>doubled as goes there and back</t>
  </si>
  <si>
    <t>kWh/km Round trip</t>
  </si>
  <si>
    <t>kgCO2e/km/round trip</t>
  </si>
  <si>
    <t>kWh/kg H2/km</t>
  </si>
  <si>
    <t>kgCO2e/kg H2/km</t>
  </si>
  <si>
    <t>Weight</t>
  </si>
  <si>
    <t>Total Weight</t>
  </si>
  <si>
    <t>Cargo Tank Weight</t>
  </si>
  <si>
    <t>Fuel (ignore)</t>
  </si>
  <si>
    <t>lightweight</t>
  </si>
  <si>
    <t>Engine tank weight</t>
  </si>
  <si>
    <t>aluminium</t>
  </si>
  <si>
    <t>Remaining</t>
  </si>
  <si>
    <t xml:space="preserve">Assume remaining mass is low alloy steel </t>
  </si>
  <si>
    <t>steel mass container ship (t)</t>
  </si>
  <si>
    <t>Steel mass LH2 tanker (t)</t>
  </si>
  <si>
    <t>scale</t>
  </si>
  <si>
    <t>Find the scaling factor</t>
  </si>
  <si>
    <t>kgCO2e (container ship)</t>
  </si>
  <si>
    <t>MJ (Containership)</t>
  </si>
  <si>
    <t>scaled (kgCO2e)</t>
  </si>
  <si>
    <t>scaled energy (kWh)</t>
  </si>
  <si>
    <t>electricity</t>
  </si>
  <si>
    <t>Market for welding, gas, steel</t>
  </si>
  <si>
    <t>Market for welding, electricity, steel</t>
  </si>
  <si>
    <t>check</t>
  </si>
  <si>
    <t>0.0017 kg CO2 eq per tonne-kilometer and 0.0010 kg CO2 eq per tonne-kilometer for hydrogen fuelled freight ship and tanker</t>
  </si>
  <si>
    <t>https://www.sciencedirect.com/science/article/pii/S0360319917329397</t>
  </si>
  <si>
    <t>kg H2/kgkm</t>
  </si>
  <si>
    <t>assume low carbon 2kg/kgH2</t>
  </si>
  <si>
    <t>10 times larger</t>
  </si>
  <si>
    <t>within the same order of magnitude between each other?</t>
  </si>
  <si>
    <t>6.5 times larger than in other study</t>
  </si>
  <si>
    <t>Tanker (NH3)</t>
  </si>
  <si>
    <t>NH3</t>
  </si>
  <si>
    <t>Tanker (NH3 - UC)</t>
  </si>
  <si>
    <t>NH3 UC</t>
  </si>
  <si>
    <t>Fuel Oil</t>
  </si>
  <si>
    <t>Tanker (NH3 -UC)</t>
  </si>
  <si>
    <t>tonnes NH3</t>
  </si>
  <si>
    <t>petroleum tanker from ecoinvent, mass limtied as NH3 denser than petroluem</t>
  </si>
  <si>
    <t>kg H2/ kg NH3</t>
  </si>
  <si>
    <t>tonnes H2 per trip</t>
  </si>
  <si>
    <t>BOG rates 0.088% per day in total considering land storage, loading, shipping etc</t>
  </si>
  <si>
    <t>kg HFO/tkm</t>
  </si>
  <si>
    <t>from ecoinvent - total of all countries but 70% from RoW, use UK gov conversion factors to be aligned with the rest of the model</t>
  </si>
  <si>
    <t>Fuel use (HFO)</t>
  </si>
  <si>
    <t>kWh/tkm NH3</t>
  </si>
  <si>
    <t>kWh/kgH2/km</t>
  </si>
  <si>
    <t>Fuel Use (HFO - unconverted)</t>
  </si>
  <si>
    <t>kWh/kgNH3/km</t>
  </si>
  <si>
    <t>Fuel Use Ammonia</t>
  </si>
  <si>
    <t>kWh/tkm</t>
  </si>
  <si>
    <t>Calc emissions based on target level of 0.06g N2O/kWh. Indirect warming due to Nox has not been included due to debate on the warming impact (equiavelnt limit of 2g/kWh suggested). GWP N20 265 https://ghgprotocol.org/sites/default/files/ghgp/Global-Warming-Potential-Values%20%28Feb%2016%202016%29_1.pdf</t>
  </si>
  <si>
    <t>Fuel Use Ammonia - unconverted</t>
  </si>
  <si>
    <t>Calc emissions based on target level of 0.06g N2O/kWh. GWP N20 265 https://ghgprotocol.org/sites/default/files/ghgp/Global-Warming-Potential-Values%20%28Feb%2016%202016%29_1.pdf</t>
  </si>
  <si>
    <t>Cooper 2022</t>
  </si>
  <si>
    <t>NH3 has a higher density than Petroluem so tanker is mass limited</t>
  </si>
  <si>
    <t>density LP</t>
  </si>
  <si>
    <t>kg/m3</t>
  </si>
  <si>
    <t>density NH3</t>
  </si>
  <si>
    <t>m3 LP</t>
  </si>
  <si>
    <t>m3 NH3</t>
  </si>
  <si>
    <t>Fuel Consumption calcs:</t>
  </si>
  <si>
    <t>kg HFO</t>
  </si>
  <si>
    <t>MJ/kgNH3km</t>
  </si>
  <si>
    <t>kWh/kgNH3km</t>
  </si>
  <si>
    <t>kgCO2e/kgNH3/km</t>
  </si>
  <si>
    <t>from ecoinvent: transport, freight, sea, tanker for petroleum</t>
  </si>
  <si>
    <t>Construction/Decommissioning (inc Materials)</t>
  </si>
  <si>
    <t>tanker production, for petroleum, 3.9.1 cutoff, CML 4.8 2016</t>
  </si>
  <si>
    <t>from ecoinvent, petroleum tanker, which is suitable for ammonia according to reference 17, 18</t>
  </si>
  <si>
    <t>CED</t>
  </si>
  <si>
    <t>cML v4.8</t>
  </si>
  <si>
    <t>Tanker (LOHC)</t>
  </si>
  <si>
    <t>LOHC</t>
  </si>
  <si>
    <t>tonnes benzyltoluene</t>
  </si>
  <si>
    <t>Petroluem tanker from ecoinvent</t>
  </si>
  <si>
    <t>kg H2/ kg LOHC</t>
  </si>
  <si>
    <t>tonnes per trip, calc capacity based on one trip per day</t>
  </si>
  <si>
    <t>Calcs below</t>
  </si>
  <si>
    <t>Assume zero, similar to conversion to NH3, losses would occur in production not transportation.</t>
  </si>
  <si>
    <t>Fuel Consumption</t>
  </si>
  <si>
    <t>MJ/kgkm</t>
  </si>
  <si>
    <t>kWh/kgLOHCkm</t>
  </si>
  <si>
    <t>kgCO2e/kgLOHC/km</t>
  </si>
  <si>
    <t>Benzyltoluene has a higher density than Petroluem so assume it is mass limited</t>
  </si>
  <si>
    <t>density benzyltoluene</t>
  </si>
  <si>
    <t>MWh/m3</t>
  </si>
  <si>
    <t>kgH2/m3</t>
  </si>
  <si>
    <t>kgLOHC/m3</t>
  </si>
  <si>
    <t>m3 benzyltoluene</t>
  </si>
  <si>
    <t>Infra Type</t>
  </si>
  <si>
    <t>PHRE</t>
  </si>
  <si>
    <t>Pipeline</t>
  </si>
  <si>
    <t>PHRNG</t>
  </si>
  <si>
    <t>PHNE</t>
  </si>
  <si>
    <t>PHNNG</t>
  </si>
  <si>
    <t>CE</t>
  </si>
  <si>
    <t>LHTLH2</t>
  </si>
  <si>
    <t>Tanker</t>
  </si>
  <si>
    <t>LHTMDO</t>
  </si>
  <si>
    <t>NHTNH3</t>
  </si>
  <si>
    <t>UCNHTNH3</t>
  </si>
  <si>
    <t>NHTFuel Oil</t>
  </si>
  <si>
    <t>UCNHTFuel Oil</t>
  </si>
  <si>
    <t>LOHCTFuel Oil</t>
  </si>
  <si>
    <t>shipping</t>
  </si>
  <si>
    <t>Production Rate (kgh2/yr)</t>
  </si>
  <si>
    <t>LH2 - Production Vessel</t>
  </si>
  <si>
    <t>Both</t>
  </si>
  <si>
    <t>Assumes hydrogen initially at 20 bar, which all the production methods have a stated output between 20-30bar.</t>
  </si>
  <si>
    <t>Energy is required to run the compressors, it is assumed based on current evidence that these use electricity. Therefore for offshore NG value chains a generator is used with best case 45% efficiency based on efficiency of power plant and lower efficiency of generator specification (refs 5,6)</t>
  </si>
  <si>
    <t>quantity</t>
  </si>
  <si>
    <t>energy (kWh/kg H2)</t>
  </si>
  <si>
    <t>carbon (kgCO2e/kgh2)</t>
  </si>
  <si>
    <t>Liquefaction - E</t>
  </si>
  <si>
    <t>Existing medium scale</t>
  </si>
  <si>
    <t>Liquefaction - NG</t>
  </si>
  <si>
    <t>kWh/kg H3</t>
  </si>
  <si>
    <t>losses, australian green H2</t>
  </si>
  <si>
    <t>Regasification</t>
  </si>
  <si>
    <t>May be some opportunity for energy recovery, similarly to LNG</t>
  </si>
  <si>
    <t>emission rates, australian green H2</t>
  </si>
  <si>
    <t>production capacity</t>
  </si>
  <si>
    <t>kg H2</t>
  </si>
  <si>
    <t>based on capacity of onshore liquefaction plant</t>
  </si>
  <si>
    <t>same lifetime as petroleum tanker</t>
  </si>
  <si>
    <t>Embodied Energy and Carbon</t>
  </si>
  <si>
    <t>Offshore conversion NG &gt; LNG is rare and takes place on FLNG. Assume similar process for LH2.</t>
  </si>
  <si>
    <t xml:space="preserve">Gimi conversion LNG carrier to FLNG processing vessel </t>
  </si>
  <si>
    <t>Properties (pre conversion):</t>
  </si>
  <si>
    <t>Quanity</t>
  </si>
  <si>
    <t>Unit</t>
  </si>
  <si>
    <t>width</t>
  </si>
  <si>
    <t>m</t>
  </si>
  <si>
    <t>based on golar Gimi which was refitted for BP Tortue Project as an FLNG</t>
  </si>
  <si>
    <t>length</t>
  </si>
  <si>
    <t>gross tonnage</t>
  </si>
  <si>
    <t>Vessel chosen as tonnage similar to that quoted by BP for FPSO</t>
  </si>
  <si>
    <t>summer dwt</t>
  </si>
  <si>
    <t>Estimate of area available</t>
  </si>
  <si>
    <t>Area/Material Requirement Onshore Liquifaction</t>
  </si>
  <si>
    <t>energy (KWh)</t>
  </si>
  <si>
    <t>tH2/day</t>
  </si>
  <si>
    <t>from supplementary infromation</t>
  </si>
  <si>
    <t>low alloy steel</t>
  </si>
  <si>
    <t>stainless steel</t>
  </si>
  <si>
    <t>copper</t>
  </si>
  <si>
    <t>not included for offshore production</t>
  </si>
  <si>
    <t>land occupation</t>
  </si>
  <si>
    <t>Approx 25% of available footrpint on ship</t>
  </si>
  <si>
    <t>water</t>
  </si>
  <si>
    <t>l/kgH2</t>
  </si>
  <si>
    <t>Mass of Plant operational equipment</t>
  </si>
  <si>
    <t>Assumed additional mass of vessel and associated infrastructure</t>
  </si>
  <si>
    <t>Based on Tanker Production, for petroleum, ecoinvent, CMl 4.8 and CED, include welding energy and electricity use, scale by mass of petroleum (capacity) (10) per year compared to GIMI DWT (7) compared to LH2 capacity per year (8)</t>
  </si>
  <si>
    <t>kgCo2e</t>
  </si>
  <si>
    <t>Petroleum (t)</t>
  </si>
  <si>
    <t>GIMI DWT (t)</t>
  </si>
  <si>
    <t>GIMI LNG Capacity</t>
  </si>
  <si>
    <t>LH2 Capacity (t)</t>
  </si>
  <si>
    <t>scaled energy</t>
  </si>
  <si>
    <t>assume the same as FLNG as base case</t>
  </si>
  <si>
    <t>4 weeks shift pattern based on HS&amp;E guidelines = 18 trips (14), distance included in the model, energy and emissions intensity per passenger km based on specification of a suitable helicopter (15), 90% occupancy, aviation turbine fuel (12.84 kWh/kg, 3.18 kgCO2e/kg) , 1092 km range, 2000kg fuel tank. Doubled as roundtrip assumed.</t>
  </si>
  <si>
    <t>Weighted average based on Travel survey. 47% due to transport which equates to 15.5kgCO2e/per person per week. 8 weeks holiday, so 44 working weeks in the year.</t>
  </si>
  <si>
    <t>t vector</t>
  </si>
  <si>
    <t>Compression E</t>
  </si>
  <si>
    <t>to 60 bar, assume max one recompression station</t>
  </si>
  <si>
    <t>Compression NG</t>
  </si>
  <si>
    <t>production rate</t>
  </si>
  <si>
    <t>kgH2/yr</t>
  </si>
  <si>
    <t>based on capacity of system modelled</t>
  </si>
  <si>
    <t>Materials - compressor</t>
  </si>
  <si>
    <t>Chromium</t>
  </si>
  <si>
    <t>kg/kgH2</t>
  </si>
  <si>
    <t>Cast</t>
  </si>
  <si>
    <t>iron</t>
  </si>
  <si>
    <t>Ethylene</t>
  </si>
  <si>
    <t>glycol</t>
  </si>
  <si>
    <t>Lubricating</t>
  </si>
  <si>
    <t>oil</t>
  </si>
  <si>
    <t>Tube</t>
  </si>
  <si>
    <t>insulation</t>
  </si>
  <si>
    <t>No additional workers</t>
  </si>
  <si>
    <t>Assumption</t>
  </si>
  <si>
    <t>Existing medium scale. Deisel generator</t>
  </si>
  <si>
    <t xml:space="preserve">to 60 bar, GHG emissions based on deisel generator </t>
  </si>
  <si>
    <t>north sea electrolysis scenario</t>
  </si>
  <si>
    <t>kg (based on production capacity quoted)</t>
  </si>
  <si>
    <t>Emissions per kg</t>
  </si>
  <si>
    <t>Energy per kg</t>
  </si>
  <si>
    <t>Tvector</t>
  </si>
  <si>
    <t>Per kg hydrogen</t>
  </si>
  <si>
    <t>kgCO2e (NG only)</t>
  </si>
  <si>
    <t>gravimetric density</t>
  </si>
  <si>
    <t>kg h2/kg</t>
  </si>
  <si>
    <t>kg H2/kg Benzyltoluene</t>
  </si>
  <si>
    <t>hydrogenation - thermal energy</t>
  </si>
  <si>
    <t>0-1</t>
  </si>
  <si>
    <t>loss factor 1.05</t>
  </si>
  <si>
    <t>dehydrogenation-thermal energy</t>
  </si>
  <si>
    <t>average of range</t>
  </si>
  <si>
    <t>capacity factor</t>
  </si>
  <si>
    <t>limited data</t>
  </si>
  <si>
    <t>Annual Production</t>
  </si>
  <si>
    <t>Assume 50t/day, kgH2/yr</t>
  </si>
  <si>
    <t xml:space="preserve">Lifetime </t>
  </si>
  <si>
    <t>Material Balance</t>
  </si>
  <si>
    <t>Mass (kg/kg H2)</t>
  </si>
  <si>
    <t>Mass (based on lifetime production) (kg)</t>
  </si>
  <si>
    <t>references</t>
  </si>
  <si>
    <t xml:space="preserve">Catalyst </t>
  </si>
  <si>
    <t>mg/kgH2</t>
  </si>
  <si>
    <t>multiplied by the annual production</t>
  </si>
  <si>
    <t>platinum</t>
  </si>
  <si>
    <t>ug/kgh2</t>
  </si>
  <si>
    <t>chemical factory</t>
  </si>
  <si>
    <t>multiplied by the total production</t>
  </si>
  <si>
    <t>DBT</t>
  </si>
  <si>
    <t xml:space="preserve">No evidence for the infrastructure required, so have assumed will be colocated with the hydrogen production as a best case scenario. </t>
  </si>
  <si>
    <t>T vector</t>
  </si>
  <si>
    <t>NH3 - Production Vessel</t>
  </si>
  <si>
    <t>NH3 - Production Vessel UC</t>
  </si>
  <si>
    <t>gravimetric energy density</t>
  </si>
  <si>
    <t>Production</t>
  </si>
  <si>
    <t>unit/kgH2</t>
  </si>
  <si>
    <t>Existing medium scale, thermal energy</t>
  </si>
  <si>
    <t>unit/kgH3</t>
  </si>
  <si>
    <t>loss factor 1.05 (cooper 2022 combines with energy use)</t>
  </si>
  <si>
    <t>hydrogen cracking</t>
  </si>
  <si>
    <t>capacity</t>
  </si>
  <si>
    <t>kg H2 /year</t>
  </si>
  <si>
    <t>based on chemical plant modelled in ecoinvent</t>
  </si>
  <si>
    <t>shipping only</t>
  </si>
  <si>
    <t>Ecoinvent ammonia factory, minus the allowance for hydrogen production</t>
  </si>
  <si>
    <t>chemical factory needed per kg</t>
  </si>
  <si>
    <t>chemical factory for ammonia production</t>
  </si>
  <si>
    <t>unit/kg NH3</t>
  </si>
  <si>
    <t xml:space="preserve">Think this includes hydrogen production though steam methane reforming - minus the same result for hydrogen production through SMR. </t>
  </si>
  <si>
    <t>chemical factory, organics hydrogen production</t>
  </si>
  <si>
    <t>unit/kg H2</t>
  </si>
  <si>
    <t>chemical factory needed per kg, without hydrogen production</t>
  </si>
  <si>
    <t>ammonia - hydrogen</t>
  </si>
  <si>
    <t>embodied emissions</t>
  </si>
  <si>
    <t>chemical factory, organics GWP100</t>
  </si>
  <si>
    <t>embodied energy</t>
  </si>
  <si>
    <t>chemical factory, organics GWP101</t>
  </si>
  <si>
    <t>Energy per kgH2</t>
  </si>
  <si>
    <t>Emissions per kg H2</t>
  </si>
  <si>
    <t xml:space="preserve">Assume collocated with hydrogen production infrastructure. </t>
  </si>
  <si>
    <t>Assume similar to FLNG</t>
  </si>
  <si>
    <t>kg H2/kg H2</t>
  </si>
  <si>
    <t>assume 0, similar to NH3</t>
  </si>
  <si>
    <t>LH2E</t>
  </si>
  <si>
    <t>LH2NG</t>
  </si>
  <si>
    <t>CH2E</t>
  </si>
  <si>
    <t>CH2NG</t>
  </si>
  <si>
    <t>LOE</t>
  </si>
  <si>
    <t>LONG</t>
  </si>
  <si>
    <t>NH3E</t>
  </si>
  <si>
    <t>NH3NG</t>
  </si>
  <si>
    <t>NH3UCE</t>
  </si>
  <si>
    <t>NH3UCNG</t>
  </si>
  <si>
    <t>5.2.</t>
  </si>
  <si>
    <t xml:space="preserve">5.4. </t>
  </si>
  <si>
    <t xml:space="preserve">5.3. </t>
  </si>
  <si>
    <t>5.5.</t>
  </si>
  <si>
    <t>Stage</t>
  </si>
  <si>
    <t>CO2e</t>
  </si>
  <si>
    <t>Production CF</t>
  </si>
  <si>
    <t>Low</t>
  </si>
  <si>
    <t>High</t>
  </si>
  <si>
    <t>assume can be always available, CF assumptions remain the same as without considering the energy source</t>
  </si>
  <si>
    <t>Energy Source</t>
  </si>
  <si>
    <t>based on historic uk data</t>
  </si>
  <si>
    <t>base taken as central point, UKCS piped NG as the maximum</t>
  </si>
  <si>
    <t>based on historic uk data, plus energy required for CCS</t>
  </si>
  <si>
    <t>base assumption taken as central point, maxium 1</t>
  </si>
  <si>
    <t>Upper and Lower Quartile from NSTA Dashboard</t>
  </si>
  <si>
    <t>https://www.nstauthority.co.uk/the-move-to-net-zero/net-zero-benchmarking-and-analysis/natural-gas-carbon-footprint-analysis/</t>
  </si>
  <si>
    <t>https://www.nationalgrideso.com/document/283101/download</t>
  </si>
  <si>
    <t>based on uncertainty of offshore centralised</t>
  </si>
  <si>
    <t>H2 infra</t>
  </si>
  <si>
    <t>based on uncertainty of offshore centralised (LB=0.5,Upper bound =1.5)</t>
  </si>
  <si>
    <t>Upper and lower bounds from decommissioning reports suggest 50% higher and lower are suitable bounds</t>
  </si>
  <si>
    <t>50% higher and lower, no reference</t>
  </si>
  <si>
    <t>weak reference but same order of magnitudes</t>
  </si>
  <si>
    <t>from reference agrees with base assumption that lifetime half that of new infrastructure</t>
  </si>
  <si>
    <t>upper and lower bound from reference</t>
  </si>
  <si>
    <t>H2 prod</t>
  </si>
  <si>
    <t>take 20% either way based on bounds of electrolysis</t>
  </si>
  <si>
    <t>based on LHV, 2030, upper and lower bounds</t>
  </si>
  <si>
    <t>based on IEA upper and lower bounds</t>
  </si>
  <si>
    <t>No direct CO2 emissions</t>
  </si>
  <si>
    <t>50% lower and upper bounds, same assumption as other embodied emissions stages, based on offshore construction and decommissioning upper and lower bounds from decommissioning documents, same bounds used for all embodied impacts</t>
  </si>
  <si>
    <t>min taken from reference to be 15 years, assume base case is midpoint</t>
  </si>
  <si>
    <t>lifetime based on the stack, bounds from reference</t>
  </si>
  <si>
    <t>20% higher and lower</t>
  </si>
  <si>
    <t>NA, not used in modelling as production onshore</t>
  </si>
  <si>
    <t>high=0.5% based on methane leakage rates</t>
  </si>
  <si>
    <t>range from reference</t>
  </si>
  <si>
    <t>double, low no compression post produciton</t>
  </si>
  <si>
    <t>50% lower and upper bounds, same assumption as other embodied emissions stages, based on offshore construction and decommissioning upper and lower bounds from decommissioning documents</t>
  </si>
  <si>
    <t>range based on process energy requirements from reference</t>
  </si>
  <si>
    <t>upper bound none, lower bound double base assumption</t>
  </si>
  <si>
    <t>no allowance in cooper 2022 separate from transmission, instead base on methane losses https://pubs.rsc.org/en/content/articlehtml/2023/ee/d2ee03072a</t>
  </si>
  <si>
    <t xml:space="preserve">no allowance in cooper 2022 separate from transmission, instead base on methane losses </t>
  </si>
  <si>
    <t>upper bound no losses, lower bound from ref</t>
  </si>
  <si>
    <t>Assume 20% lower as bound</t>
  </si>
  <si>
    <t>NA</t>
  </si>
  <si>
    <t>Tinfra</t>
  </si>
  <si>
    <t>NA - all per km</t>
  </si>
  <si>
    <t>not in scope of paper, best case no losses, worst case double base assumption</t>
  </si>
  <si>
    <t>cooper 2022 (difference between storage and transmission versus shipping)</t>
  </si>
  <si>
    <t>widest bound reported in reference</t>
  </si>
  <si>
    <t>From reference</t>
  </si>
  <si>
    <t>half of non-repurposed estimates</t>
  </si>
  <si>
    <t>Existing Reference/Reason</t>
  </si>
  <si>
    <t>Base Value</t>
  </si>
  <si>
    <t>Variable</t>
  </si>
  <si>
    <t>Natural Gas</t>
  </si>
  <si>
    <t>Centralised or decentralised</t>
  </si>
  <si>
    <t>CPLI</t>
  </si>
  <si>
    <t>CALI</t>
  </si>
  <si>
    <t>NH3YE</t>
  </si>
  <si>
    <t>NH3UCY</t>
  </si>
  <si>
    <t>PNNG</t>
  </si>
  <si>
    <t>based on capacity of reference</t>
  </si>
  <si>
    <t>UNITED NATIONS ECONOMIC COMMISSION FOR EUROPE, “Carbon Neutrality in the UNECE Region: Integrated Life-cycle Assessment of Electricity Sources ,” 2022, Accessed: Jul. 24, 2023. [Online]. Available: https://unece.org/sites/default/files/2022-04/LCA_3_FINAL%20March%202022.pdf</t>
  </si>
  <si>
    <t>[2]</t>
  </si>
  <si>
    <r>
      <t xml:space="preserve">A. Garcia-Teruel, G. Rinaldi, P. R. Thies, L. Johanning, and H. Jeffrey, “Life cycle assessment of floating offshore wind farms: An evaluation of operation and maintenance,” </t>
    </r>
    <r>
      <rPr>
        <i/>
        <sz val="11"/>
        <color theme="1"/>
        <rFont val="Calibri"/>
        <family val="2"/>
        <scheme val="minor"/>
      </rPr>
      <t>Appl Energy</t>
    </r>
    <r>
      <rPr>
        <sz val="11"/>
        <color theme="1"/>
        <rFont val="Calibri"/>
        <family val="2"/>
        <scheme val="minor"/>
      </rPr>
      <t>, vol. 307, Feb. 2022, doi: 10.1016/J.APENERGY.2021.118067.</t>
    </r>
  </si>
  <si>
    <t>[3]</t>
  </si>
  <si>
    <r>
      <t xml:space="preserve">S. M. Jordaan, A. W. Ruttinger, K. Surana, D. Nock, S. M. Miller, and A. P. Ravikumar, “Global mitigation opportunities for the life cycle of natural gas-fired power,” </t>
    </r>
    <r>
      <rPr>
        <i/>
        <sz val="11"/>
        <color theme="1"/>
        <rFont val="Calibri"/>
        <family val="2"/>
        <scheme val="minor"/>
      </rPr>
      <t>Nature Climate Change 2022 12:11</t>
    </r>
    <r>
      <rPr>
        <sz val="11"/>
        <color theme="1"/>
        <rFont val="Calibri"/>
        <family val="2"/>
        <scheme val="minor"/>
      </rPr>
      <t>, vol. 12, no. 11, pp. 1059–1067, Oct. 2022, doi: 10.1038/s41558-022-01503-5.</t>
    </r>
  </si>
  <si>
    <t>[4]</t>
  </si>
  <si>
    <t>Department for Energy Security &amp; Net Zero, “Digest of UK Energy Statistics Annual data for UK, 2022”, Accessed: Jan. 30, 2024. [Online]. Available: https://assets.publishing.service.gov.uk/media/64f1fcba9ee0f2000db7bdd8/DUKES_2023_Chapters_1-7.pdf</t>
  </si>
  <si>
    <t>[5]</t>
  </si>
  <si>
    <t>North Sea Transition Authority, “Natural Gas Carbon Footprint Analysis.” Accessed: Jan. 30, 2024. [Online]. Available: https://www.nstauthority.co.uk/the-move-to-net-zero/net-zero-benchmarking-and-analysis/natural-gas-carbon-footprint-analysis/</t>
  </si>
  <si>
    <t>[6]</t>
  </si>
  <si>
    <t>North Sea Transition Authority, “Emissions Monitoring Dashboard 2023.” Accessed: Jan. 30, 2024. [Online]. Available: https://app.powerbi.com/view?r=eyJrIjoiMGY5NDQwODYtNjZiZi00MzEzLWIyZTQtYzIzOWIyMWUzOGM2IiwidCI6ImU2ODFjNTlkLTg2OGUtNDg4Ny04MGZhLWNlMzZmMWYyMWIwZiJ9</t>
  </si>
  <si>
    <t>[7]</t>
  </si>
  <si>
    <r>
      <t xml:space="preserve">R. M. Pulselli </t>
    </r>
    <r>
      <rPr>
        <i/>
        <sz val="11"/>
        <color theme="1"/>
        <rFont val="Calibri"/>
        <family val="2"/>
        <scheme val="minor"/>
      </rPr>
      <t>et al.</t>
    </r>
    <r>
      <rPr>
        <sz val="11"/>
        <color theme="1"/>
        <rFont val="Calibri"/>
        <family val="2"/>
        <scheme val="minor"/>
      </rPr>
      <t xml:space="preserve">, “Benchmarking Marine Energy Technologies Through LCA: Offshore Floating Wind Farms in the Mediterranean,” </t>
    </r>
    <r>
      <rPr>
        <i/>
        <sz val="11"/>
        <color theme="1"/>
        <rFont val="Calibri"/>
        <family val="2"/>
        <scheme val="minor"/>
      </rPr>
      <t>Front Energy Res</t>
    </r>
    <r>
      <rPr>
        <sz val="11"/>
        <color theme="1"/>
        <rFont val="Calibri"/>
        <family val="2"/>
        <scheme val="minor"/>
      </rPr>
      <t>, vol. 10, p. 902021, Jun. 2022, doi: 10.3389/FENRG.2022.902021/BIBTEX.</t>
    </r>
  </si>
  <si>
    <t>[8]</t>
  </si>
  <si>
    <t>[9]</t>
  </si>
  <si>
    <t>[10]</t>
  </si>
  <si>
    <t>EcoInvent v3.9.1, “electricity production, wind, 1-3MW turbine, offshore - GB - electricity, high voltage.” Accessed: Jan. 30, 2024. [Online]. Available: https://ecoquery.ecoinvent.org/3.9.1/cutoff/dataset/4205/documentation</t>
  </si>
  <si>
    <t>[11]</t>
  </si>
  <si>
    <t>EcoInvent v3.9.1, “electricity production, wind, 1-3MW turbine, onshore - GB - electricity, high voltage.” Accessed: Jan. 30, 2024. [Online]. Available: https://ecoquery.ecoinvent.org/3.9.1/cutoff/dataset/2526/documentation</t>
  </si>
  <si>
    <t>[12]</t>
  </si>
  <si>
    <t>EcoInvent v3.9.1, “electricity production, photovoltaic, 570kWp open ground installation, multi-Si - GB - electricity, low voltage.” Accessed: Jan. 30, 2024. [Online]. Available: https://ecoquery.ecoinvent.org/3.9.1/cutoff/dataset/14254/documentation</t>
  </si>
  <si>
    <t>[13]</t>
  </si>
  <si>
    <t>Department for Energy &amp; Net Zero, “Plant loads, demand and efficiency (DUKES 5.10).” Accessed: Jan. 30, 2024. [Online]. Available: https://www.gov.uk/government/statistics/electricity-chapter-5-digest-of-united-kingdom-energy-statistics-dukes</t>
  </si>
  <si>
    <t>[14]</t>
  </si>
  <si>
    <r>
      <t xml:space="preserve">Y. Hwang, A. Al-AbulKarem, A. Mortazavi, and R. Radermacher, “Natural Gas Liquefaction Cycle Enhancements and Optimization,” </t>
    </r>
    <r>
      <rPr>
        <i/>
        <sz val="11"/>
        <color theme="1"/>
        <rFont val="Calibri"/>
        <family val="2"/>
        <scheme val="minor"/>
      </rPr>
      <t>Handbook of Liquefied Natural Gas</t>
    </r>
    <r>
      <rPr>
        <sz val="11"/>
        <color theme="1"/>
        <rFont val="Calibri"/>
        <family val="2"/>
        <scheme val="minor"/>
      </rPr>
      <t>, pp. 229–257, Jan. 2014, doi: 10.1016/B978-0-12-404585-9.00005-2.</t>
    </r>
  </si>
  <si>
    <t>[15]</t>
  </si>
  <si>
    <t>Department for Energy &amp; Net Zero, “Natural gas: commodity balances (DUKES 4.1) .” Accessed: Jan. 30, 2024. [Online]. Available: https://www.gov.uk/government/statistics/natural-gas-chapter-4-digest-of-united-kingdom-energy-statistics-dukes</t>
  </si>
  <si>
    <t>[16]</t>
  </si>
  <si>
    <t>William Nock, Louis Day, and Felicia Chang, “Deliverable 1.1 H 2 production and consumption profiles”, Accessed: Jan. 30, 2024. [Online]. Available: https://hypster-project.eu/wp-content/uploads/2021/10/Deliverable_1-1_H2-production_and_consumption_profiles.pdf</t>
  </si>
  <si>
    <t>[17]</t>
  </si>
  <si>
    <t>Department for Business Energy &amp; Industrial Strategy, “Nuclear electricity in the UK,” 2018, Accessed: Jan. 30, 2024. [Online]. Available: https://assets.publishing.service.gov.uk/media/5c9a5d37ed915d07b20fa2ba/Nuclear_electricity_in_the_UK.pdf</t>
  </si>
  <si>
    <t>[18]</t>
  </si>
  <si>
    <t>Deloitte, “Fueling the future of mobility: hydrogen electrolyzers,” 2021, Accessed: Jan. 30, 2024. [Online]. Available: https://www2.deloitte.com/content/dam/Deloitte/fr/Documents/energie-et-ressources/Publications/fueling-the-future-of-mobility-hydrogen-electrolyzers.pdf</t>
  </si>
  <si>
    <t>[19]</t>
  </si>
  <si>
    <r>
      <t xml:space="preserve">H. Noh, K. Kang, and Y. Seo, “Environmental and energy efficiency assessments of offshore hydrogen supply chains utilizing compressed gaseous hydrogen, liquefied hydrogen, liquid organic hydrogen carriers and ammonia,” </t>
    </r>
    <r>
      <rPr>
        <i/>
        <sz val="11"/>
        <color theme="1"/>
        <rFont val="Calibri"/>
        <family val="2"/>
        <scheme val="minor"/>
      </rPr>
      <t>Int J Hydrogen Energy</t>
    </r>
    <r>
      <rPr>
        <sz val="11"/>
        <color theme="1"/>
        <rFont val="Calibri"/>
        <family val="2"/>
        <scheme val="minor"/>
      </rPr>
      <t>, vol. 48, no. 20, pp. 7515–7532, Mar. 2023, doi: 10.1016/J.IJHYDENE.2022.11.085.</t>
    </r>
  </si>
  <si>
    <t>[20]</t>
  </si>
  <si>
    <r>
      <t xml:space="preserve">J. Cooper, L. Dubey, S. Bakkaloglu, and A. Hawkes, “Hydrogen emissions from the hydrogen value chain-emissions profile and impact to global warming,” </t>
    </r>
    <r>
      <rPr>
        <i/>
        <sz val="11"/>
        <color theme="1"/>
        <rFont val="Calibri"/>
        <family val="2"/>
        <scheme val="minor"/>
      </rPr>
      <t>Science of The Total Environment</t>
    </r>
    <r>
      <rPr>
        <sz val="11"/>
        <color theme="1"/>
        <rFont val="Calibri"/>
        <family val="2"/>
        <scheme val="minor"/>
      </rPr>
      <t>, vol. 830, p. 154624, Jul. 2022, doi: 10.1016/J.SCITOTENV.2022.154624.</t>
    </r>
  </si>
  <si>
    <t>[21]</t>
  </si>
  <si>
    <t>K. Harrison and M. Peters, “Renewable Electrolysis Integrated System Development &amp; Testing 2013 DOE Hydrogen and Fuel Cells Program Review,” 2013.</t>
  </si>
  <si>
    <t>[22]</t>
  </si>
  <si>
    <t>IRENA, “GREEN HYDROGEN COST REDUCTION SCALING UP ELECTROLYSERS TO MEET THE 1.5°C CLIMATE GOAL,” 2020, Accessed: Jan. 30, 2024. [Online]. Available: www.irena.org/publications</t>
  </si>
  <si>
    <t>[23]</t>
  </si>
  <si>
    <r>
      <t xml:space="preserve">K. Bareiß, C. de la Rua, M. Möckl, and T. Hamacher, “Life cycle assessment of hydrogen from proton exchange membrane water electrolysis in future energy systems,” </t>
    </r>
    <r>
      <rPr>
        <i/>
        <sz val="11"/>
        <color theme="1"/>
        <rFont val="Calibri"/>
        <family val="2"/>
        <scheme val="minor"/>
      </rPr>
      <t>Appl Energy</t>
    </r>
    <r>
      <rPr>
        <sz val="11"/>
        <color theme="1"/>
        <rFont val="Calibri"/>
        <family val="2"/>
        <scheme val="minor"/>
      </rPr>
      <t>, vol. 237, pp. 862–872, Mar. 2019, doi: 10.1016/J.APENERGY.2019.01.001.</t>
    </r>
  </si>
  <si>
    <t>[24]</t>
  </si>
  <si>
    <t>Ansys, “Ansys Granta EduPack.” 2023.</t>
  </si>
  <si>
    <t>[25]</t>
  </si>
  <si>
    <r>
      <t xml:space="preserve">F. Leon, A. Ramos-Martin, and S. O. Perez-Baez, “Study of the Ecological Footprint and Carbon Footprint in a Reverse Osmosis Sea Water Desalination Plant,” </t>
    </r>
    <r>
      <rPr>
        <i/>
        <sz val="11"/>
        <color theme="1"/>
        <rFont val="Calibri"/>
        <family val="2"/>
        <scheme val="minor"/>
      </rPr>
      <t>Membranes (Basel)</t>
    </r>
    <r>
      <rPr>
        <sz val="11"/>
        <color theme="1"/>
        <rFont val="Calibri"/>
        <family val="2"/>
        <scheme val="minor"/>
      </rPr>
      <t>, vol. 11, no. 6, 2021, doi: 10.3390/MEMBRANES11060377.</t>
    </r>
  </si>
  <si>
    <t>[26]</t>
  </si>
  <si>
    <r>
      <t xml:space="preserve">A. Majid </t>
    </r>
    <r>
      <rPr>
        <i/>
        <sz val="11"/>
        <color theme="1"/>
        <rFont val="Calibri"/>
        <family val="2"/>
        <scheme val="minor"/>
      </rPr>
      <t>et al.</t>
    </r>
    <r>
      <rPr>
        <sz val="11"/>
        <color theme="1"/>
        <rFont val="Calibri"/>
        <family val="2"/>
        <scheme val="minor"/>
      </rPr>
      <t xml:space="preserve">, “An Analysis of Electricity Consumption Patterns in the Water and Wastewater Sectors in South East England, UK,” </t>
    </r>
    <r>
      <rPr>
        <i/>
        <sz val="11"/>
        <color theme="1"/>
        <rFont val="Calibri"/>
        <family val="2"/>
        <scheme val="minor"/>
      </rPr>
      <t>Water 2020, Vol. 12, Page 225</t>
    </r>
    <r>
      <rPr>
        <sz val="11"/>
        <color theme="1"/>
        <rFont val="Calibri"/>
        <family val="2"/>
        <scheme val="minor"/>
      </rPr>
      <t>, vol. 12, no. 1, p. 225, Jan. 2020, doi: 10.3390/W12010225.</t>
    </r>
  </si>
  <si>
    <t>[27]</t>
  </si>
  <si>
    <t>H100 Fife, “20/03271/NMV1 | H100 Fife Hydrogen demonstration project including facilities for the production and storage of hydrogen, demonstration facility, site office, electrical plant room, security fencing, external lighting and internal roads - Non Material Variation to approved 20/03271/FULL) | Site At Fife Energy Park Links Drive Methil Fife.” Accessed: Jan. 31, 2024. [Online]. Available: https://planning.fife.gov.uk/online/applicationDetails.do?keyVal=RLQWL7HF02700&amp;activeTab=summary</t>
  </si>
  <si>
    <t>[28]</t>
  </si>
  <si>
    <t>Trafford Green Hydrogen, “105316/HYB/21 | Transport Assessment.” Accessed: Jan. 31, 2024. [Online]. Available: https://pa.trafford.gov.uk/online-applications/</t>
  </si>
  <si>
    <t>[29]</t>
  </si>
  <si>
    <t>Airbus, “H175 Technical Information.” Accessed: Jan. 31, 2024. [Online]. Available: https://www.airbus.com/en/products-services/helicopters/civil-helicopters/h175/h175-technical-information</t>
  </si>
  <si>
    <t>[30]</t>
  </si>
  <si>
    <t>Health and Safety Executive, “Managing offshore shift work and fatigue risk,” 2018. Accessed: Dec. 20, 2023. [Online]. Available: https://www.hse.gov.uk/offshore/assets/docs/is1-2018.pdf</t>
  </si>
  <si>
    <t>[31]</t>
  </si>
  <si>
    <t>Department for Business Energy &amp; Industrial Strategy, “GHG Conversion Factors 2022 Condensed Set.” Accessed: Dec. 08, 2022. [Online]. Available: https://www.gov.uk/government/publications/greenhouse-gas-reporting-conversion-factors-2022</t>
  </si>
  <si>
    <t>[32]</t>
  </si>
  <si>
    <t>Department for Transport, “National Travel Survey 2021: Working from home.” Accessed: Jan. 31, 2024. [Online]. Available: https://www.gov.uk/government/statistics/national-travel-survey-2021/national-travel-survey-2021-working-from-home</t>
  </si>
  <si>
    <t>[33]</t>
  </si>
  <si>
    <t>ORE Catapult and The Crown Estate, “Wind farm costs – Guide to an offshore wind farm.” Accessed: Jan. 31, 2024. [Online]. Available: https://guidetoanoffshorewindfarm.com/wind-farm-costs</t>
  </si>
  <si>
    <t>[34]</t>
  </si>
  <si>
    <r>
      <t xml:space="preserve">A. Arvesen, C. Birkeland, and E. G. Hertwich, “The importance of ships and spare parts in LCAs of offshore wind power,” </t>
    </r>
    <r>
      <rPr>
        <i/>
        <sz val="11"/>
        <color theme="1"/>
        <rFont val="Calibri"/>
        <family val="2"/>
        <scheme val="minor"/>
      </rPr>
      <t>Environ Sci Technol</t>
    </r>
    <r>
      <rPr>
        <sz val="11"/>
        <color theme="1"/>
        <rFont val="Calibri"/>
        <family val="2"/>
        <scheme val="minor"/>
      </rPr>
      <t>, vol. 47, no. 6, pp. 2948–2956, Mar. 2013, doi: 10.1021/ES304509R.</t>
    </r>
  </si>
  <si>
    <t>[35]</t>
  </si>
  <si>
    <t>European Chemical Transport Association, “Guidelines for Measuring and Managing CO 2 Emission from Freight Transport Operations,” 2011, Accessed: Jan. 31, 2024. [Online]. Available: https://www.ecta.com/wp-content/uploads/2021/03/ECTA-CEFIC-GUIDELINE-FOR-MEASURING-AND-MANAGING-CO2-ISSUE-1.pdf</t>
  </si>
  <si>
    <t>[36]</t>
  </si>
  <si>
    <t>Ofgem, “Network Innovation Competition H100 Fife,” 2020, Accessed: Jan. 31, 2024. [Online]. Available: https://www.ofgem.gov.uk/sites/default/files/docs/2020/11/nic_2020_h100_fife_final_submission_20.10.20_-_redacted_ofgem_publication_applied.pdf</t>
  </si>
  <si>
    <t>[37]</t>
  </si>
  <si>
    <t>H-Tec Systems, “H-TEC SYSTEMS PEM Electrolyzer ME450”, Accessed: Jan. 31, 2024. [Online]. Available: https://www.h-tec.com/fileadmin/user_upload/produkte/produktseiten/ME450-1400/spec-sheet/H-TEC-Datenblatt-ME450-EN-23-08.pdf</t>
  </si>
  <si>
    <t>[38]</t>
  </si>
  <si>
    <t>Beatrice Offshore Wind Farm, “Home | beatricewind.” Accessed: Aug. 10, 2022. [Online]. Available: https://www.beatricewind.com/</t>
  </si>
  <si>
    <t>[39]</t>
  </si>
  <si>
    <t>Danish Energy Agency, “COST AND PERFORMANCE DATA FOR OFFSHORE HYDROGEN PRODUCTION REPORT,” 2022, Accessed: Jan. 31, 2024. [Online]. Available: https://ens.dk/sites/ens.dk/files/Energioer/cost_performance_data_offshore_hydrogen_production.pdf</t>
  </si>
  <si>
    <t>[40]</t>
  </si>
  <si>
    <t>Engineering Tool Box, “ASME/ANSI B36.10/19 - Carbon, Alloy and Stainless Steel Pipes - Dimensions - Metric Units.” Accessed: Jan. 31, 2024. [Online]. Available: https://www.engineeringtoolbox.com/asme-steel-pipes-sizes-d_42.html</t>
  </si>
  <si>
    <t>[41]</t>
  </si>
  <si>
    <t>ORE Catapult, “SETTING A BENCHMARK FOR DECARBONISING O&amp;M VESSELS OF OFFSHORE WIND FARMS,” 2021.</t>
  </si>
  <si>
    <t>[42]</t>
  </si>
  <si>
    <t>J. C. Koj, A. Schreiber, P. Zapp, and P. Marcuello, “Life Cycle Assessment of improved high pressure alkaline electrolysis,” pp. 0–000, 2015, Accessed: Aug. 25, 2023. [Online]. Available: www.sciencedirect.comwww.elsevier.com/locate/procedia</t>
  </si>
  <si>
    <t>[43]</t>
  </si>
  <si>
    <t>Nel Hydrogen, “Atmospheric Alkaline Electrolyser | Nel Hydrogen.” Accessed: Jan. 31, 2024. [Online]. Available: https://nelhydrogen.com/product/atmospheric-alkaline-electrolyser-a-series/</t>
  </si>
  <si>
    <t>[44]</t>
  </si>
  <si>
    <r>
      <t xml:space="preserve">A. O. Oni, K. Anaya, T. Giwa, G. Di Lullo, and A. Kumar, “Comparative assessment of blue hydrogen from steam methane reforming, autothermal reforming, and natural gas decomposition technologies for natural gas-producing regions,” </t>
    </r>
    <r>
      <rPr>
        <i/>
        <sz val="11"/>
        <color theme="1"/>
        <rFont val="Calibri"/>
        <family val="2"/>
        <scheme val="minor"/>
      </rPr>
      <t>Energy Convers Manag</t>
    </r>
    <r>
      <rPr>
        <sz val="11"/>
        <color theme="1"/>
        <rFont val="Calibri"/>
        <family val="2"/>
        <scheme val="minor"/>
      </rPr>
      <t>, vol. 254, p. 115245, Feb. 2022, doi: 10.1016/J.ENCONMAN.2022.115245.</t>
    </r>
  </si>
  <si>
    <t>[45]</t>
  </si>
  <si>
    <t>P. L. Spath and M. K. Mann, “Life Cycle Assessment of Hydrogen Production via Natural Gas Steam Reforming”, Accessed: Oct. 31, 2022. [Online]. Available: http://www.doe.gov/bridge</t>
  </si>
  <si>
    <t>[46]</t>
  </si>
  <si>
    <r>
      <t xml:space="preserve">T. Terlouw, K. Treyer, C. Bauer, and M. Mazzotti, “Life Cycle Assessment of Direct Air Carbon Capture and Storage with Low-Carbon Energy Sources,” </t>
    </r>
    <r>
      <rPr>
        <i/>
        <sz val="11"/>
        <color theme="1"/>
        <rFont val="Calibri"/>
        <family val="2"/>
        <scheme val="minor"/>
      </rPr>
      <t>Environ Sci Technol</t>
    </r>
    <r>
      <rPr>
        <sz val="11"/>
        <color theme="1"/>
        <rFont val="Calibri"/>
        <family val="2"/>
        <scheme val="minor"/>
      </rPr>
      <t>, vol. 55, no. 16, pp. 11397–11411, Aug. 2021, doi: 10.1021/ACS.EST.1C03263/SUPPL_FILE/ES1C03263_SI_002.ZIP.</t>
    </r>
  </si>
  <si>
    <t>[47]</t>
  </si>
  <si>
    <r>
      <t xml:space="preserve">G. Collodi, G. Azzaro, N. Ferrari, and S. Santos, “Techno-economic Evaluation of Deploying CCS in SMR Based Merchant H2 Production with NG as Feedstock and Fuel,” </t>
    </r>
    <r>
      <rPr>
        <i/>
        <sz val="11"/>
        <color theme="1"/>
        <rFont val="Calibri"/>
        <family val="2"/>
        <scheme val="minor"/>
      </rPr>
      <t>Energy Procedia</t>
    </r>
    <r>
      <rPr>
        <sz val="11"/>
        <color theme="1"/>
        <rFont val="Calibri"/>
        <family val="2"/>
        <scheme val="minor"/>
      </rPr>
      <t>, vol. 114, pp. 2690–2712, Jul. 2017, doi: 10.1016/J.EGYPRO.2017.03.1533.</t>
    </r>
  </si>
  <si>
    <t>[48]</t>
  </si>
  <si>
    <t>BP, “Miller Decommissioning Programme,” 2011, Accessed: Jan. 31, 2024. [Online]. Available: https://assets.publishing.service.gov.uk/media/5a7c3c7aed915d7d70d1d7e6/Miller_Decomm_Programme.pdf</t>
  </si>
  <si>
    <t>[49]</t>
  </si>
  <si>
    <t>National Grid, “White Rose: Offshore Infrastructure and Design Confirming the Engineering Design Rationale.” Accessed: Jan. 31, 2024. [Online]. Available: https://assets.publishing.service.gov.uk/media/5a7f193de5274a2e87db3c8b/K37_Offshore_infrastructure_and_design_confirming_the_engineering_design_rationale.pdf</t>
  </si>
  <si>
    <t>[50]</t>
  </si>
  <si>
    <t>Arup, “Decommissioning in the North Sea.” Accessed: Jan. 31, 2024. [Online]. Available: https://www.arup.com/perspectives/publications/research/section/decommissioning-in-the-north-sea</t>
  </si>
  <si>
    <t>[51]</t>
  </si>
  <si>
    <t>TAQA, “CORMORANT ALPHA TOPSIDE Decommissioning Programme-Consultation Draft,” 2021, Accessed: Jan. 31, 2024. [Online]. Available: https://assets.publishing.service.gov.uk/media/6214ea4bd3bf7f4f01909348/Cormorant_Alpha_Topsides_EA.pdf</t>
  </si>
  <si>
    <t>[52]</t>
  </si>
  <si>
    <t>Beatrice Offshore Wind Farm, “Offshore.” Accessed: Jan. 31, 2024. [Online]. Available: https://www.beatricewind.com/offshore</t>
  </si>
  <si>
    <t>[53]</t>
  </si>
  <si>
    <t>Beatrice Offshore Wind Farm, “Consent Plan Construction Method Statement,” 2016, Accessed: Jan. 31, 2024. [Online]. Available: https://marine.gov.scot/sites/default/files/00516306.pdf</t>
  </si>
  <si>
    <t>[54]</t>
  </si>
  <si>
    <t>N. R. C. (US) C. S. Roundtable, “Needs and New Directions in Computing for the Chemical Process Industries,” 1999, Accessed: Jan. 31, 2024. [Online]. Available: https://www.ncbi.nlm.nih.gov/books/NBK44989/</t>
  </si>
  <si>
    <t>[55]</t>
  </si>
  <si>
    <t>IEA, “Aligning investment and innovation in heavy industries to accelerate the transition to net-zero emissions.” Accessed: Feb. 02, 2024. [Online]. Available: https://www.iea.org/commentaries/aligning-investment-and-innovation-in-heavy-industries-to-accelerate-the-transition-to-net-zero-emissions</t>
  </si>
  <si>
    <t>[56]</t>
  </si>
  <si>
    <t>[57]</t>
  </si>
  <si>
    <t>EcoInvent v3.9.1, “market for building, hall, steel construction - GLO - building, hall, steel construction.” Accessed: Feb. 02, 2024. [Online]. Available: https://ecoquery.ecoinvent.org/3.9/cutoff/dataset/723/documentation</t>
  </si>
  <si>
    <t>[58]</t>
  </si>
  <si>
    <t>[59]</t>
  </si>
  <si>
    <t>IStructE, “Carbon footprint benchmarking data for buildings,” 2020, Accessed: Feb. 02, 2024. [Online]. Available: https://www.istructe.org/IStructE/media/Public/TSE-Archive/2020/Carbon-footprint-benchmarking-data-for-buildings.pdf</t>
  </si>
  <si>
    <t>[60]</t>
  </si>
  <si>
    <t>Engine Technology Forum, “Construction.” Accessed: Feb. 02, 2024. [Online]. Available: https://enginetechforum.org/construction</t>
  </si>
  <si>
    <t>[61]</t>
  </si>
  <si>
    <t>Progressive Energy, “Blue Hydrogen Production Technology Review Report on behalf of the Bacton Energy Hub Hydrogen Supply Special Interest Group,” 2022, Accessed: Feb. 02, 2024. [Online]. Available: https://www.nstauthority.co.uk/media/8605/blue-hydrogen-technology-review.pdf</t>
  </si>
  <si>
    <t>[62]</t>
  </si>
  <si>
    <r>
      <t xml:space="preserve">C. Tsiklios, M. Hermesmann, and T. E. Müller, “Hydrogen transport in large-scale transmission pipeline networks: Thermodynamic and environmental assessment of repurposed and new pipeline configurations,” </t>
    </r>
    <r>
      <rPr>
        <i/>
        <sz val="11"/>
        <color theme="1"/>
        <rFont val="Calibri"/>
        <family val="2"/>
        <scheme val="minor"/>
      </rPr>
      <t>Appl Energy</t>
    </r>
    <r>
      <rPr>
        <sz val="11"/>
        <color theme="1"/>
        <rFont val="Calibri"/>
        <family val="2"/>
        <scheme val="minor"/>
      </rPr>
      <t>, vol. 327, p. 120097, Dec. 2022, doi: 10.1016/J.APENERGY.2022.120097.</t>
    </r>
  </si>
  <si>
    <t>[63]</t>
  </si>
  <si>
    <t>Aggreko, “Clean, efficient, offshore power for oil platform.” Accessed: Feb. 05, 2024. [Online]. Available: https://www.aggreko.com/en-asia/case-studies/oil-and-gas/clean-efficient-offshore-power-for-oil-platform</t>
  </si>
  <si>
    <t>[64]</t>
  </si>
  <si>
    <r>
      <t xml:space="preserve">S. Kaiser, F. Siems, C. Mostert, and S. Bringezu, “Environmental and Economic Performance of CO2-Based Methanol Production Using Long-Distance Transport for H2 in Combination with CO2 Point Sources: A Case Study for Germany,” </t>
    </r>
    <r>
      <rPr>
        <i/>
        <sz val="11"/>
        <color theme="1"/>
        <rFont val="Calibri"/>
        <family val="2"/>
        <scheme val="minor"/>
      </rPr>
      <t>Energies (Basel)</t>
    </r>
    <r>
      <rPr>
        <sz val="11"/>
        <color theme="1"/>
        <rFont val="Calibri"/>
        <family val="2"/>
        <scheme val="minor"/>
      </rPr>
      <t>, vol. 15, no. 7, p. 2507, Apr. 2022, doi: 10.3390/EN15072507/S1.</t>
    </r>
  </si>
  <si>
    <t>[65]</t>
  </si>
  <si>
    <t>EcoInvent v3.9.1, “pipeline construction, natural gas, long distance, high capacity, offshore - GLO - pipeline, natural gas, long distance, high capacity, offshore.” Accessed: Feb. 05, 2024. [Online]. Available: https://ecoquery.ecoinvent.org/3.9.1/cutoff/dataset/1335/impact_assessment</t>
  </si>
  <si>
    <t>[66]</t>
  </si>
  <si>
    <t>National Grid, “High Voltage Direct Current Electricity – technical information.” Accessed: Feb. 05, 2024. [Online]. Available: https://www.nationalgrid.com/sites/default/files/documents/13784-High%20Voltage%20Direct%20Current%20Electricity%20%E2%80%93%20technical%20information.pdf</t>
  </si>
  <si>
    <t>[67]</t>
  </si>
  <si>
    <r>
      <t xml:space="preserve">A. N. Alkhaledi, S. Sampath, and P. Pilidis, “Propulsion of a hydrogen-fuelled LH2 tanker ship,” </t>
    </r>
    <r>
      <rPr>
        <i/>
        <sz val="11"/>
        <color theme="1"/>
        <rFont val="Calibri"/>
        <family val="2"/>
        <scheme val="minor"/>
      </rPr>
      <t>Int J Hydrogen Energy</t>
    </r>
    <r>
      <rPr>
        <sz val="11"/>
        <color theme="1"/>
        <rFont val="Calibri"/>
        <family val="2"/>
        <scheme val="minor"/>
      </rPr>
      <t>, vol. 47, no. 39, pp. 17407–17422, May 2022, doi: 10.1016/J.IJHYDENE.2022.03.224.</t>
    </r>
  </si>
  <si>
    <t>[68]</t>
  </si>
  <si>
    <t>EcoInvent v3.9.1, “tanker production, for liquefied natural gas - GLO - tanker, for liquefied natural gas.” Accessed: Feb. 05, 2024. [Online]. Available: https://ecoquery.ecoinvent.org/3.9.1/cutoff/dataset/21885/documentation</t>
  </si>
  <si>
    <t>[69]</t>
  </si>
  <si>
    <t>EcoInvent v3.9.1, “tanker production, for petroleum - GLO - tanker, for petroleum.” Accessed: Feb. 05, 2024. [Online]. Available: https://ecoquery.ecoinvent.org/3.9.1/cutoff/dataset/20996/documentation</t>
  </si>
  <si>
    <t>[70]</t>
  </si>
  <si>
    <r>
      <t xml:space="preserve">M. Al-Breiki and Y. Bicer, “Technical assessment of liquefied natural gas, ammonia and methanol for overseas energy transport based on energy and exergy analyses,” </t>
    </r>
    <r>
      <rPr>
        <i/>
        <sz val="11"/>
        <color theme="1"/>
        <rFont val="Calibri"/>
        <family val="2"/>
        <scheme val="minor"/>
      </rPr>
      <t>Int J Hydrogen Energy</t>
    </r>
    <r>
      <rPr>
        <sz val="11"/>
        <color theme="1"/>
        <rFont val="Calibri"/>
        <family val="2"/>
        <scheme val="minor"/>
      </rPr>
      <t>, vol. 45, no. 60, pp. 34927–34937, Dec. 2020, doi: 10.1016/J.IJHYDENE.2020.04.181.</t>
    </r>
  </si>
  <si>
    <t>[71]</t>
  </si>
  <si>
    <t>EcoInvent v3.9.1, “transport, freight, sea, tanker for petroleum - GLO - transport, freight, sea, tanker for petroleum.” Accessed: Feb. 05, 2024. [Online]. Available: https://ecoquery.ecoinvent.org/3.9.1/cutoff/dataset/21623/documentation</t>
  </si>
  <si>
    <t>[72]</t>
  </si>
  <si>
    <r>
      <t xml:space="preserve">D. Shindell </t>
    </r>
    <r>
      <rPr>
        <i/>
        <sz val="11"/>
        <color theme="1"/>
        <rFont val="Calibri"/>
        <family val="2"/>
        <scheme val="minor"/>
      </rPr>
      <t>et al.</t>
    </r>
    <r>
      <rPr>
        <sz val="11"/>
        <color theme="1"/>
        <rFont val="Calibri"/>
        <family val="2"/>
        <scheme val="minor"/>
      </rPr>
      <t>, “Anthropogenic and Natural Radiative Forc-ing. In: Climate Change 2013: The Physical Science Basis. Contribution of Working Group I,” 2013.</t>
    </r>
  </si>
  <si>
    <t>[73]</t>
  </si>
  <si>
    <t>Mærsk Mc-Kinney Møller Center for Zero Carbon Shipping, “Managing Emissions from Ammonia-Fueled Vessels,” 2023, Accessed: Feb. 05, 2024. [Online]. Available: https://cms.zerocarbonshipping.com/media/uploads/documents/Ammonia-emissions-reduction-position-paper_v4.pdf</t>
  </si>
  <si>
    <t>[74]</t>
  </si>
  <si>
    <t>F. Schreiner and M. Riemer, “Conversion of LNG Terminals for Liquid Hydrogen or Ammonia Analysis of Technical Feasibility under Economic Considerations Conversion of LNG Terminals for Liquid Hydrogen or Ammonia Project coordination Responsible for content,” 2022.</t>
  </si>
  <si>
    <t>[75]</t>
  </si>
  <si>
    <t>Offshore Energy, “Exmar’s LPG carrier brings 1st full cargo of blue ammonia to Europe - Offshore Energy.” Accessed: Feb. 05, 2024. [Online]. Available: https://www.offshore-energy.biz/exmars-lpg-carrier-brings-1st-full-cargo-of-blue-ammonia-to-europe/</t>
  </si>
  <si>
    <t>[76]</t>
  </si>
  <si>
    <t>B. U. Melcher, M. George, and Paetz, “LIQUID ORGANIC HYDROGEN CARRIERS-A TECHNOLOGY TO OVERCOME COMMON RISKS OF HYDROGEN STORAGE”.</t>
  </si>
  <si>
    <t>[77]</t>
  </si>
  <si>
    <t>Hamworthy Pumps, “Three FWPP units for FLNG conversion,” 2020, Accessed: Feb. 05, 2024. [Online]. Available: https://www.hamworthy-pumps.com/business-</t>
  </si>
  <si>
    <t>[78]</t>
  </si>
  <si>
    <r>
      <t xml:space="preserve">S. Z. Al Ghafri </t>
    </r>
    <r>
      <rPr>
        <i/>
        <sz val="11"/>
        <color theme="1"/>
        <rFont val="Calibri"/>
        <family val="2"/>
        <scheme val="minor"/>
      </rPr>
      <t>et al.</t>
    </r>
    <r>
      <rPr>
        <sz val="11"/>
        <color theme="1"/>
        <rFont val="Calibri"/>
        <family val="2"/>
        <scheme val="minor"/>
      </rPr>
      <t xml:space="preserve">, “Hydrogen liquefaction: a review of the fundamental physics, engineering practice and future opportunities,” </t>
    </r>
    <r>
      <rPr>
        <i/>
        <sz val="11"/>
        <color theme="1"/>
        <rFont val="Calibri"/>
        <family val="2"/>
        <scheme val="minor"/>
      </rPr>
      <t>Energy Environ Sci</t>
    </r>
    <r>
      <rPr>
        <sz val="11"/>
        <color theme="1"/>
        <rFont val="Calibri"/>
        <family val="2"/>
        <scheme val="minor"/>
      </rPr>
      <t>, vol. 15, no. 7, pp. 2690–2731, Jul. 2022, doi: 10.1039/D2EE00099G.</t>
    </r>
  </si>
  <si>
    <t>[79]</t>
  </si>
  <si>
    <t>AIS Marine Traffic, “Vessel Characteristics: Ship GIMI (LNG Tanker) Registered in Marshall Is.” Accessed: Feb. 05, 2024. [Online]. Available: https://www.marinetraffic.com/en/ais/details/ships/shipid:713402/mmsi:538004196/imo:7382732/vessel:GIMI</t>
  </si>
  <si>
    <t>[80]</t>
  </si>
  <si>
    <t>Golar LNG, “Innovation.” Accessed: Feb. 05, 2024. [Online]. Available: https://www.golarlng.com/about-us/innovation.aspx</t>
  </si>
  <si>
    <t>[81]</t>
  </si>
  <si>
    <t>[82]</t>
  </si>
  <si>
    <t>[83]</t>
  </si>
  <si>
    <t>BBC News, “The gas platform that will be the world’s biggest ‘ship.’” Accessed: Feb. 05, 2024. [Online]. Available: https://www.bbc.com/news/science-environment-13709293</t>
  </si>
  <si>
    <t>[84]</t>
  </si>
  <si>
    <t>Department of Energy, “Offshore LNG Technologies &amp; Facilities.” Accessed: Feb. 05, 2024. [Online]. Available: https://www.energy.gov/fecm/articles/offshore-lng-technologies-facilities</t>
  </si>
  <si>
    <t>[85]</t>
  </si>
  <si>
    <r>
      <t xml:space="preserve">S. Ghandehariun and A. Kumar, “Life cycle assessment of wind-based hydrogen production in Western Canada,” </t>
    </r>
    <r>
      <rPr>
        <i/>
        <sz val="11"/>
        <color theme="1"/>
        <rFont val="Calibri"/>
        <family val="2"/>
        <scheme val="minor"/>
      </rPr>
      <t>Int J Hydrogen Energy</t>
    </r>
    <r>
      <rPr>
        <sz val="11"/>
        <color theme="1"/>
        <rFont val="Calibri"/>
        <family val="2"/>
        <scheme val="minor"/>
      </rPr>
      <t>, vol. 41, no. 22, pp. 9696–9704, Jun. 2016, doi: 10.1016/J.IJHYDENE.2016.04.077.</t>
    </r>
  </si>
  <si>
    <t>[86]</t>
  </si>
  <si>
    <t>Europa, “Development of innovative hydrogen compressor technology for small scale decentralized applications for hydrogen refuelling or storage.” Accessed: Feb. 06, 2024. [Online]. Available: https://cordis.europa.eu/programme/id/H2020_FCH-01-8-2016</t>
  </si>
  <si>
    <t>[87]</t>
  </si>
  <si>
    <t>HYSTOC, “WP8 Business Development and sustainability – Concept Studies, Economic Analysis, Life Cycle Assessment. D8.6 Final feasibility study,” 2021. Accessed: Feb. 06, 2024. [Online]. Available: https://ec.europa.eu/research/participants/documents/downloadPublic?documentIds=080166e5db72ecaa&amp;appId=PPGMS</t>
  </si>
  <si>
    <t>[88]</t>
  </si>
  <si>
    <t>EcoInvent v3.9.1, “ammonia production, steam reforming, liquid - RER w/o RU - ammonia, anhydrous, liquid.” Accessed: Feb. 06, 2024. [Online]. Available: https://ecoquery.ecoinvent.org/3.9.1/cutoff/dataset/23374/exchanges</t>
  </si>
  <si>
    <t>[89]</t>
  </si>
  <si>
    <t>EcoInvent v3.9.1, “hydrogen production, steam reforming - RER - hydrogen, gaseous | ecoQuery.” Accessed: Feb. 06, 2024. [Online]. Available: https://ecoquery.ecoinvent.org/3.9.1/cutoff/dataset/25362/exchanges</t>
  </si>
  <si>
    <t>[90]</t>
  </si>
  <si>
    <t>The European Maritime Spatial Planning Platform, “Cables and Pipelines.” Accessed: Feb. 16, 2024. [Online]. Available: https://maritime-spatial-planning.ec.europa.eu/sector-information/cables-and-pipelines</t>
  </si>
  <si>
    <t>[91]</t>
  </si>
  <si>
    <r>
      <t xml:space="preserve">M. A. Budiyanto, G. L. Putra, A. Riadi, Gunawan, A. M. Febri, and G. Theotokatos, “Techno-economic analysis of natural gas distribution using a small-scale liquefied natural gas carrier,” </t>
    </r>
    <r>
      <rPr>
        <i/>
        <sz val="11"/>
        <color theme="1"/>
        <rFont val="Calibri"/>
        <family val="2"/>
        <scheme val="minor"/>
      </rPr>
      <t>Scientific Reports 2023 13:1</t>
    </r>
    <r>
      <rPr>
        <sz val="11"/>
        <color theme="1"/>
        <rFont val="Calibri"/>
        <family val="2"/>
        <scheme val="minor"/>
      </rPr>
      <t>, vol. 13, no. 1, pp. 1–17, Dec. 2023, doi: 10.1038/s41598-023-50155-8.</t>
    </r>
  </si>
  <si>
    <t>[92]</t>
  </si>
  <si>
    <r>
      <t xml:space="preserve">S. N. Riddick and D. L. Mauzerall, “Likely substantial underestimation of reported methane emissions from United Kingdom upstream oil and gas activities,” </t>
    </r>
    <r>
      <rPr>
        <i/>
        <sz val="11"/>
        <color theme="1"/>
        <rFont val="Calibri"/>
        <family val="2"/>
        <scheme val="minor"/>
      </rPr>
      <t>Energy Environ Sci</t>
    </r>
    <r>
      <rPr>
        <sz val="11"/>
        <color theme="1"/>
        <rFont val="Calibri"/>
        <family val="2"/>
        <scheme val="minor"/>
      </rPr>
      <t>, vol. 16, no. 1, pp. 295–304, Jan. 2023, doi: 10.1039/D2EE03072A.</t>
    </r>
  </si>
  <si>
    <t>[93]</t>
  </si>
  <si>
    <t>A. Patonia and R. Poudineh, “Cost-competitive green hydrogen: how to lower the cost of electrolysers?,” 2022. Accessed: Feb. 19, 2024. [Online]. Available: https://www.oxfordenergy.org/wpcms/wp-content/uploads/2022/01/Cost-competitive-green-hydrogen-how-to-lower-the-cost-of-electrolysers-EL47.pdf</t>
  </si>
  <si>
    <t>[94]</t>
  </si>
  <si>
    <t>IEA, “Comparison of the emissions intensity of different hydrogen production routes.” Accessed: Feb. 19, 2024. [Online]. Available: https://www.iea.org/data-and-statistics/charts/comparison-of-the-emissions-intensity-of-different-hydrogen-production-routes-2021</t>
  </si>
  <si>
    <t>[95]</t>
  </si>
  <si>
    <t>Potsdam Institute for Climate Research, “Price of Hydrogen: CAPEX Data.” Accessed: Aug. 01, 2023. [Online]. Available: https://h2.pik-potsdam.de/H2Dash/#section-visualisations</t>
  </si>
  <si>
    <t>[96]</t>
  </si>
  <si>
    <t>ICR Group, “The maintenance of offshore assets in 2023 and beyond - Mastering the cost/sustainability balance | Integrity through ingenuity.” Accessed: Feb. 19, 2024. [Online]. Available: https://www.icr-world.com/the-maintenance-of-offshore-assets-in-2023-and-beyond-mastering-the-cost-sustainability-balance/</t>
  </si>
  <si>
    <t>[97]</t>
  </si>
  <si>
    <r>
      <t xml:space="preserve">T. Adedipe and M. Shafiee, “An economic assessment framework for decommissioning of offshore wind farms using a cost breakdown structure,” </t>
    </r>
    <r>
      <rPr>
        <i/>
        <sz val="11"/>
        <color theme="1"/>
        <rFont val="Calibri"/>
        <family val="2"/>
        <scheme val="minor"/>
      </rPr>
      <t>International Journal of Life Cycle Assessment</t>
    </r>
    <r>
      <rPr>
        <sz val="11"/>
        <color theme="1"/>
        <rFont val="Calibri"/>
        <family val="2"/>
        <scheme val="minor"/>
      </rPr>
      <t>, vol. 26, no. 2, pp. 344–370, Feb. 2021, doi: 10.1007/S11367-020-01793-X/FIGURES/17.</t>
    </r>
  </si>
  <si>
    <t>[98]</t>
  </si>
  <si>
    <t>R. Hillebrand and Manager Remote I/O Systems, “Life Cycle Management and Service,” 2007, Accessed: Feb. 19, 2024. [Online]. Available: https://files.pepperl-fuchs.com/webcat/navi/productInfo/doct/doct1867.pdf?v=09-FEB-23#:~:text=The%20chemical%2C%20petrochemical%2C%20and%20pharmaceutical,during%20the%20plant%20life%20cycle.</t>
  </si>
  <si>
    <t>[99]</t>
  </si>
  <si>
    <t>Climate Change Committee, “The Sixth Carbon Budget Electricity Generation,” 2020, Accessed: Feb. 16, 2024. [Online]. Available: www.theccc.org.uk</t>
  </si>
  <si>
    <t>National Grid Electricity System Operator Limited, “Future Energy Scenarios,” 2023, Accessed: Feb. 16, 2024. [Online]. Available: www.nationalgrideso.com/future-energy/future-energy-scenarios</t>
  </si>
  <si>
    <t>[1]</t>
  </si>
  <si>
    <t>Climate Change Committee, “The Sixth Carbon Budget Electricity generation,” 2020, Accessed: Jan. 30, 2024. [Online]. Available: www.theccc.org.uk</t>
  </si>
  <si>
    <t>EcoInvent v3.9.1, “building construction, multi-storey - RER - building, multi-storey | ecoQuery.” Accessed: Feb. 02, 2024. [Online]. Available: https://ecoquery.ecoinvent.org/3.9/cutoff/dataset/5486/documentation</t>
  </si>
  <si>
    <t>EcoInvent v3.10.1, “chemical factory construction, organics - RER - chemical factory, organics.” Accessed: Feb. 02, 2024. [Online]. Available: https://ecoquery.ecoinvent.org/3.10/cutoff/dataset/8400/documentation</t>
  </si>
  <si>
    <t>vesseltracker.com, “Gimi - Other Ship, IMO 7382732, MMSI 538004196, Callsign V7VR7, Flag Marshall Islands” Accessed: Feb. 05, 2024. [Online]. Available: https://www.vesseltracker.com/en/Ships/Gimi-7382732.html</t>
  </si>
  <si>
    <t xml:space="preserve">Num. </t>
  </si>
  <si>
    <t>31,34</t>
  </si>
  <si>
    <t>31, 35</t>
  </si>
  <si>
    <t>27, 28</t>
  </si>
  <si>
    <t>29,30</t>
  </si>
  <si>
    <t>31, 32</t>
  </si>
  <si>
    <t>31, 34</t>
  </si>
  <si>
    <t>31, 41</t>
  </si>
  <si>
    <t>29, 31</t>
  </si>
  <si>
    <t>29, 30</t>
  </si>
  <si>
    <t>27,28</t>
  </si>
  <si>
    <t>31,41</t>
  </si>
  <si>
    <t>27, 82</t>
  </si>
  <si>
    <t>Reference: 44</t>
  </si>
  <si>
    <t>All taken from 44</t>
  </si>
  <si>
    <t>Not included in modelling in addition to emissions intensity of UKCS</t>
  </si>
  <si>
    <t xml:space="preserve">The emissions and energy use for construction and decommissioning is estimated based on the Decommissioning Programme of Miller Platform (ref 48), which is publically available online. This component has not been linked ot the distance offshore, though distance will be a factor, as the data is not available to split the energy use and emissions into transport and static components. Multiple options were available, so we have taken the central case as the 'base' option, with the other scenarios providing evidence for the lower and upper bounds for the monte carlo analysis which will be discussed seperately. It is assumed that construction emissions are equal to decommissioning emissions as the process is reversed. The pipelines are not considered as they are considered seperately in the transmission vector stage. </t>
  </si>
  <si>
    <t>24, 40</t>
  </si>
  <si>
    <t>24, 52</t>
  </si>
  <si>
    <t>ref 53, 34, 31</t>
  </si>
  <si>
    <t>Floor area needed, excluded seperation distances (100kNm3/hr capacity) (61)</t>
  </si>
  <si>
    <t>55, 56</t>
  </si>
  <si>
    <t>Istructe (tCO2e/m2) (59)</t>
  </si>
  <si>
    <t>Ecoinvent (57)</t>
  </si>
  <si>
    <t>57,58,59</t>
  </si>
  <si>
    <t>63, 4</t>
  </si>
  <si>
    <t>Based on Container Ship Production, ecoinvent, CMl 4.8 and CED, include only welding energy and electricity useas materials already been accounted for based on ref (67), assume scales linearly by the mass of the ship</t>
  </si>
  <si>
    <t>ref 69</t>
  </si>
  <si>
    <t>72, 73</t>
  </si>
  <si>
    <t>74, 75</t>
  </si>
  <si>
    <t>79, 80</t>
  </si>
  <si>
    <t>68, 69</t>
  </si>
  <si>
    <t>30, 29</t>
  </si>
  <si>
    <t>no reference found for the GHG emissions or energy intensity, so not included</t>
  </si>
  <si>
    <t>based on bounds of energy required</t>
  </si>
  <si>
    <t>NA, hydrogen used so no direct emissions</t>
  </si>
  <si>
    <t>NA, energy input from hydrogen so impacts yield</t>
  </si>
  <si>
    <t>Confidence</t>
  </si>
  <si>
    <t>High, from specification of production process so use small range (+-20%)</t>
  </si>
  <si>
    <t>Medium, likely only to be economic to use with high capacity, and is assumed in the paper that the results would scale approximately linearly to bigger or smaller production rates, use small range (-20% from baseline, +20% not possible)</t>
  </si>
  <si>
    <t>Based on reference</t>
  </si>
  <si>
    <t>Medium, pathway is not included in the reference used for other pathways, but baseline based on reference. Assume best case is no losses, so 100% yield, worst case the baseline losses are doubled</t>
  </si>
  <si>
    <t>High, from specification of process so use small range (+-20%)</t>
  </si>
  <si>
    <t>Low confidence, no references found to support estimates of range so use +-50%</t>
  </si>
  <si>
    <t>Medium, relates to confidence in process energy</t>
  </si>
  <si>
    <t>Low confidence, minimal evidence of maintenance emissions and supporting data +-50%</t>
  </si>
  <si>
    <t>range from reference, adjusted by generous assumption of 45% efficiency from conversion of deisel to electricity</t>
  </si>
  <si>
    <t xml:space="preserve">Medium, amount of compression required dependent on distance and other factors that are not modelled. Low bound therefore no compression, high double original assumption. </t>
  </si>
  <si>
    <t xml:space="preserve">Medium, no hydrogen emissions according to reference used for other stages (20) so 0 as lower bound. For an upper bound assume it could be similar to methane leakage rates. </t>
  </si>
  <si>
    <t>High, based on reference</t>
  </si>
  <si>
    <t>Low confidence, minimal evidence of embodied emissions and supporting data +-50%</t>
  </si>
  <si>
    <t>Medium, upper and lower bounds from reference suggest +- 50% may be suitable</t>
  </si>
  <si>
    <t>Medium, no reference but based on range of emissions intensities and electrolysis +-20% seems suitable</t>
  </si>
  <si>
    <t>min = ref 1, expect to operate for at least 10 yrs, high = 50 yrs</t>
  </si>
  <si>
    <t>Medium, no reference for upper bound</t>
  </si>
  <si>
    <t>Assume base assumption is average lifetime, average age of existing assets as a lower bound for the lifetime, and upper bound same distance from average</t>
  </si>
  <si>
    <t>based on reference, high assumes repowering of turbine</t>
  </si>
  <si>
    <t>Based on range of UKCS emission intensity, scaled from Natural Gas (UKCS)</t>
  </si>
  <si>
    <t>Low confidence, no references</t>
  </si>
  <si>
    <t>Medium, Based on reference but lower bound unlikely to be economic</t>
  </si>
  <si>
    <t>Monte Carlo and Sobol Bounds</t>
  </si>
  <si>
    <t xml:space="preserve">This workbook is part of the supplementary materials for the paper titled "A Systematic Comparison of the Energy and Emissions Intensity of Hydrogen Production Pathways in the United Kingdom". This includes all the data inputs to the model, in the format required. The inputs to each of the stages are summarised in the sheets linked to in the contents, with the detail linked to seperately within these sheets.  </t>
  </si>
  <si>
    <t>Link</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</si>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</sst>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0"/>
    <numFmt numFmtId="167" formatCode="0.0%"/>
    <numFmt numFmtId="168" formatCode="0.000%"/>
    <numFmt numFmtId="169" formatCode="0.000000"/>
  </numFmts>
  <fonts count="3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732"/>
      <name val="Calibri"/>
      <family val="2"/>
      <scheme val="minor"/>
    </font>
    <font>
      <sz val="11"/>
      <name val="Calibri"/>
      <family val="2"/>
      <scheme val="minor"/>
    </font>
    <font>
      <b/>
      <sz val="11"/>
      <name val="Calibri"/>
      <family val="2"/>
      <scheme val="minor"/>
    </font>
    <font>
      <sz val="11"/>
      <color theme="1"/>
      <name val="Calibri"/>
      <family val="2"/>
    </font>
    <font>
      <sz val="11"/>
      <name val="Calibri"/>
      <family val="2"/>
    </font>
    <font>
      <sz val="8"/>
      <name val="Calibri"/>
      <family val="2"/>
      <scheme val="minor"/>
    </font>
    <font>
      <sz val="11"/>
      <color theme="1"/>
      <name val="Calibri"/>
      <family val="2"/>
      <scheme val="minor"/>
    </font>
    <font>
      <b/>
      <sz val="11"/>
      <color rgb="FFFF0000"/>
      <name val="Calibri"/>
      <family val="2"/>
      <scheme val="minor"/>
    </font>
    <font>
      <sz val="11"/>
      <color rgb="FF000000"/>
      <name val="Calibri"/>
      <family val="2"/>
      <scheme val="minor"/>
    </font>
    <font>
      <sz val="8.8000000000000007"/>
      <color rgb="FF000000"/>
      <name val="Arial"/>
      <family val="2"/>
    </font>
    <font>
      <b/>
      <sz val="9"/>
      <color indexed="81"/>
      <name val="Tahoma"/>
      <family val="2"/>
    </font>
    <font>
      <sz val="9"/>
      <color indexed="81"/>
      <name val="Tahoma"/>
      <family val="2"/>
    </font>
    <font>
      <sz val="9"/>
      <color rgb="FF222732"/>
      <name val="Arial"/>
      <family val="2"/>
    </font>
    <font>
      <sz val="11"/>
      <color theme="4"/>
      <name val="Calibri"/>
      <family val="2"/>
      <scheme val="minor"/>
    </font>
    <font>
      <b/>
      <sz val="11"/>
      <color theme="4"/>
      <name val="Calibri"/>
      <family val="2"/>
      <scheme val="minor"/>
    </font>
    <font>
      <sz val="8"/>
      <color rgb="FF2E2E2E"/>
      <name val="Georgia"/>
      <family val="1"/>
    </font>
    <font>
      <sz val="10"/>
      <color theme="1"/>
      <name val="Roboto"/>
    </font>
    <font>
      <sz val="11"/>
      <color theme="1"/>
      <name val="Roboto"/>
    </font>
    <font>
      <sz val="11"/>
      <color rgb="FFFF0000"/>
      <name val="Arial"/>
      <family val="2"/>
    </font>
    <font>
      <sz val="11"/>
      <color rgb="FF7030A0"/>
      <name val="Calibri"/>
      <family val="2"/>
      <scheme val="minor"/>
    </font>
    <font>
      <b/>
      <sz val="11"/>
      <name val="Arial"/>
      <family val="2"/>
    </font>
    <font>
      <sz val="10"/>
      <color theme="1"/>
      <name val="Calibri"/>
      <family val="2"/>
      <scheme val="minor"/>
    </font>
    <font>
      <b/>
      <sz val="10"/>
      <color theme="1"/>
      <name val="Calibri"/>
      <family val="2"/>
      <scheme val="minor"/>
    </font>
    <font>
      <sz val="4"/>
      <color theme="1"/>
      <name val="Roboto"/>
    </font>
    <font>
      <sz val="11"/>
      <name val="Arial"/>
      <family val="2"/>
    </font>
    <font>
      <i/>
      <sz val="11"/>
      <name val="Calibri"/>
      <family val="2"/>
      <scheme val="minor"/>
    </font>
    <font>
      <sz val="14"/>
      <color rgb="FF1A202C"/>
      <name val="Segoe UI"/>
      <family val="2"/>
    </font>
    <font>
      <u/>
      <sz val="1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s>
  <fills count="21">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rgb="FFBD92D8"/>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DEBF7"/>
        <bgColor rgb="FF000000"/>
      </patternFill>
    </fill>
    <fill>
      <patternFill patternType="solid">
        <fgColor rgb="FFE2EFDA"/>
        <bgColor rgb="FF000000"/>
      </patternFill>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79998168889431442"/>
        <bgColor theme="4" tint="0.79998168889431442"/>
      </patternFill>
    </fill>
    <fill>
      <patternFill patternType="solid">
        <fgColor rgb="FFF5F5F5"/>
        <bgColor indexed="64"/>
      </patternFill>
    </fill>
    <fill>
      <patternFill patternType="solid">
        <fgColor theme="4" tint="0.79998168889431442"/>
        <bgColor theme="4" tint="0.79998168889431442"/>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398">
    <xf numFmtId="0" fontId="0" fillId="0" borderId="0" xfId="0"/>
    <xf numFmtId="0" fontId="0" fillId="0" borderId="1" xfId="0" applyBorder="1"/>
    <xf numFmtId="0" fontId="3" fillId="0" borderId="1" xfId="1" applyBorder="1"/>
    <xf numFmtId="0" fontId="0" fillId="0" borderId="1" xfId="0" applyBorder="1" applyAlignment="1">
      <alignment wrapText="1"/>
    </xf>
    <xf numFmtId="1" fontId="0" fillId="0" borderId="1" xfId="0" applyNumberFormat="1" applyBorder="1"/>
    <xf numFmtId="165" fontId="0" fillId="0" borderId="1" xfId="0" applyNumberFormat="1" applyBorder="1"/>
    <xf numFmtId="2" fontId="0" fillId="0" borderId="1" xfId="0" applyNumberFormat="1" applyBorder="1"/>
    <xf numFmtId="0" fontId="0" fillId="4" borderId="1" xfId="0" applyFill="1" applyBorder="1" applyAlignment="1">
      <alignment wrapText="1"/>
    </xf>
    <xf numFmtId="0" fontId="0" fillId="0" borderId="0" xfId="0" applyAlignment="1">
      <alignment wrapText="1"/>
    </xf>
    <xf numFmtId="0" fontId="4" fillId="0" borderId="1" xfId="0" applyFont="1" applyBorder="1"/>
    <xf numFmtId="0" fontId="0" fillId="2" borderId="1" xfId="0" applyFill="1" applyBorder="1" applyAlignment="1">
      <alignment wrapText="1"/>
    </xf>
    <xf numFmtId="0" fontId="0" fillId="3" borderId="1" xfId="0" applyFill="1" applyBorder="1" applyAlignment="1">
      <alignment wrapText="1"/>
    </xf>
    <xf numFmtId="0" fontId="2" fillId="0" borderId="1" xfId="0" applyFont="1" applyBorder="1"/>
    <xf numFmtId="0" fontId="0" fillId="7" borderId="1" xfId="0" applyFill="1" applyBorder="1"/>
    <xf numFmtId="2" fontId="0" fillId="7" borderId="1" xfId="0" applyNumberFormat="1" applyFill="1" applyBorder="1"/>
    <xf numFmtId="0" fontId="0" fillId="0" borderId="4" xfId="0" applyBorder="1"/>
    <xf numFmtId="0" fontId="0" fillId="8" borderId="1" xfId="0" applyFill="1" applyBorder="1"/>
    <xf numFmtId="0" fontId="0" fillId="6" borderId="1" xfId="0" applyFill="1" applyBorder="1"/>
    <xf numFmtId="0" fontId="5" fillId="0" borderId="1" xfId="0" applyFont="1" applyBorder="1"/>
    <xf numFmtId="0" fontId="0" fillId="9" borderId="1" xfId="0" applyFill="1" applyBorder="1"/>
    <xf numFmtId="0" fontId="0" fillId="0" borderId="7" xfId="0" applyBorder="1"/>
    <xf numFmtId="0" fontId="2" fillId="0" borderId="0" xfId="0" applyFont="1"/>
    <xf numFmtId="0" fontId="0" fillId="0" borderId="1" xfId="0" applyBorder="1" applyAlignment="1">
      <alignment horizontal="left"/>
    </xf>
    <xf numFmtId="0" fontId="6" fillId="0" borderId="0" xfId="0" applyFont="1"/>
    <xf numFmtId="0" fontId="2" fillId="10" borderId="1" xfId="0" applyFont="1" applyFill="1" applyBorder="1"/>
    <xf numFmtId="0" fontId="2" fillId="10" borderId="4" xfId="0" applyFont="1" applyFill="1" applyBorder="1"/>
    <xf numFmtId="0" fontId="2" fillId="5" borderId="1" xfId="0" applyFont="1" applyFill="1" applyBorder="1"/>
    <xf numFmtId="0" fontId="1" fillId="0" borderId="1" xfId="0" applyFont="1" applyBorder="1"/>
    <xf numFmtId="0" fontId="6" fillId="0" borderId="1" xfId="1" applyFont="1" applyBorder="1"/>
    <xf numFmtId="0" fontId="7" fillId="0" borderId="0" xfId="1" applyFont="1"/>
    <xf numFmtId="0" fontId="0" fillId="0" borderId="8" xfId="0" applyBorder="1"/>
    <xf numFmtId="0" fontId="6" fillId="0" borderId="14" xfId="0" applyFont="1" applyBorder="1"/>
    <xf numFmtId="0" fontId="6" fillId="0" borderId="1" xfId="0" applyFont="1" applyBorder="1"/>
    <xf numFmtId="0" fontId="0" fillId="0" borderId="15" xfId="0" applyBorder="1"/>
    <xf numFmtId="0" fontId="0" fillId="0" borderId="14" xfId="0" applyBorder="1"/>
    <xf numFmtId="0" fontId="6" fillId="0" borderId="8" xfId="0" applyFont="1" applyBorder="1"/>
    <xf numFmtId="0" fontId="2" fillId="7" borderId="1" xfId="0" applyFont="1" applyFill="1" applyBorder="1"/>
    <xf numFmtId="0" fontId="0" fillId="11" borderId="1" xfId="0" applyFill="1" applyBorder="1"/>
    <xf numFmtId="0" fontId="6" fillId="7" borderId="1" xfId="0" applyFont="1" applyFill="1" applyBorder="1"/>
    <xf numFmtId="0" fontId="0" fillId="12" borderId="1" xfId="0" applyFill="1" applyBorder="1"/>
    <xf numFmtId="0" fontId="8" fillId="13" borderId="1" xfId="0" applyFont="1" applyFill="1" applyBorder="1"/>
    <xf numFmtId="0" fontId="8" fillId="14"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0" fillId="11" borderId="1" xfId="0" applyFill="1" applyBorder="1" applyAlignment="1">
      <alignment horizontal="center"/>
    </xf>
    <xf numFmtId="0" fontId="0" fillId="11" borderId="1" xfId="0" applyFill="1" applyBorder="1" applyAlignment="1">
      <alignment horizontal="left"/>
    </xf>
    <xf numFmtId="0" fontId="2" fillId="7" borderId="14" xfId="0" applyFont="1" applyFill="1" applyBorder="1"/>
    <xf numFmtId="0" fontId="2" fillId="7" borderId="15" xfId="0" applyFont="1" applyFill="1" applyBorder="1"/>
    <xf numFmtId="0" fontId="0" fillId="8" borderId="15" xfId="0" applyFill="1" applyBorder="1"/>
    <xf numFmtId="0" fontId="0" fillId="6" borderId="15" xfId="0" applyFill="1" applyBorder="1"/>
    <xf numFmtId="0" fontId="8" fillId="0" borderId="1" xfId="0" applyFont="1" applyBorder="1"/>
    <xf numFmtId="0" fontId="2" fillId="7" borderId="4" xfId="0" applyFont="1" applyFill="1" applyBorder="1"/>
    <xf numFmtId="0" fontId="0" fillId="0" borderId="9" xfId="0" applyBorder="1"/>
    <xf numFmtId="0" fontId="6" fillId="0" borderId="10" xfId="0" applyFont="1" applyBorder="1"/>
    <xf numFmtId="0" fontId="6" fillId="0" borderId="15" xfId="0" applyFont="1" applyBorder="1"/>
    <xf numFmtId="0" fontId="8" fillId="13" borderId="15" xfId="0" applyFont="1" applyFill="1" applyBorder="1"/>
    <xf numFmtId="0" fontId="8" fillId="14" borderId="15" xfId="0" applyFont="1" applyFill="1" applyBorder="1"/>
    <xf numFmtId="0" fontId="8" fillId="0" borderId="15" xfId="0" applyFont="1" applyBorder="1"/>
    <xf numFmtId="0" fontId="8" fillId="0" borderId="9" xfId="0" applyFont="1" applyBorder="1"/>
    <xf numFmtId="0" fontId="9" fillId="0" borderId="10" xfId="0" applyFont="1" applyBorder="1"/>
    <xf numFmtId="0" fontId="2" fillId="0" borderId="1" xfId="0" applyFont="1" applyBorder="1" applyAlignment="1">
      <alignment wrapText="1"/>
    </xf>
    <xf numFmtId="0" fontId="2" fillId="7" borderId="1" xfId="0" applyFont="1" applyFill="1" applyBorder="1" applyAlignment="1">
      <alignment wrapText="1"/>
    </xf>
    <xf numFmtId="0" fontId="6" fillId="0" borderId="1" xfId="1" applyFont="1" applyBorder="1" applyAlignment="1"/>
    <xf numFmtId="0" fontId="3" fillId="0" borderId="0" xfId="1" applyBorder="1"/>
    <xf numFmtId="0" fontId="1" fillId="0" borderId="0" xfId="0" applyFont="1"/>
    <xf numFmtId="0" fontId="1" fillId="0" borderId="0" xfId="0" applyFont="1" applyAlignment="1">
      <alignment wrapText="1"/>
    </xf>
    <xf numFmtId="0" fontId="0" fillId="0" borderId="25" xfId="0" applyBorder="1"/>
    <xf numFmtId="0" fontId="2" fillId="0" borderId="2" xfId="0" applyFont="1" applyBorder="1"/>
    <xf numFmtId="0" fontId="0" fillId="0" borderId="2" xfId="0" applyBorder="1"/>
    <xf numFmtId="0" fontId="2" fillId="0" borderId="4" xfId="0" applyFont="1" applyBorder="1"/>
    <xf numFmtId="0" fontId="0" fillId="0" borderId="1" xfId="0" applyBorder="1" applyAlignment="1">
      <alignment horizontal="center"/>
    </xf>
    <xf numFmtId="0" fontId="3" fillId="0" borderId="0" xfId="1"/>
    <xf numFmtId="0" fontId="7" fillId="0" borderId="1" xfId="1" applyFont="1" applyBorder="1"/>
    <xf numFmtId="0" fontId="0" fillId="0" borderId="26" xfId="0" applyBorder="1"/>
    <xf numFmtId="0" fontId="6" fillId="12" borderId="1" xfId="0" applyFont="1" applyFill="1" applyBorder="1"/>
    <xf numFmtId="0" fontId="6" fillId="0" borderId="1" xfId="1" applyFont="1" applyFill="1" applyBorder="1"/>
    <xf numFmtId="0" fontId="2" fillId="0" borderId="34" xfId="0" applyFont="1" applyBorder="1"/>
    <xf numFmtId="0" fontId="0" fillId="0" borderId="34" xfId="0" applyBorder="1"/>
    <xf numFmtId="0" fontId="6" fillId="0" borderId="2" xfId="1" applyFont="1" applyBorder="1"/>
    <xf numFmtId="0" fontId="6" fillId="0" borderId="2" xfId="0" applyFont="1" applyBorder="1"/>
    <xf numFmtId="0" fontId="0" fillId="0" borderId="6" xfId="0" applyBorder="1"/>
    <xf numFmtId="0" fontId="14" fillId="0" borderId="0" xfId="0" applyFont="1" applyAlignment="1">
      <alignment horizontal="center" vertical="center" wrapText="1"/>
    </xf>
    <xf numFmtId="0" fontId="3" fillId="0" borderId="1" xfId="1" applyFill="1" applyBorder="1"/>
    <xf numFmtId="0" fontId="2" fillId="0" borderId="2" xfId="0" applyFont="1" applyBorder="1" applyAlignment="1">
      <alignment wrapText="1"/>
    </xf>
    <xf numFmtId="0" fontId="0" fillId="7" borderId="1" xfId="0" applyFill="1" applyBorder="1" applyAlignment="1">
      <alignment wrapText="1"/>
    </xf>
    <xf numFmtId="0" fontId="0" fillId="0" borderId="2" xfId="0" applyBorder="1" applyAlignment="1">
      <alignment horizontal="center" wrapText="1"/>
    </xf>
    <xf numFmtId="165" fontId="0" fillId="0" borderId="1" xfId="0" applyNumberFormat="1" applyBorder="1" applyAlignment="1">
      <alignment wrapText="1"/>
    </xf>
    <xf numFmtId="0" fontId="0" fillId="7" borderId="1" xfId="0" applyFill="1" applyBorder="1" applyAlignment="1">
      <alignment horizontal="center" wrapText="1"/>
    </xf>
    <xf numFmtId="165" fontId="0" fillId="7" borderId="1" xfId="0" applyNumberFormat="1" applyFill="1" applyBorder="1" applyAlignment="1">
      <alignment wrapText="1"/>
    </xf>
    <xf numFmtId="0" fontId="0" fillId="0" borderId="0" xfId="0" applyAlignment="1">
      <alignment horizontal="center" wrapText="1"/>
    </xf>
    <xf numFmtId="0" fontId="2" fillId="0" borderId="0" xfId="0" applyFont="1" applyAlignment="1">
      <alignment wrapText="1"/>
    </xf>
    <xf numFmtId="0" fontId="0" fillId="0" borderId="1" xfId="0" applyBorder="1" applyAlignment="1">
      <alignment horizontal="center" wrapText="1"/>
    </xf>
    <xf numFmtId="0" fontId="2" fillId="0" borderId="35" xfId="0" applyFont="1" applyBorder="1" applyAlignment="1">
      <alignment wrapText="1"/>
    </xf>
    <xf numFmtId="0" fontId="0" fillId="0" borderId="36" xfId="0" applyBorder="1" applyAlignment="1">
      <alignment wrapText="1"/>
    </xf>
    <xf numFmtId="0" fontId="0" fillId="0" borderId="27" xfId="0" applyBorder="1" applyAlignment="1">
      <alignment wrapText="1"/>
    </xf>
    <xf numFmtId="0" fontId="0" fillId="0" borderId="37" xfId="0" applyBorder="1" applyAlignment="1">
      <alignment wrapText="1"/>
    </xf>
    <xf numFmtId="0" fontId="0" fillId="0" borderId="30" xfId="0" applyBorder="1" applyAlignment="1">
      <alignment wrapText="1"/>
    </xf>
    <xf numFmtId="0" fontId="2" fillId="0" borderId="43" xfId="0" applyFont="1" applyBorder="1" applyAlignment="1">
      <alignment wrapText="1"/>
    </xf>
    <xf numFmtId="0" fontId="2" fillId="0" borderId="44" xfId="0" applyFont="1" applyBorder="1" applyAlignment="1">
      <alignment wrapText="1"/>
    </xf>
    <xf numFmtId="0" fontId="0" fillId="0" borderId="44" xfId="0" applyBorder="1" applyAlignment="1">
      <alignment wrapText="1"/>
    </xf>
    <xf numFmtId="0" fontId="0" fillId="0" borderId="28" xfId="0" applyBorder="1" applyAlignment="1">
      <alignment wrapText="1"/>
    </xf>
    <xf numFmtId="0" fontId="2" fillId="0" borderId="36" xfId="0" applyFont="1" applyBorder="1" applyAlignment="1">
      <alignment wrapText="1"/>
    </xf>
    <xf numFmtId="0" fontId="0" fillId="0" borderId="14" xfId="0" applyBorder="1" applyAlignment="1">
      <alignment horizontal="center" wrapText="1"/>
    </xf>
    <xf numFmtId="0" fontId="0" fillId="0" borderId="37" xfId="0" applyBorder="1" applyAlignment="1">
      <alignment horizontal="center" wrapText="1"/>
    </xf>
    <xf numFmtId="0" fontId="2" fillId="0" borderId="14" xfId="0" applyFont="1" applyBorder="1"/>
    <xf numFmtId="0" fontId="2" fillId="0" borderId="14" xfId="0" applyFont="1" applyBorder="1" applyAlignment="1">
      <alignment wrapText="1"/>
    </xf>
    <xf numFmtId="0" fontId="6" fillId="0" borderId="1" xfId="0" applyFont="1" applyBorder="1" applyAlignment="1">
      <alignment wrapText="1"/>
    </xf>
    <xf numFmtId="165" fontId="6" fillId="0" borderId="1" xfId="0" applyNumberFormat="1" applyFont="1" applyBorder="1" applyAlignment="1">
      <alignment wrapText="1"/>
    </xf>
    <xf numFmtId="9" fontId="6" fillId="0" borderId="0" xfId="2" applyFont="1" applyBorder="1" applyAlignment="1">
      <alignment wrapText="1"/>
    </xf>
    <xf numFmtId="9" fontId="1" fillId="0" borderId="0" xfId="2" applyFont="1" applyBorder="1" applyAlignment="1">
      <alignment wrapText="1"/>
    </xf>
    <xf numFmtId="9" fontId="0" fillId="0" borderId="0" xfId="2" applyFont="1" applyBorder="1" applyAlignment="1">
      <alignment wrapText="1"/>
    </xf>
    <xf numFmtId="165" fontId="2" fillId="0" borderId="1" xfId="0" applyNumberFormat="1" applyFont="1" applyBorder="1" applyAlignment="1">
      <alignment wrapText="1"/>
    </xf>
    <xf numFmtId="165" fontId="1" fillId="0" borderId="0" xfId="0" applyNumberFormat="1" applyFont="1" applyAlignment="1">
      <alignment wrapText="1"/>
    </xf>
    <xf numFmtId="0" fontId="0" fillId="0" borderId="14" xfId="0" applyBorder="1" applyAlignment="1">
      <alignment wrapText="1"/>
    </xf>
    <xf numFmtId="165" fontId="2" fillId="2" borderId="1" xfId="0" applyNumberFormat="1" applyFont="1" applyFill="1" applyBorder="1" applyAlignment="1">
      <alignment wrapText="1"/>
    </xf>
    <xf numFmtId="0" fontId="0" fillId="0" borderId="43" xfId="0" applyBorder="1" applyAlignment="1">
      <alignment wrapText="1"/>
    </xf>
    <xf numFmtId="0" fontId="0" fillId="0" borderId="35" xfId="0" applyBorder="1" applyAlignment="1">
      <alignment wrapText="1"/>
    </xf>
    <xf numFmtId="0" fontId="0" fillId="6" borderId="14" xfId="0" applyFill="1" applyBorder="1" applyAlignment="1">
      <alignment wrapText="1"/>
    </xf>
    <xf numFmtId="9" fontId="0" fillId="0" borderId="1" xfId="2" applyFont="1" applyBorder="1" applyAlignment="1">
      <alignment wrapText="1"/>
    </xf>
    <xf numFmtId="0" fontId="0" fillId="9" borderId="14" xfId="0" applyFill="1" applyBorder="1" applyAlignment="1">
      <alignment wrapText="1"/>
    </xf>
    <xf numFmtId="0" fontId="0" fillId="9" borderId="1" xfId="0" applyFill="1" applyBorder="1" applyAlignment="1">
      <alignment wrapText="1"/>
    </xf>
    <xf numFmtId="0" fontId="0" fillId="12" borderId="14" xfId="0" applyFill="1" applyBorder="1" applyAlignment="1">
      <alignment wrapText="1"/>
    </xf>
    <xf numFmtId="0" fontId="0" fillId="12" borderId="1" xfId="0" applyFill="1" applyBorder="1" applyAlignment="1">
      <alignment wrapText="1"/>
    </xf>
    <xf numFmtId="0" fontId="0" fillId="0" borderId="34" xfId="0" applyBorder="1" applyAlignment="1">
      <alignment wrapText="1"/>
    </xf>
    <xf numFmtId="9" fontId="0" fillId="0" borderId="0" xfId="2" applyFont="1" applyAlignment="1">
      <alignment wrapText="1"/>
    </xf>
    <xf numFmtId="0" fontId="0" fillId="11" borderId="14" xfId="0" applyFill="1" applyBorder="1" applyAlignment="1">
      <alignment wrapText="1"/>
    </xf>
    <xf numFmtId="0" fontId="0" fillId="11" borderId="1" xfId="0" applyFill="1" applyBorder="1" applyAlignment="1">
      <alignment wrapText="1"/>
    </xf>
    <xf numFmtId="0" fontId="0" fillId="0" borderId="34" xfId="0" applyBorder="1" applyAlignment="1">
      <alignment horizontal="center" wrapText="1"/>
    </xf>
    <xf numFmtId="0" fontId="0" fillId="0" borderId="46" xfId="0" applyBorder="1" applyAlignment="1">
      <alignment wrapText="1"/>
    </xf>
    <xf numFmtId="0" fontId="2" fillId="2" borderId="1" xfId="0" applyFont="1" applyFill="1" applyBorder="1" applyAlignment="1">
      <alignment wrapText="1"/>
    </xf>
    <xf numFmtId="0" fontId="2" fillId="0" borderId="37" xfId="0" applyFont="1" applyBorder="1" applyAlignment="1">
      <alignment wrapText="1"/>
    </xf>
    <xf numFmtId="0" fontId="1" fillId="7" borderId="1" xfId="0" applyFont="1" applyFill="1" applyBorder="1" applyAlignment="1">
      <alignment wrapText="1"/>
    </xf>
    <xf numFmtId="2" fontId="1" fillId="7" borderId="1" xfId="0" applyNumberFormat="1" applyFont="1" applyFill="1" applyBorder="1" applyAlignment="1">
      <alignment wrapText="1"/>
    </xf>
    <xf numFmtId="0" fontId="1" fillId="0" borderId="1" xfId="0" applyFont="1" applyBorder="1" applyAlignment="1">
      <alignment wrapText="1"/>
    </xf>
    <xf numFmtId="2" fontId="1" fillId="0" borderId="1" xfId="0" applyNumberFormat="1" applyFont="1" applyBorder="1" applyAlignment="1">
      <alignment wrapText="1"/>
    </xf>
    <xf numFmtId="166" fontId="0" fillId="0" borderId="1" xfId="0" applyNumberFormat="1" applyBorder="1" applyAlignment="1">
      <alignment wrapText="1"/>
    </xf>
    <xf numFmtId="164" fontId="0" fillId="0" borderId="1" xfId="0" applyNumberFormat="1" applyBorder="1" applyAlignment="1">
      <alignment wrapText="1"/>
    </xf>
    <xf numFmtId="2"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wrapText="1"/>
    </xf>
    <xf numFmtId="0" fontId="2" fillId="0" borderId="0" xfId="0" applyFont="1" applyAlignment="1">
      <alignment horizontal="left"/>
    </xf>
    <xf numFmtId="0" fontId="2" fillId="0" borderId="35" xfId="0" applyFont="1" applyBorder="1"/>
    <xf numFmtId="0" fontId="0" fillId="0" borderId="36" xfId="0" applyBorder="1"/>
    <xf numFmtId="0" fontId="0" fillId="0" borderId="27" xfId="0" applyBorder="1"/>
    <xf numFmtId="0" fontId="0" fillId="0" borderId="37" xfId="0" applyBorder="1"/>
    <xf numFmtId="0" fontId="0" fillId="0" borderId="30" xfId="0" applyBorder="1"/>
    <xf numFmtId="0" fontId="2" fillId="0" borderId="37" xfId="0" applyFont="1" applyBorder="1"/>
    <xf numFmtId="0" fontId="0" fillId="8" borderId="1" xfId="0" applyFill="1" applyBorder="1" applyAlignment="1">
      <alignment wrapText="1"/>
    </xf>
    <xf numFmtId="167" fontId="0" fillId="0" borderId="0" xfId="2" applyNumberFormat="1" applyFont="1" applyBorder="1"/>
    <xf numFmtId="0" fontId="0" fillId="15" borderId="1" xfId="0" applyFill="1" applyBorder="1"/>
    <xf numFmtId="0" fontId="0" fillId="0" borderId="1" xfId="0" applyBorder="1" applyAlignment="1">
      <alignment horizontal="right"/>
    </xf>
    <xf numFmtId="0" fontId="0" fillId="2" borderId="1" xfId="0" applyFill="1" applyBorder="1"/>
    <xf numFmtId="0" fontId="0" fillId="0" borderId="43" xfId="0" applyBorder="1"/>
    <xf numFmtId="0" fontId="0" fillId="0" borderId="44" xfId="0" applyBorder="1"/>
    <xf numFmtId="0" fontId="0" fillId="0" borderId="28" xfId="0" applyBorder="1"/>
    <xf numFmtId="0" fontId="7" fillId="0" borderId="1" xfId="0" applyFont="1" applyBorder="1"/>
    <xf numFmtId="0" fontId="7" fillId="11" borderId="1" xfId="0" applyFont="1" applyFill="1" applyBorder="1"/>
    <xf numFmtId="0" fontId="7" fillId="0" borderId="0" xfId="0" applyFont="1"/>
    <xf numFmtId="0" fontId="0" fillId="16" borderId="1" xfId="0" applyFill="1" applyBorder="1"/>
    <xf numFmtId="0" fontId="2" fillId="17" borderId="1" xfId="0" applyFont="1" applyFill="1" applyBorder="1"/>
    <xf numFmtId="0" fontId="0" fillId="18" borderId="1" xfId="0" applyFill="1" applyBorder="1"/>
    <xf numFmtId="164" fontId="0" fillId="0" borderId="0" xfId="2" applyNumberFormat="1" applyFont="1" applyFill="1" applyBorder="1" applyAlignment="1">
      <alignment wrapText="1"/>
    </xf>
    <xf numFmtId="165" fontId="6" fillId="0" borderId="1" xfId="0" applyNumberFormat="1" applyFont="1" applyBorder="1"/>
    <xf numFmtId="0" fontId="2" fillId="0" borderId="31" xfId="0" applyFont="1" applyBorder="1"/>
    <xf numFmtId="0" fontId="0" fillId="0" borderId="24" xfId="0" applyBorder="1"/>
    <xf numFmtId="0" fontId="0" fillId="0" borderId="23" xfId="0" applyBorder="1"/>
    <xf numFmtId="165" fontId="2" fillId="11" borderId="31" xfId="0" applyNumberFormat="1" applyFont="1" applyFill="1" applyBorder="1"/>
    <xf numFmtId="165" fontId="0" fillId="11" borderId="26" xfId="0" applyNumberFormat="1" applyFill="1" applyBorder="1"/>
    <xf numFmtId="0" fontId="2" fillId="6" borderId="31" xfId="0" applyFont="1" applyFill="1" applyBorder="1"/>
    <xf numFmtId="0" fontId="2" fillId="6" borderId="23" xfId="0" applyFont="1" applyFill="1" applyBorder="1"/>
    <xf numFmtId="0" fontId="2" fillId="11" borderId="23" xfId="0" applyFont="1" applyFill="1" applyBorder="1"/>
    <xf numFmtId="0" fontId="0" fillId="0" borderId="35" xfId="0" applyBorder="1"/>
    <xf numFmtId="49" fontId="0" fillId="0" borderId="29" xfId="0" applyNumberFormat="1" applyBorder="1" applyAlignment="1">
      <alignment horizontal="right"/>
    </xf>
    <xf numFmtId="165" fontId="0" fillId="11" borderId="37" xfId="0" applyNumberFormat="1" applyFill="1" applyBorder="1"/>
    <xf numFmtId="165" fontId="0" fillId="11" borderId="30" xfId="0" applyNumberFormat="1" applyFill="1" applyBorder="1"/>
    <xf numFmtId="0" fontId="0" fillId="6" borderId="24" xfId="0" applyFill="1" applyBorder="1"/>
    <xf numFmtId="9" fontId="0" fillId="11" borderId="29" xfId="2" applyFont="1" applyFill="1" applyBorder="1"/>
    <xf numFmtId="0" fontId="0" fillId="0" borderId="29" xfId="0" applyBorder="1"/>
    <xf numFmtId="0" fontId="0" fillId="6" borderId="29" xfId="0" applyFill="1" applyBorder="1"/>
    <xf numFmtId="49" fontId="0" fillId="0" borderId="25" xfId="0" applyNumberFormat="1" applyBorder="1" applyAlignment="1">
      <alignment horizontal="right"/>
    </xf>
    <xf numFmtId="165" fontId="0" fillId="11" borderId="43" xfId="0" applyNumberFormat="1" applyFill="1" applyBorder="1"/>
    <xf numFmtId="165" fontId="0" fillId="11" borderId="28" xfId="0" applyNumberFormat="1" applyFill="1" applyBorder="1"/>
    <xf numFmtId="0" fontId="0" fillId="6" borderId="25" xfId="0" applyFill="1" applyBorder="1"/>
    <xf numFmtId="9" fontId="0" fillId="11" borderId="25" xfId="2" applyFont="1" applyFill="1" applyBorder="1"/>
    <xf numFmtId="3" fontId="0" fillId="0" borderId="0" xfId="0" applyNumberFormat="1"/>
    <xf numFmtId="165" fontId="0" fillId="0" borderId="24" xfId="0" applyNumberFormat="1" applyBorder="1"/>
    <xf numFmtId="165" fontId="0" fillId="0" borderId="29" xfId="0" applyNumberFormat="1" applyBorder="1"/>
    <xf numFmtId="165" fontId="0" fillId="0" borderId="25" xfId="0" applyNumberFormat="1" applyBorder="1"/>
    <xf numFmtId="0" fontId="3" fillId="0" borderId="27" xfId="1" applyBorder="1"/>
    <xf numFmtId="0" fontId="3" fillId="0" borderId="30" xfId="1" applyBorder="1"/>
    <xf numFmtId="11" fontId="0" fillId="0" borderId="1" xfId="0" applyNumberFormat="1" applyBorder="1"/>
    <xf numFmtId="11" fontId="0" fillId="0" borderId="0" xfId="0" applyNumberFormat="1"/>
    <xf numFmtId="9" fontId="0" fillId="0" borderId="0" xfId="2" applyFont="1"/>
    <xf numFmtId="1" fontId="6" fillId="0" borderId="1" xfId="0" applyNumberFormat="1" applyFont="1" applyBorder="1"/>
    <xf numFmtId="11" fontId="2" fillId="9" borderId="1" xfId="0" applyNumberFormat="1" applyFont="1" applyFill="1" applyBorder="1"/>
    <xf numFmtId="0" fontId="2" fillId="9" borderId="1" xfId="0" applyFont="1" applyFill="1" applyBorder="1"/>
    <xf numFmtId="11" fontId="0" fillId="12" borderId="1" xfId="0" applyNumberFormat="1" applyFill="1" applyBorder="1"/>
    <xf numFmtId="0" fontId="0" fillId="0" borderId="47" xfId="0" applyBorder="1"/>
    <xf numFmtId="0" fontId="2" fillId="0" borderId="12" xfId="0" applyFont="1" applyBorder="1"/>
    <xf numFmtId="0" fontId="18" fillId="0" borderId="1" xfId="0" applyFont="1" applyBorder="1"/>
    <xf numFmtId="1" fontId="0" fillId="0" borderId="0" xfId="0" applyNumberFormat="1"/>
    <xf numFmtId="168" fontId="0" fillId="0" borderId="0" xfId="2" applyNumberFormat="1" applyFont="1"/>
    <xf numFmtId="0" fontId="0" fillId="0" borderId="46" xfId="0" applyBorder="1"/>
    <xf numFmtId="0" fontId="19" fillId="0" borderId="0" xfId="0" applyFont="1" applyAlignment="1">
      <alignment horizontal="left"/>
    </xf>
    <xf numFmtId="0" fontId="20" fillId="0" borderId="1" xfId="0" applyFont="1" applyBorder="1" applyAlignment="1">
      <alignment vertical="center" wrapText="1"/>
    </xf>
    <xf numFmtId="0" fontId="6" fillId="0" borderId="1" xfId="0" applyFont="1" applyBorder="1" applyAlignment="1">
      <alignment vertical="center" wrapText="1"/>
    </xf>
    <xf numFmtId="0" fontId="2" fillId="0" borderId="36" xfId="0" applyFont="1" applyBorder="1"/>
    <xf numFmtId="0" fontId="12" fillId="0" borderId="1" xfId="0" applyFont="1" applyBorder="1"/>
    <xf numFmtId="11" fontId="2" fillId="12" borderId="1" xfId="0" applyNumberFormat="1" applyFont="1" applyFill="1" applyBorder="1"/>
    <xf numFmtId="11" fontId="21" fillId="0" borderId="0" xfId="0" applyNumberFormat="1" applyFont="1" applyAlignment="1">
      <alignment horizontal="left" vertical="center" wrapText="1" indent="1"/>
    </xf>
    <xf numFmtId="11" fontId="22" fillId="0" borderId="1" xfId="0" applyNumberFormat="1" applyFont="1" applyBorder="1"/>
    <xf numFmtId="2" fontId="0" fillId="0" borderId="1" xfId="0" applyNumberFormat="1" applyBorder="1" applyAlignment="1">
      <alignment vertical="center"/>
    </xf>
    <xf numFmtId="11" fontId="0" fillId="0" borderId="2" xfId="0" applyNumberFormat="1" applyBorder="1"/>
    <xf numFmtId="11" fontId="0" fillId="0" borderId="0" xfId="0" applyNumberFormat="1" applyAlignment="1">
      <alignment horizontal="center" vertical="center"/>
    </xf>
    <xf numFmtId="11" fontId="0" fillId="0" borderId="0" xfId="0" applyNumberFormat="1" applyAlignment="1">
      <alignment horizontal="center" vertical="center" wrapText="1"/>
    </xf>
    <xf numFmtId="11" fontId="2" fillId="12" borderId="2" xfId="0" applyNumberFormat="1" applyFont="1" applyFill="1" applyBorder="1"/>
    <xf numFmtId="0" fontId="1" fillId="0" borderId="44" xfId="0" applyFont="1" applyBorder="1"/>
    <xf numFmtId="0" fontId="0" fillId="0" borderId="48" xfId="0" applyBorder="1"/>
    <xf numFmtId="0" fontId="18" fillId="0" borderId="0" xfId="0" applyFont="1"/>
    <xf numFmtId="0" fontId="18" fillId="0" borderId="44" xfId="0" applyFont="1" applyBorder="1"/>
    <xf numFmtId="11" fontId="0" fillId="0" borderId="44" xfId="0" applyNumberFormat="1" applyBorder="1"/>
    <xf numFmtId="9" fontId="18" fillId="0" borderId="0" xfId="2" applyFont="1" applyBorder="1"/>
    <xf numFmtId="11" fontId="22" fillId="0" borderId="0" xfId="0" applyNumberFormat="1" applyFont="1"/>
    <xf numFmtId="2" fontId="0" fillId="0" borderId="0" xfId="0" applyNumberFormat="1" applyAlignment="1">
      <alignment vertical="center"/>
    </xf>
    <xf numFmtId="3" fontId="1" fillId="0" borderId="0" xfId="0" applyNumberFormat="1" applyFont="1"/>
    <xf numFmtId="0" fontId="23" fillId="0" borderId="0" xfId="0" applyFont="1"/>
    <xf numFmtId="11" fontId="1" fillId="0" borderId="0" xfId="0" applyNumberFormat="1" applyFont="1"/>
    <xf numFmtId="2" fontId="1" fillId="0" borderId="0" xfId="0" applyNumberFormat="1" applyFont="1"/>
    <xf numFmtId="0" fontId="24" fillId="0" borderId="0" xfId="0" applyFont="1"/>
    <xf numFmtId="11" fontId="6" fillId="0" borderId="1" xfId="0" applyNumberFormat="1" applyFont="1" applyBorder="1"/>
    <xf numFmtId="10" fontId="0" fillId="0" borderId="0" xfId="2" applyNumberFormat="1" applyFont="1"/>
    <xf numFmtId="0" fontId="6" fillId="0" borderId="33" xfId="0" applyFont="1" applyBorder="1"/>
    <xf numFmtId="0" fontId="6" fillId="0" borderId="20" xfId="0" applyFont="1" applyBorder="1"/>
    <xf numFmtId="0" fontId="6" fillId="0" borderId="6" xfId="0" applyFont="1" applyBorder="1"/>
    <xf numFmtId="0" fontId="25" fillId="0" borderId="1" xfId="0" applyFont="1" applyBorder="1"/>
    <xf numFmtId="0" fontId="26" fillId="0" borderId="37" xfId="0" applyFont="1" applyBorder="1"/>
    <xf numFmtId="0" fontId="26" fillId="0" borderId="1" xfId="0" applyFont="1" applyBorder="1"/>
    <xf numFmtId="11" fontId="0" fillId="0" borderId="1" xfId="0" applyNumberFormat="1" applyBorder="1" applyAlignment="1">
      <alignment horizontal="right"/>
    </xf>
    <xf numFmtId="11" fontId="0" fillId="0" borderId="30" xfId="0" applyNumberFormat="1" applyBorder="1"/>
    <xf numFmtId="11" fontId="26" fillId="0" borderId="1" xfId="0" applyNumberFormat="1" applyFont="1" applyBorder="1" applyAlignment="1">
      <alignment vertical="center" wrapText="1"/>
    </xf>
    <xf numFmtId="0" fontId="26" fillId="0" borderId="43" xfId="0" applyFont="1" applyBorder="1" applyAlignment="1">
      <alignment horizontal="left" vertical="center" wrapText="1"/>
    </xf>
    <xf numFmtId="11" fontId="27" fillId="0" borderId="9" xfId="0" applyNumberFormat="1" applyFont="1" applyBorder="1" applyAlignment="1">
      <alignment vertical="center" wrapText="1"/>
    </xf>
    <xf numFmtId="11" fontId="27" fillId="12" borderId="9" xfId="0" applyNumberFormat="1" applyFont="1" applyFill="1" applyBorder="1" applyAlignment="1">
      <alignment vertical="center" wrapText="1"/>
    </xf>
    <xf numFmtId="11" fontId="2" fillId="12" borderId="9" xfId="0" applyNumberFormat="1" applyFont="1" applyFill="1" applyBorder="1"/>
    <xf numFmtId="11" fontId="0" fillId="0" borderId="9" xfId="0" applyNumberFormat="1" applyBorder="1"/>
    <xf numFmtId="0" fontId="2" fillId="0" borderId="43" xfId="0" applyFont="1" applyBorder="1"/>
    <xf numFmtId="10" fontId="27" fillId="0" borderId="0" xfId="0" applyNumberFormat="1" applyFont="1" applyAlignment="1">
      <alignment vertical="center" wrapText="1"/>
    </xf>
    <xf numFmtId="0" fontId="27" fillId="0" borderId="0" xfId="0" applyFont="1" applyAlignment="1">
      <alignment horizontal="left" vertical="center" wrapText="1"/>
    </xf>
    <xf numFmtId="11" fontId="26" fillId="0" borderId="0" xfId="0" applyNumberFormat="1" applyFont="1" applyAlignment="1">
      <alignment vertical="center" wrapText="1"/>
    </xf>
    <xf numFmtId="11" fontId="28" fillId="0" borderId="0" xfId="0" applyNumberFormat="1" applyFont="1"/>
    <xf numFmtId="0" fontId="2" fillId="0" borderId="7" xfId="0" applyFont="1" applyBorder="1"/>
    <xf numFmtId="11" fontId="26" fillId="0" borderId="14" xfId="0" applyNumberFormat="1" applyFont="1" applyBorder="1" applyAlignment="1">
      <alignment horizontal="left" vertical="center" wrapText="1"/>
    </xf>
    <xf numFmtId="10" fontId="27" fillId="0" borderId="1" xfId="0" applyNumberFormat="1" applyFont="1" applyBorder="1" applyAlignment="1">
      <alignment vertical="center" wrapText="1"/>
    </xf>
    <xf numFmtId="0" fontId="27" fillId="0" borderId="1" xfId="0" applyFont="1" applyBorder="1" applyAlignment="1">
      <alignment horizontal="left" vertical="center" wrapText="1"/>
    </xf>
    <xf numFmtId="10" fontId="27" fillId="0" borderId="14" xfId="0" applyNumberFormat="1" applyFont="1" applyBorder="1" applyAlignment="1">
      <alignment vertical="center" wrapText="1"/>
    </xf>
    <xf numFmtId="11" fontId="26" fillId="12" borderId="1" xfId="0" applyNumberFormat="1" applyFont="1" applyFill="1" applyBorder="1" applyAlignment="1">
      <alignment vertical="center" wrapText="1"/>
    </xf>
    <xf numFmtId="0" fontId="29" fillId="0" borderId="1" xfId="0" applyFont="1" applyBorder="1"/>
    <xf numFmtId="10" fontId="0" fillId="0" borderId="1" xfId="2" applyNumberFormat="1" applyFont="1" applyBorder="1"/>
    <xf numFmtId="0" fontId="0" fillId="11" borderId="14" xfId="0" applyFill="1" applyBorder="1"/>
    <xf numFmtId="0" fontId="2" fillId="6" borderId="1" xfId="0" applyFont="1" applyFill="1" applyBorder="1"/>
    <xf numFmtId="2" fontId="0" fillId="0" borderId="0" xfId="0" applyNumberFormat="1"/>
    <xf numFmtId="0" fontId="6" fillId="0" borderId="37" xfId="0" applyFont="1" applyBorder="1"/>
    <xf numFmtId="11" fontId="21" fillId="19" borderId="1" xfId="0" applyNumberFormat="1" applyFont="1" applyFill="1" applyBorder="1" applyAlignment="1">
      <alignment horizontal="left" vertical="center" wrapText="1" indent="1"/>
    </xf>
    <xf numFmtId="166" fontId="0" fillId="0" borderId="1" xfId="0" applyNumberFormat="1" applyBorder="1"/>
    <xf numFmtId="0" fontId="3" fillId="0" borderId="1" xfId="1" applyBorder="1" applyAlignment="1">
      <alignment wrapText="1"/>
    </xf>
    <xf numFmtId="0" fontId="0" fillId="0" borderId="14" xfId="0" applyBorder="1" applyAlignment="1">
      <alignment horizontal="center"/>
    </xf>
    <xf numFmtId="0" fontId="2" fillId="0" borderId="14" xfId="0" applyFont="1" applyBorder="1" applyAlignment="1">
      <alignment horizontal="center"/>
    </xf>
    <xf numFmtId="0" fontId="2" fillId="12" borderId="1" xfId="0" applyFont="1" applyFill="1" applyBorder="1"/>
    <xf numFmtId="0" fontId="6" fillId="0" borderId="14" xfId="1" applyFont="1" applyBorder="1"/>
    <xf numFmtId="0" fontId="30" fillId="0" borderId="1" xfId="0" applyFont="1" applyBorder="1"/>
    <xf numFmtId="0" fontId="0" fillId="0" borderId="30" xfId="0" applyBorder="1" applyAlignment="1">
      <alignment horizontal="center"/>
    </xf>
    <xf numFmtId="11" fontId="31" fillId="0" borderId="0" xfId="0" applyNumberFormat="1" applyFont="1"/>
    <xf numFmtId="0" fontId="6" fillId="0" borderId="12" xfId="0" applyFont="1" applyBorder="1"/>
    <xf numFmtId="0" fontId="0" fillId="0" borderId="12" xfId="0" applyBorder="1"/>
    <xf numFmtId="0" fontId="0" fillId="0" borderId="13" xfId="0" applyBorder="1"/>
    <xf numFmtId="0" fontId="6" fillId="0" borderId="34" xfId="0" applyFont="1" applyBorder="1"/>
    <xf numFmtId="0" fontId="6" fillId="0" borderId="49" xfId="0" applyFont="1" applyBorder="1"/>
    <xf numFmtId="0" fontId="6" fillId="0" borderId="5" xfId="0" applyFont="1" applyBorder="1"/>
    <xf numFmtId="0" fontId="0" fillId="0" borderId="5" xfId="0" applyBorder="1"/>
    <xf numFmtId="0" fontId="0" fillId="0" borderId="50" xfId="0" applyBorder="1"/>
    <xf numFmtId="0" fontId="0" fillId="0" borderId="11" xfId="0" applyBorder="1"/>
    <xf numFmtId="0" fontId="7" fillId="0" borderId="12" xfId="0" applyFont="1" applyBorder="1"/>
    <xf numFmtId="0" fontId="7" fillId="0" borderId="13" xfId="0" applyFont="1" applyBorder="1"/>
    <xf numFmtId="11" fontId="6" fillId="0" borderId="15" xfId="0" applyNumberFormat="1" applyFont="1" applyBorder="1"/>
    <xf numFmtId="11" fontId="6" fillId="12" borderId="9" xfId="0" applyNumberFormat="1" applyFont="1" applyFill="1" applyBorder="1"/>
    <xf numFmtId="0" fontId="0" fillId="6" borderId="0" xfId="0" applyFill="1"/>
    <xf numFmtId="0" fontId="0" fillId="8" borderId="0" xfId="0" applyFill="1"/>
    <xf numFmtId="0" fontId="0" fillId="0" borderId="49" xfId="0" applyBorder="1"/>
    <xf numFmtId="0" fontId="6" fillId="0" borderId="0" xfId="0" applyFont="1" applyAlignment="1">
      <alignment vertical="center" wrapText="1"/>
    </xf>
    <xf numFmtId="0" fontId="6" fillId="0" borderId="0" xfId="0" applyFont="1" applyAlignment="1">
      <alignment wrapText="1"/>
    </xf>
    <xf numFmtId="165" fontId="6" fillId="0" borderId="0" xfId="0" applyNumberFormat="1" applyFont="1"/>
    <xf numFmtId="169" fontId="6" fillId="0" borderId="0" xfId="0" applyNumberFormat="1" applyFont="1"/>
    <xf numFmtId="0" fontId="32" fillId="0" borderId="0" xfId="1" applyFont="1" applyBorder="1"/>
    <xf numFmtId="0" fontId="33" fillId="0" borderId="1" xfId="0" applyFont="1" applyBorder="1"/>
    <xf numFmtId="0" fontId="34" fillId="0" borderId="1" xfId="0" applyFont="1" applyBorder="1"/>
    <xf numFmtId="164" fontId="33" fillId="0" borderId="1" xfId="0" applyNumberFormat="1" applyFont="1" applyBorder="1" applyAlignment="1">
      <alignment horizontal="right"/>
    </xf>
    <xf numFmtId="0" fontId="35" fillId="0" borderId="1" xfId="0" applyFont="1" applyBorder="1"/>
    <xf numFmtId="0" fontId="3" fillId="0" borderId="1" xfId="1" applyBorder="1" applyAlignment="1">
      <alignment horizontal="left"/>
    </xf>
    <xf numFmtId="0" fontId="0" fillId="2" borderId="7" xfId="0" applyFill="1" applyBorder="1" applyAlignment="1">
      <alignment wrapText="1"/>
    </xf>
    <xf numFmtId="0" fontId="0" fillId="0" borderId="0" xfId="0" applyAlignment="1">
      <alignment horizontal="right"/>
    </xf>
    <xf numFmtId="0" fontId="0" fillId="0" borderId="0" xfId="0" applyAlignment="1">
      <alignment vertical="center"/>
    </xf>
    <xf numFmtId="11" fontId="0" fillId="9" borderId="1" xfId="0" applyNumberFormat="1" applyFill="1" applyBorder="1"/>
    <xf numFmtId="0" fontId="0" fillId="0" borderId="5" xfId="0" applyBorder="1" applyAlignment="1">
      <alignment horizontal="left"/>
    </xf>
    <xf numFmtId="0" fontId="0" fillId="0" borderId="39" xfId="0" applyBorder="1" applyAlignment="1">
      <alignment horizontal="left"/>
    </xf>
    <xf numFmtId="0" fontId="6" fillId="0" borderId="1" xfId="1" applyFont="1" applyBorder="1" applyAlignment="1">
      <alignment horizontal="right"/>
    </xf>
    <xf numFmtId="0" fontId="17" fillId="0" borderId="1" xfId="0" applyFont="1" applyBorder="1" applyAlignment="1">
      <alignment horizontal="right"/>
    </xf>
    <xf numFmtId="0" fontId="1" fillId="0" borderId="1" xfId="0" applyFont="1" applyBorder="1" applyAlignment="1">
      <alignment horizontal="right"/>
    </xf>
    <xf numFmtId="11" fontId="2" fillId="0" borderId="1" xfId="0" applyNumberFormat="1" applyFont="1" applyBorder="1"/>
    <xf numFmtId="0" fontId="0" fillId="0" borderId="4" xfId="0" applyBorder="1" applyAlignment="1">
      <alignment horizontal="right"/>
    </xf>
    <xf numFmtId="0" fontId="6" fillId="0" borderId="52" xfId="0" applyFont="1" applyBorder="1"/>
    <xf numFmtId="0" fontId="6" fillId="20" borderId="52" xfId="0" applyFont="1" applyFill="1" applyBorder="1"/>
    <xf numFmtId="0" fontId="6" fillId="0" borderId="53" xfId="0" applyFont="1" applyBorder="1"/>
    <xf numFmtId="0" fontId="6" fillId="20" borderId="51" xfId="0" applyFont="1" applyFill="1" applyBorder="1"/>
    <xf numFmtId="0" fontId="6" fillId="20" borderId="53" xfId="0" applyFont="1" applyFill="1" applyBorder="1"/>
    <xf numFmtId="0" fontId="6" fillId="20" borderId="54" xfId="0" applyFont="1" applyFill="1" applyBorder="1" applyAlignment="1">
      <alignment horizontal="right"/>
    </xf>
    <xf numFmtId="0" fontId="6" fillId="0" borderId="51" xfId="0" applyFont="1" applyBorder="1"/>
    <xf numFmtId="0" fontId="6" fillId="20" borderId="52" xfId="0" applyFont="1" applyFill="1" applyBorder="1" applyAlignment="1">
      <alignment horizontal="right"/>
    </xf>
    <xf numFmtId="11" fontId="6" fillId="20" borderId="52" xfId="0" applyNumberFormat="1" applyFont="1" applyFill="1" applyBorder="1"/>
    <xf numFmtId="11" fontId="6" fillId="0" borderId="52" xfId="0" applyNumberFormat="1" applyFont="1" applyBorder="1"/>
    <xf numFmtId="1" fontId="13" fillId="0" borderId="0" xfId="0" applyNumberFormat="1" applyFont="1" applyAlignment="1">
      <alignment vertical="center" wrapText="1"/>
    </xf>
    <xf numFmtId="1" fontId="36" fillId="0" borderId="0" xfId="0" applyNumberFormat="1" applyFont="1" applyAlignment="1">
      <alignment vertical="center" wrapText="1"/>
    </xf>
    <xf numFmtId="0" fontId="34" fillId="0" borderId="7" xfId="0" applyFont="1" applyBorder="1"/>
    <xf numFmtId="0" fontId="33" fillId="0" borderId="7" xfId="0" applyFont="1" applyBorder="1"/>
    <xf numFmtId="0" fontId="0" fillId="0" borderId="0" xfId="0"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0" fillId="0" borderId="1"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33" xfId="0" applyBorder="1" applyAlignment="1">
      <alignment horizontal="center"/>
    </xf>
    <xf numFmtId="0" fontId="2" fillId="7" borderId="19" xfId="0" applyFont="1" applyFill="1" applyBorder="1" applyAlignment="1">
      <alignment horizontal="center"/>
    </xf>
    <xf numFmtId="0" fontId="2" fillId="7" borderId="2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2" fillId="7" borderId="13" xfId="0" applyFont="1" applyFill="1" applyBorder="1" applyAlignment="1">
      <alignment horizontal="center"/>
    </xf>
    <xf numFmtId="0" fontId="2" fillId="7" borderId="21" xfId="0" applyFont="1" applyFill="1" applyBorder="1" applyAlignment="1">
      <alignment horizontal="center"/>
    </xf>
    <xf numFmtId="0" fontId="2" fillId="7" borderId="22" xfId="0" applyFont="1" applyFill="1" applyBorder="1" applyAlignment="1">
      <alignment horizontal="center"/>
    </xf>
    <xf numFmtId="0" fontId="2" fillId="7" borderId="16" xfId="0" applyFont="1" applyFill="1" applyBorder="1" applyAlignment="1">
      <alignment horizontal="center"/>
    </xf>
    <xf numFmtId="0" fontId="2" fillId="7" borderId="17" xfId="0" applyFont="1" applyFill="1" applyBorder="1" applyAlignment="1">
      <alignment horizontal="center"/>
    </xf>
    <xf numFmtId="0" fontId="2" fillId="7" borderId="18" xfId="0" applyFont="1" applyFill="1" applyBorder="1" applyAlignment="1">
      <alignment horizontal="center"/>
    </xf>
    <xf numFmtId="0" fontId="2" fillId="7" borderId="15" xfId="0" applyFont="1" applyFill="1" applyBorder="1" applyAlignment="1">
      <alignment horizontal="center"/>
    </xf>
    <xf numFmtId="0" fontId="0" fillId="0" borderId="14" xfId="0" applyBorder="1" applyAlignment="1">
      <alignment horizontal="center" wrapText="1"/>
    </xf>
    <xf numFmtId="0" fontId="0" fillId="0" borderId="45" xfId="0" applyBorder="1" applyAlignment="1">
      <alignment horizontal="center" wrapText="1"/>
    </xf>
    <xf numFmtId="0" fontId="0" fillId="0" borderId="39" xfId="0" applyBorder="1" applyAlignment="1">
      <alignment horizontal="center" wrapText="1"/>
    </xf>
    <xf numFmtId="0" fontId="0" fillId="0" borderId="40"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42" xfId="0" applyBorder="1" applyAlignment="1">
      <alignment horizontal="center" wrapText="1"/>
    </xf>
    <xf numFmtId="0" fontId="3" fillId="0" borderId="1" xfId="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horizontal="center" wrapText="1"/>
    </xf>
    <xf numFmtId="0" fontId="0" fillId="0" borderId="38" xfId="0" applyBorder="1" applyAlignment="1">
      <alignment horizontal="center" wrapText="1"/>
    </xf>
    <xf numFmtId="0" fontId="0" fillId="0" borderId="41" xfId="0" applyBorder="1" applyAlignment="1">
      <alignment horizontal="center" wrapText="1"/>
    </xf>
    <xf numFmtId="0" fontId="12" fillId="0" borderId="36"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37" xfId="0" applyBorder="1" applyAlignment="1">
      <alignment horizontal="center" wrapText="1"/>
    </xf>
    <xf numFmtId="0" fontId="0" fillId="0" borderId="0" xfId="0" applyAlignment="1">
      <alignment horizontal="center" wrapText="1"/>
    </xf>
    <xf numFmtId="0" fontId="2" fillId="0" borderId="37" xfId="0" applyFont="1" applyBorder="1" applyAlignment="1">
      <alignment horizontal="center" wrapText="1"/>
    </xf>
    <xf numFmtId="0" fontId="2" fillId="0" borderId="0" xfId="0" applyFont="1" applyAlignment="1">
      <alignment horizontal="center" wrapText="1"/>
    </xf>
    <xf numFmtId="0" fontId="2" fillId="0" borderId="37" xfId="0" applyFont="1" applyBorder="1" applyAlignment="1">
      <alignment horizontal="left" wrapText="1"/>
    </xf>
    <xf numFmtId="0" fontId="2" fillId="0" borderId="0" xfId="0" applyFont="1" applyAlignment="1">
      <alignment horizontal="left"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0" borderId="4" xfId="0"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xf>
    <xf numFmtId="0" fontId="2" fillId="0" borderId="5" xfId="0" applyFont="1" applyBorder="1" applyAlignment="1">
      <alignment horizontal="center" wrapText="1"/>
    </xf>
    <xf numFmtId="0" fontId="2" fillId="0" borderId="6" xfId="0" applyFont="1" applyBorder="1" applyAlignment="1">
      <alignment horizontal="center" wrapText="1"/>
    </xf>
    <xf numFmtId="0" fontId="20" fillId="0" borderId="1" xfId="0" applyFont="1" applyBorder="1" applyAlignment="1">
      <alignment horizontal="center" vertical="center" wrapText="1"/>
    </xf>
    <xf numFmtId="10" fontId="27" fillId="0" borderId="5" xfId="0" applyNumberFormat="1" applyFont="1" applyBorder="1" applyAlignment="1">
      <alignment horizontal="center" vertical="center" wrapText="1"/>
    </xf>
    <xf numFmtId="10" fontId="27" fillId="0" borderId="7" xfId="0" applyNumberFormat="1" applyFont="1" applyBorder="1" applyAlignment="1">
      <alignment horizontal="center" vertical="center" wrapText="1"/>
    </xf>
    <xf numFmtId="10" fontId="27" fillId="0" borderId="6" xfId="0" applyNumberFormat="1"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3" fillId="0" borderId="1" xfId="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left" wrapText="1"/>
    </xf>
    <xf numFmtId="0" fontId="0" fillId="0" borderId="0" xfId="0" applyAlignment="1">
      <alignment horizontal="left" wrapText="1"/>
    </xf>
    <xf numFmtId="0" fontId="3" fillId="0" borderId="0" xfId="1" applyBorder="1" applyAlignment="1">
      <alignment horizontal="left" wrapText="1"/>
    </xf>
    <xf numFmtId="0" fontId="3" fillId="0" borderId="1" xfId="1" applyBorder="1" applyAlignment="1">
      <alignment horizontal="center"/>
    </xf>
    <xf numFmtId="0" fontId="6" fillId="20" borderId="54" xfId="0" applyFont="1" applyFill="1" applyBorder="1"/>
    <xf numFmtId="0" fontId="0" fillId="0" borderId="1" xfId="0" applyFill="1" applyBorder="1"/>
  </cellXfs>
  <cellStyles count="3">
    <cellStyle name="Hyperlink" xfId="1" builtinId="8"/>
    <cellStyle name="Normal" xfId="0" builtinId="0"/>
    <cellStyle name="Percent" xfId="2" builtinId="5"/>
  </cellStyles>
  <dxfs count="10">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dxf>
  </dxfs>
  <tableStyles count="0" defaultTableStyle="TableStyleMedium2" defaultPivotStyle="PivotStyleLight16"/>
  <colors>
    <mruColors>
      <color rgb="FFBD92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b2472_cam_ac_uk/Documents/PhD/yr2/Resources/Material%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ab2472_cam_ac_uk/Documents/PhD/yr2/Resources/Conversion_Factors_2020_-_Full_set__for_advanced_users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L3">
            <v>3.1435000000000004</v>
          </cell>
          <cell r="M3">
            <v>11.043939</v>
          </cell>
        </row>
        <row r="5">
          <cell r="L5">
            <v>5.8310000000000004</v>
          </cell>
          <cell r="M5">
            <v>21.612840000000002</v>
          </cell>
        </row>
        <row r="6">
          <cell r="L6">
            <v>3.9994999999999998</v>
          </cell>
          <cell r="M6">
            <v>17.805591</v>
          </cell>
        </row>
        <row r="10">
          <cell r="L10">
            <v>13900</v>
          </cell>
          <cell r="M10">
            <v>311136</v>
          </cell>
        </row>
        <row r="11">
          <cell r="L11">
            <v>2.3254999999999999</v>
          </cell>
          <cell r="M11">
            <v>23.949137999999998</v>
          </cell>
        </row>
        <row r="12">
          <cell r="L12">
            <v>13.075000000000001</v>
          </cell>
          <cell r="M12">
            <v>55.975310999999998</v>
          </cell>
        </row>
        <row r="25">
          <cell r="L25">
            <v>1.4896</v>
          </cell>
          <cell r="M25">
            <v>19.107084</v>
          </cell>
        </row>
        <row r="27">
          <cell r="L27">
            <v>0.1</v>
          </cell>
          <cell r="M27">
            <v>0.20834999999999998</v>
          </cell>
        </row>
        <row r="28">
          <cell r="L28">
            <v>11.448999999999998</v>
          </cell>
          <cell r="M28">
            <v>9.6604949999999992</v>
          </cell>
        </row>
        <row r="29">
          <cell r="M29">
            <v>1.3542749999999999</v>
          </cell>
        </row>
        <row r="30">
          <cell r="L30">
            <v>4.5860000000000003</v>
          </cell>
          <cell r="M30">
            <v>17.976437999999998</v>
          </cell>
        </row>
        <row r="32">
          <cell r="L32">
            <v>2.847</v>
          </cell>
          <cell r="M32">
            <v>10.749471</v>
          </cell>
        </row>
        <row r="33">
          <cell r="L33">
            <v>15.829500000000001</v>
          </cell>
          <cell r="M33">
            <v>63.447714299999994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sheetData sheetId="1"/>
      <sheetData sheetId="2"/>
      <sheetData sheetId="3">
        <row r="73">
          <cell r="E73">
            <v>0.26774999999999999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337E6-5744-422B-8E95-7C13692F8287}" name="Table2" displayName="Table2" ref="A1:I360" totalsRowShown="0" dataDxfId="9">
  <autoFilter ref="A1:I360" xr:uid="{6C6337E6-5744-422B-8E95-7C13692F8287}"/>
  <tableColumns count="9">
    <tableColumn id="1" xr3:uid="{7C6D09D5-DEDA-4F32-AE67-CF8CE5E8C335}" name="Stage" dataDxfId="8"/>
    <tableColumn id="2" xr3:uid="{A4A09E1E-C33E-496E-9547-2A7D1DF4947D}" name="Variable" dataDxfId="7"/>
    <tableColumn id="3" xr3:uid="{7C8FD2C9-0944-4974-B623-4C949418AD9D}" name="Process ID" dataDxfId="6"/>
    <tableColumn id="4" xr3:uid="{2EC5A39E-71A0-4F71-B23F-97EB2B2832C4}" name="Base Value" dataDxfId="5"/>
    <tableColumn id="6" xr3:uid="{E6BE5498-C495-4EC7-8D6B-7A51A10BF227}" name="Low" dataDxfId="4"/>
    <tableColumn id="7" xr3:uid="{4CF567C2-6EA7-4DBC-8517-B3FCEF4B91F2}" name="High" dataDxfId="3"/>
    <tableColumn id="8" xr3:uid="{E69162BB-5DC3-4028-998F-74C45E31754C}" name="Existing Reference/Reason" dataDxfId="2"/>
    <tableColumn id="9" xr3:uid="{614BEA83-7379-4A99-9E03-1864EDF3427C}" name="Reference" dataDxfId="1"/>
    <tableColumn id="5" xr3:uid="{19BD0546-D784-4725-9A56-DF1A22F1B995}" name="Confiden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B437A8-4EF0-439C-8A15-978B0D3E226B}" name="Table1" displayName="Table1" ref="A1:B1048576" totalsRowShown="0">
  <autoFilter ref="A1:B1048576" xr:uid="{3EB437A8-4EF0-439C-8A15-978B0D3E226B}"/>
  <tableColumns count="2">
    <tableColumn id="1" xr3:uid="{5B65C533-B549-4F50-97CB-85D03037944E}" name="Num. "/>
    <tableColumn id="2" xr3:uid="{63F040C2-343E-4464-A8EB-E98D8CF57425}" name="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hyperlink" Target="https://pubs.acs.org/doi/suppl/10.1021/acs.est.1c03263/suppl_file/es1c03263_si_001.pdf" TargetMode="External"/><Relationship Id="rId1" Type="http://schemas.openxmlformats.org/officeDocument/2006/relationships/hyperlink" Target="https://pubs.acs.org/doi/suppl/10.1021/acs.est.1c03263/suppl_file/es1c03263_si_001.pdf"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pubs.acs.org/doi/suppl/10.1021/acs.est.1c03263/suppl_file/es1c03263_si_001.pdf" TargetMode="External"/><Relationship Id="rId1" Type="http://schemas.openxmlformats.org/officeDocument/2006/relationships/hyperlink" Target="https://pubs.acs.org/doi/suppl/10.1021/acs.est.1c03263/suppl_file/es1c03263_si_001.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assets.publishing.service.gov.uk/government/uploads/system/uploads/attachment_data/file/264736/Miller_Decomm_Programme.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hyperlink" Target="https://extension.psu.edu/understanding-natural-gas-compressor-st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hyperlink" Target="https://ecoquery.ecoinvent.org/3.9.1/cutoff/dataset/21623/impact_assessment" TargetMode="External"/><Relationship Id="rId2" Type="http://schemas.openxmlformats.org/officeDocument/2006/relationships/hyperlink" Target="https://ecoquery.ecoinvent.org/3.9.1/cutoff/dataset/21623/impact_assessment" TargetMode="External"/><Relationship Id="rId1" Type="http://schemas.openxmlformats.org/officeDocument/2006/relationships/hyperlink" Target="https://ecoquery.ecoinvent.org/3.9.1/cutoff/dataset/20996/documentation"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hyperlink" Target="https://ecoquery.ecoinvent.org/3.9.1/cutoff/dataset/21623/impact_assessment" TargetMode="External"/><Relationship Id="rId2" Type="http://schemas.openxmlformats.org/officeDocument/2006/relationships/hyperlink" Target="https://ecoquery.ecoinvent.org/3.9.1/cutoff/dataset/21623/documentation" TargetMode="External"/><Relationship Id="rId1" Type="http://schemas.openxmlformats.org/officeDocument/2006/relationships/hyperlink" Target="https://ecoquery.ecoinvent.org/3.9.1/cutoff/dataset/20996/documentation" TargetMode="External"/><Relationship Id="rId4"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3" Type="http://schemas.openxmlformats.org/officeDocument/2006/relationships/hyperlink" Target="https://ecoquery.ecoinvent.org/3.9.1/cutoff/dataset/26691/exchanges,%2025%20years%20with%208.994%20tH2/hr" TargetMode="External"/><Relationship Id="rId2" Type="http://schemas.openxmlformats.org/officeDocument/2006/relationships/hyperlink" Target="https://ecoquery.ecoinvent.org/3.9.1/cutoff/dataset/26691/exchanges,%2025%20years%20with%208.994%20tH2/hr" TargetMode="External"/><Relationship Id="rId1" Type="http://schemas.openxmlformats.org/officeDocument/2006/relationships/hyperlink" Target="https://ecoquery.ecoinvent.org/3.9.1/cutoff/dataset/26691/exchanges,%2025%20years%20with%208.994%20tH2/hr" TargetMode="External"/><Relationship Id="rId4"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1B39-A069-4BA7-AC1A-A7774F5E18BF}">
  <dimension ref="A2:L14"/>
  <sheetViews>
    <sheetView workbookViewId="0">
      <selection activeCell="E10" sqref="E10"/>
    </sheetView>
  </sheetViews>
  <sheetFormatPr defaultRowHeight="15" x14ac:dyDescent="0.25"/>
  <cols>
    <col min="2" max="2" width="25.7109375" bestFit="1" customWidth="1"/>
  </cols>
  <sheetData>
    <row r="2" spans="1:12" x14ac:dyDescent="0.25">
      <c r="A2" s="370" t="s">
        <v>1183</v>
      </c>
      <c r="B2" s="370"/>
      <c r="C2" s="370"/>
      <c r="D2" s="370"/>
      <c r="E2" s="370"/>
      <c r="F2" s="370"/>
      <c r="G2" s="370"/>
      <c r="H2" s="370"/>
      <c r="I2" s="370"/>
      <c r="J2" s="370"/>
      <c r="K2" s="370"/>
      <c r="L2" s="370"/>
    </row>
    <row r="3" spans="1:12" x14ac:dyDescent="0.25">
      <c r="A3" s="370"/>
      <c r="B3" s="370"/>
      <c r="C3" s="370"/>
      <c r="D3" s="370"/>
      <c r="E3" s="370"/>
      <c r="F3" s="370"/>
      <c r="G3" s="370"/>
      <c r="H3" s="370"/>
      <c r="I3" s="370"/>
      <c r="J3" s="370"/>
      <c r="K3" s="370"/>
      <c r="L3" s="370"/>
    </row>
    <row r="4" spans="1:12" x14ac:dyDescent="0.25">
      <c r="A4" s="370"/>
      <c r="B4" s="370"/>
      <c r="C4" s="370"/>
      <c r="D4" s="370"/>
      <c r="E4" s="370"/>
      <c r="F4" s="370"/>
      <c r="G4" s="370"/>
      <c r="H4" s="370"/>
      <c r="I4" s="370"/>
      <c r="J4" s="370"/>
      <c r="K4" s="370"/>
      <c r="L4" s="370"/>
    </row>
    <row r="7" spans="1:12" x14ac:dyDescent="0.25">
      <c r="A7" s="12" t="s">
        <v>1184</v>
      </c>
      <c r="B7" s="12" t="s">
        <v>1185</v>
      </c>
    </row>
    <row r="8" spans="1:12" x14ac:dyDescent="0.25">
      <c r="A8" s="2">
        <v>1</v>
      </c>
      <c r="B8" s="397" t="s">
        <v>0</v>
      </c>
    </row>
    <row r="9" spans="1:12" x14ac:dyDescent="0.25">
      <c r="A9" s="2">
        <v>2</v>
      </c>
      <c r="B9" s="397" t="s">
        <v>27</v>
      </c>
    </row>
    <row r="10" spans="1:12" x14ac:dyDescent="0.25">
      <c r="A10" s="2">
        <v>3</v>
      </c>
      <c r="B10" s="1" t="s">
        <v>4</v>
      </c>
    </row>
    <row r="11" spans="1:12" x14ac:dyDescent="0.25">
      <c r="A11" s="2">
        <v>4</v>
      </c>
      <c r="B11" s="1" t="s">
        <v>3</v>
      </c>
    </row>
    <row r="12" spans="1:12" x14ac:dyDescent="0.25">
      <c r="A12" s="2">
        <v>5</v>
      </c>
      <c r="B12" s="1" t="s">
        <v>2</v>
      </c>
    </row>
    <row r="13" spans="1:12" x14ac:dyDescent="0.25">
      <c r="A13" s="2">
        <v>6</v>
      </c>
      <c r="B13" s="397" t="s">
        <v>1182</v>
      </c>
    </row>
    <row r="14" spans="1:12" x14ac:dyDescent="0.25">
      <c r="A14" s="2">
        <v>7</v>
      </c>
      <c r="B14" s="397" t="s">
        <v>25</v>
      </c>
    </row>
  </sheetData>
  <mergeCells count="1">
    <mergeCell ref="A2:L4"/>
  </mergeCells>
  <hyperlinks>
    <hyperlink ref="A8" location="'1'!A1" display="'1'!A1" xr:uid="{6496E156-8E11-442D-9937-0BE7F1A5B78B}"/>
    <hyperlink ref="A9" location="'2'!A1" display="'2'!A1" xr:uid="{4F4143D9-D3A7-430E-854A-0CA5A77F607C}"/>
    <hyperlink ref="A10" location="'3. H2 Production Infrastructure'!A1" display="'3. H2 Production Infrastructure'!A1" xr:uid="{5AC8DACA-2C23-45CD-A56B-EC015604D4C0}"/>
    <hyperlink ref="A11" location="'4. Transmission Infrastructure'!A1" display="'4. Transmission Infrastructure'!A1" xr:uid="{C8D24C6E-557F-471A-A5FD-5E34D57B800E}"/>
    <hyperlink ref="A12" location="'5. Transmission Vector'!A1" display="'5. Transmission Vector'!A1" xr:uid="{C8449B27-864E-451E-84B5-CFDFFA41C5B0}"/>
    <hyperlink ref="A13" location="'6. MC Bounds'!A1" display="'6. MC Bounds'!A1" xr:uid="{82D68B28-24A3-4BCF-8B64-FE908595DAAD}"/>
    <hyperlink ref="A14" location="References!A1" display="References!A1" xr:uid="{37CFEE88-E0C8-42B9-AAE3-6669F1E54E5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E80C-DB97-4DAD-A378-981D15AF6AE9}">
  <dimension ref="A1:U70"/>
  <sheetViews>
    <sheetView topLeftCell="A37" zoomScale="80" zoomScaleNormal="80" workbookViewId="0">
      <selection activeCell="A50" sqref="A50:I50"/>
    </sheetView>
  </sheetViews>
  <sheetFormatPr defaultRowHeight="15" x14ac:dyDescent="0.25"/>
  <cols>
    <col min="1" max="1" width="43.7109375" bestFit="1" customWidth="1"/>
    <col min="2" max="2" width="17.85546875" bestFit="1" customWidth="1"/>
    <col min="3" max="3" width="11" customWidth="1"/>
    <col min="4" max="4" width="17.140625" bestFit="1" customWidth="1"/>
    <col min="6" max="6" width="11.7109375" bestFit="1" customWidth="1"/>
    <col min="7" max="7" width="10.7109375" bestFit="1" customWidth="1"/>
    <col min="8" max="8" width="24.7109375" bestFit="1" customWidth="1"/>
    <col min="9" max="9" width="12.140625" bestFit="1" customWidth="1"/>
    <col min="11" max="11" width="17.28515625" customWidth="1"/>
    <col min="13" max="13" width="9.7109375" bestFit="1" customWidth="1"/>
  </cols>
  <sheetData>
    <row r="1" spans="1:21" x14ac:dyDescent="0.25">
      <c r="A1" s="74" t="s">
        <v>322</v>
      </c>
      <c r="B1" s="74" t="s">
        <v>323</v>
      </c>
    </row>
    <row r="3" spans="1:21" ht="60" x14ac:dyDescent="0.25">
      <c r="A3" s="337" t="s">
        <v>5</v>
      </c>
      <c r="B3" s="337" t="s">
        <v>7</v>
      </c>
      <c r="C3" s="337" t="s">
        <v>29</v>
      </c>
      <c r="D3" s="337" t="s">
        <v>30</v>
      </c>
      <c r="E3" s="337" t="s">
        <v>82</v>
      </c>
      <c r="F3" s="337" t="s">
        <v>32</v>
      </c>
      <c r="G3" s="337" t="s">
        <v>6</v>
      </c>
      <c r="H3" s="337" t="s">
        <v>83</v>
      </c>
      <c r="I3" s="338" t="s">
        <v>89</v>
      </c>
      <c r="J3" s="338"/>
      <c r="K3" s="338"/>
      <c r="L3" s="338"/>
      <c r="M3" s="338"/>
      <c r="N3" s="338"/>
      <c r="O3" s="339" t="s">
        <v>90</v>
      </c>
      <c r="P3" s="339"/>
      <c r="Q3" s="339"/>
      <c r="R3" s="339"/>
      <c r="S3" s="339"/>
      <c r="T3" s="339"/>
      <c r="U3" s="44" t="s">
        <v>46</v>
      </c>
    </row>
    <row r="4" spans="1:21" ht="30" x14ac:dyDescent="0.25">
      <c r="A4" s="337"/>
      <c r="B4" s="337"/>
      <c r="C4" s="337"/>
      <c r="D4" s="337"/>
      <c r="E4" s="337"/>
      <c r="F4" s="337"/>
      <c r="G4" s="337"/>
      <c r="H4" s="337"/>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64</v>
      </c>
      <c r="B5" s="13" t="s">
        <v>13</v>
      </c>
      <c r="C5" s="13">
        <f>E12</f>
        <v>661369.76451554918</v>
      </c>
      <c r="D5" s="13">
        <f>E10</f>
        <v>0.9</v>
      </c>
      <c r="E5" s="13">
        <v>7</v>
      </c>
      <c r="F5" s="14">
        <f>E16</f>
        <v>0.95</v>
      </c>
      <c r="G5" s="13" t="s">
        <v>12</v>
      </c>
      <c r="H5" s="1" t="s">
        <v>65</v>
      </c>
      <c r="I5" s="1">
        <f>G39</f>
        <v>181834.7</v>
      </c>
      <c r="J5" s="1">
        <f>G52+G51</f>
        <v>343.41999999999996</v>
      </c>
      <c r="K5" s="1">
        <f>G15+G17</f>
        <v>0</v>
      </c>
      <c r="L5" s="1">
        <v>0</v>
      </c>
      <c r="M5" s="1">
        <f>G61+G63+I5*0.01</f>
        <v>18476.746999999999</v>
      </c>
      <c r="N5" s="1">
        <f>G60+G62+J5*0.01</f>
        <v>324.27391830985914</v>
      </c>
      <c r="O5" s="1">
        <f>F39</f>
        <v>850203</v>
      </c>
      <c r="P5" s="1">
        <f>F52+F51</f>
        <v>455.6</v>
      </c>
      <c r="Q5" s="1">
        <f>F15+F13</f>
        <v>52.342719987142857</v>
      </c>
      <c r="R5" s="1">
        <v>0</v>
      </c>
      <c r="S5" s="1">
        <f>F61+F63+O5*0.01</f>
        <v>73447.23000000001</v>
      </c>
      <c r="T5" s="1">
        <f>F60+F62+N5*0.01</f>
        <v>1270.6173870704226</v>
      </c>
      <c r="U5" s="1">
        <f>E21/100</f>
        <v>2.0499999999999997E-2</v>
      </c>
    </row>
    <row r="6" spans="1:21" x14ac:dyDescent="0.25">
      <c r="A6" s="1" t="s">
        <v>64</v>
      </c>
      <c r="B6" s="13" t="s">
        <v>13</v>
      </c>
      <c r="C6" s="13">
        <f>E12</f>
        <v>661369.76451554918</v>
      </c>
      <c r="D6" s="13">
        <f>E10</f>
        <v>0.9</v>
      </c>
      <c r="E6" s="13">
        <v>7</v>
      </c>
      <c r="F6" s="14">
        <f>E16</f>
        <v>0.95</v>
      </c>
      <c r="G6" s="13" t="s">
        <v>16</v>
      </c>
      <c r="H6" s="1" t="s">
        <v>65</v>
      </c>
      <c r="I6" s="1" t="e">
        <f>G39+#REF!+G53</f>
        <v>#REF!</v>
      </c>
      <c r="J6" s="1">
        <v>0</v>
      </c>
      <c r="K6" s="1">
        <f>G17+G16</f>
        <v>0</v>
      </c>
      <c r="L6" s="1">
        <v>0</v>
      </c>
      <c r="M6" s="1" t="e">
        <f>G67+I6*0.01</f>
        <v>#REF!</v>
      </c>
      <c r="N6" s="1">
        <v>0</v>
      </c>
      <c r="O6" s="1">
        <f>F39+F54+F53</f>
        <v>852578.52214374742</v>
      </c>
      <c r="P6" s="1">
        <v>0</v>
      </c>
      <c r="Q6" s="1">
        <f>F15+F14</f>
        <v>52.298915335714284</v>
      </c>
      <c r="R6" s="1">
        <v>0</v>
      </c>
      <c r="S6" s="1">
        <f>F67+O6*0.01</f>
        <v>17825.785221437473</v>
      </c>
      <c r="T6" s="1">
        <v>0</v>
      </c>
      <c r="U6" s="1">
        <f>E21/100</f>
        <v>2.0499999999999997E-2</v>
      </c>
    </row>
    <row r="9" spans="1:21" x14ac:dyDescent="0.25">
      <c r="A9" s="12" t="s">
        <v>91</v>
      </c>
      <c r="B9" s="12" t="s">
        <v>92</v>
      </c>
      <c r="C9" s="12" t="s">
        <v>93</v>
      </c>
      <c r="D9" s="12" t="s">
        <v>94</v>
      </c>
      <c r="E9" s="12" t="s">
        <v>93</v>
      </c>
      <c r="F9" s="12" t="s">
        <v>95</v>
      </c>
      <c r="G9" s="12" t="s">
        <v>96</v>
      </c>
      <c r="H9" s="12" t="s">
        <v>97</v>
      </c>
      <c r="I9" s="12" t="s">
        <v>8</v>
      </c>
      <c r="J9" s="21"/>
    </row>
    <row r="10" spans="1:21" x14ac:dyDescent="0.25">
      <c r="A10" s="1" t="s">
        <v>99</v>
      </c>
      <c r="B10" s="1"/>
      <c r="C10" s="1"/>
      <c r="D10" s="1"/>
      <c r="E10" s="1">
        <v>0.9</v>
      </c>
      <c r="F10" s="1"/>
      <c r="G10" s="1"/>
      <c r="H10" s="1" t="s">
        <v>100</v>
      </c>
      <c r="I10" s="1">
        <v>18</v>
      </c>
    </row>
    <row r="11" spans="1:21" x14ac:dyDescent="0.25">
      <c r="A11" s="1" t="s">
        <v>101</v>
      </c>
      <c r="B11" s="1" t="s">
        <v>102</v>
      </c>
      <c r="C11" s="1">
        <v>4</v>
      </c>
      <c r="D11" s="1"/>
      <c r="E11" s="1"/>
      <c r="F11" s="1"/>
      <c r="G11" s="1"/>
      <c r="H11" s="1" t="s">
        <v>293</v>
      </c>
      <c r="I11" s="28">
        <v>36</v>
      </c>
    </row>
    <row r="12" spans="1:21" x14ac:dyDescent="0.25">
      <c r="A12" s="1" t="s">
        <v>103</v>
      </c>
      <c r="B12" s="1" t="s">
        <v>281</v>
      </c>
      <c r="C12" s="1">
        <f>210*4</f>
        <v>840</v>
      </c>
      <c r="D12" s="1" t="s">
        <v>282</v>
      </c>
      <c r="E12" s="13">
        <f>C12*24*365/11.126</f>
        <v>661369.76451554918</v>
      </c>
      <c r="F12" s="1"/>
      <c r="G12" s="1"/>
      <c r="H12" s="1" t="s">
        <v>170</v>
      </c>
      <c r="I12" s="1">
        <v>37</v>
      </c>
    </row>
    <row r="13" spans="1:21" x14ac:dyDescent="0.25">
      <c r="A13" s="334" t="s">
        <v>105</v>
      </c>
      <c r="B13" s="1" t="s">
        <v>171</v>
      </c>
      <c r="C13" s="1">
        <f>260*3</f>
        <v>780</v>
      </c>
      <c r="D13" s="1" t="s">
        <v>107</v>
      </c>
      <c r="E13" s="1">
        <f>C13/(C12/11.126)</f>
        <v>10.331285714285714</v>
      </c>
      <c r="F13" s="16">
        <f>4.89*E13/1000</f>
        <v>5.0519987142857138E-2</v>
      </c>
      <c r="G13" s="16">
        <v>0</v>
      </c>
      <c r="H13" s="1" t="s">
        <v>273</v>
      </c>
      <c r="I13" s="1">
        <v>25</v>
      </c>
    </row>
    <row r="14" spans="1:21" x14ac:dyDescent="0.25">
      <c r="A14" s="334"/>
      <c r="B14" s="1" t="s">
        <v>283</v>
      </c>
      <c r="C14" s="1">
        <f>C13/C12</f>
        <v>0.9285714285714286</v>
      </c>
      <c r="D14" s="1" t="s">
        <v>107</v>
      </c>
      <c r="E14" s="1"/>
      <c r="F14" s="17">
        <f>0.65*E13/1000</f>
        <v>6.715335714285715E-3</v>
      </c>
      <c r="G14" s="17">
        <v>0</v>
      </c>
      <c r="H14" s="1" t="s">
        <v>274</v>
      </c>
      <c r="I14" s="1">
        <v>26</v>
      </c>
    </row>
    <row r="15" spans="1:21" x14ac:dyDescent="0.25">
      <c r="A15" s="1" t="s">
        <v>261</v>
      </c>
      <c r="B15" s="1" t="s">
        <v>108</v>
      </c>
      <c r="C15" s="1">
        <v>4.7</v>
      </c>
      <c r="D15" s="1" t="s">
        <v>284</v>
      </c>
      <c r="E15" s="1">
        <f>C15*11.126</f>
        <v>52.292200000000001</v>
      </c>
      <c r="F15" s="13">
        <f>C15*11.126</f>
        <v>52.292200000000001</v>
      </c>
      <c r="G15" s="13">
        <v>0</v>
      </c>
      <c r="H15" s="1" t="s">
        <v>294</v>
      </c>
      <c r="I15" s="1">
        <v>37</v>
      </c>
    </row>
    <row r="16" spans="1:21" x14ac:dyDescent="0.25">
      <c r="A16" s="1" t="s">
        <v>32</v>
      </c>
      <c r="B16" s="1" t="s">
        <v>109</v>
      </c>
      <c r="C16" s="1"/>
      <c r="D16" s="1"/>
      <c r="E16" s="13">
        <v>0.95</v>
      </c>
      <c r="F16" s="1"/>
      <c r="G16" s="1"/>
      <c r="H16" s="18" t="s">
        <v>168</v>
      </c>
      <c r="I16" s="1">
        <v>20</v>
      </c>
    </row>
    <row r="17" spans="1:12" x14ac:dyDescent="0.25">
      <c r="A17" s="1" t="s">
        <v>110</v>
      </c>
      <c r="B17" s="1" t="s">
        <v>111</v>
      </c>
      <c r="C17" s="1">
        <f>13.2*4*4</f>
        <v>211.2</v>
      </c>
      <c r="D17" s="1"/>
      <c r="E17" s="1"/>
      <c r="F17" s="1"/>
      <c r="G17" s="1"/>
      <c r="H17" s="1" t="s">
        <v>485</v>
      </c>
      <c r="I17" s="1">
        <v>37</v>
      </c>
    </row>
    <row r="18" spans="1:12" x14ac:dyDescent="0.25">
      <c r="A18" s="1" t="s">
        <v>112</v>
      </c>
      <c r="B18" s="1" t="s">
        <v>113</v>
      </c>
      <c r="C18" s="1">
        <v>30</v>
      </c>
      <c r="D18" s="1"/>
      <c r="E18" s="1"/>
      <c r="F18" s="1"/>
      <c r="G18" s="1"/>
      <c r="H18" s="1" t="s">
        <v>295</v>
      </c>
      <c r="I18" s="1">
        <v>37</v>
      </c>
    </row>
    <row r="19" spans="1:12" x14ac:dyDescent="0.25">
      <c r="A19" s="37" t="s">
        <v>285</v>
      </c>
      <c r="B19" s="37" t="s">
        <v>286</v>
      </c>
      <c r="C19" s="37">
        <f>36*4</f>
        <v>144</v>
      </c>
      <c r="D19" s="37" t="s">
        <v>124</v>
      </c>
      <c r="E19" s="37">
        <f>C19*1000</f>
        <v>144000</v>
      </c>
      <c r="F19" s="37"/>
      <c r="G19" s="37"/>
      <c r="H19" s="37" t="s">
        <v>482</v>
      </c>
      <c r="I19" s="1">
        <v>32</v>
      </c>
    </row>
    <row r="20" spans="1:12" x14ac:dyDescent="0.25">
      <c r="A20" s="1" t="s">
        <v>287</v>
      </c>
      <c r="B20" s="1" t="s">
        <v>288</v>
      </c>
      <c r="C20" s="1">
        <v>7</v>
      </c>
      <c r="D20" s="1"/>
      <c r="E20" s="1"/>
      <c r="F20" s="1"/>
      <c r="G20" s="1"/>
      <c r="H20" s="1" t="s">
        <v>296</v>
      </c>
      <c r="I20" s="1">
        <v>19</v>
      </c>
    </row>
    <row r="21" spans="1:12" x14ac:dyDescent="0.25">
      <c r="A21" s="1" t="s">
        <v>115</v>
      </c>
      <c r="B21" s="1" t="s">
        <v>109</v>
      </c>
      <c r="C21" s="1">
        <v>2.0499999999999998</v>
      </c>
      <c r="D21" s="1" t="s">
        <v>109</v>
      </c>
      <c r="E21" s="1">
        <v>2.0499999999999998</v>
      </c>
      <c r="F21" s="1"/>
      <c r="G21" s="1"/>
      <c r="H21" s="1" t="s">
        <v>116</v>
      </c>
      <c r="I21" s="1">
        <v>20</v>
      </c>
      <c r="L21" s="74"/>
    </row>
    <row r="23" spans="1:12" x14ac:dyDescent="0.25">
      <c r="A23" s="21" t="s">
        <v>120</v>
      </c>
    </row>
    <row r="25" spans="1:12" x14ac:dyDescent="0.25">
      <c r="A25" t="s">
        <v>297</v>
      </c>
    </row>
    <row r="27" spans="1:12" x14ac:dyDescent="0.25">
      <c r="A27" s="1"/>
      <c r="B27" s="1"/>
      <c r="C27" s="1" t="s">
        <v>289</v>
      </c>
      <c r="D27" s="1" t="s">
        <v>290</v>
      </c>
      <c r="E27" s="1" t="s">
        <v>8</v>
      </c>
      <c r="F27" s="32" t="s">
        <v>121</v>
      </c>
      <c r="G27" s="32" t="s">
        <v>122</v>
      </c>
      <c r="H27" s="1" t="s">
        <v>8</v>
      </c>
      <c r="I27" s="21"/>
    </row>
    <row r="28" spans="1:12" ht="15" customHeight="1" x14ac:dyDescent="0.25">
      <c r="A28" s="1" t="s">
        <v>123</v>
      </c>
      <c r="B28" s="1" t="s">
        <v>124</v>
      </c>
      <c r="C28" s="1">
        <v>528</v>
      </c>
      <c r="D28" s="1">
        <f>C28*4</f>
        <v>2112</v>
      </c>
      <c r="E28" s="1">
        <v>19</v>
      </c>
      <c r="F28" s="1">
        <v>371712</v>
      </c>
      <c r="G28" s="1">
        <v>77721.599999999991</v>
      </c>
      <c r="H28" s="1">
        <v>28</v>
      </c>
    </row>
    <row r="29" spans="1:12" x14ac:dyDescent="0.25">
      <c r="A29" s="1" t="s">
        <v>172</v>
      </c>
      <c r="B29" s="1" t="s">
        <v>124</v>
      </c>
      <c r="C29" s="1">
        <v>27</v>
      </c>
      <c r="D29" s="1">
        <f t="shared" ref="D29:D38" si="0">C29*4</f>
        <v>108</v>
      </c>
      <c r="E29" s="1">
        <v>19</v>
      </c>
      <c r="F29" s="1">
        <v>6037.2</v>
      </c>
      <c r="G29" s="1">
        <v>1414.8</v>
      </c>
      <c r="H29" s="1">
        <v>28</v>
      </c>
    </row>
    <row r="30" spans="1:12" x14ac:dyDescent="0.25">
      <c r="A30" s="1" t="s">
        <v>126</v>
      </c>
      <c r="B30" s="1" t="s">
        <v>124</v>
      </c>
      <c r="C30" s="1">
        <v>100</v>
      </c>
      <c r="D30" s="1">
        <f t="shared" si="0"/>
        <v>400</v>
      </c>
      <c r="E30" s="1">
        <v>19</v>
      </c>
      <c r="F30" s="1">
        <v>8640</v>
      </c>
      <c r="G30" s="1">
        <v>2320</v>
      </c>
      <c r="H30" s="1">
        <v>28</v>
      </c>
    </row>
    <row r="31" spans="1:12" x14ac:dyDescent="0.25">
      <c r="A31" s="1" t="s">
        <v>127</v>
      </c>
      <c r="B31" s="1" t="s">
        <v>124</v>
      </c>
      <c r="C31" s="1">
        <v>4.5</v>
      </c>
      <c r="D31" s="1">
        <f t="shared" si="0"/>
        <v>18</v>
      </c>
      <c r="E31" s="1">
        <v>19</v>
      </c>
      <c r="F31" s="1">
        <v>320.40000000000003</v>
      </c>
      <c r="G31" s="1">
        <v>71.820000000000007</v>
      </c>
      <c r="H31" s="1">
        <v>28</v>
      </c>
    </row>
    <row r="32" spans="1:12" x14ac:dyDescent="0.25">
      <c r="A32" s="1" t="s">
        <v>173</v>
      </c>
      <c r="B32" s="1" t="s">
        <v>124</v>
      </c>
      <c r="C32" s="1">
        <v>16</v>
      </c>
      <c r="D32" s="1">
        <f t="shared" si="0"/>
        <v>64</v>
      </c>
      <c r="E32" s="1">
        <v>19</v>
      </c>
      <c r="F32" s="1">
        <v>5401.6</v>
      </c>
      <c r="G32" s="1">
        <v>1075.2</v>
      </c>
      <c r="H32" s="1">
        <v>28</v>
      </c>
    </row>
    <row r="33" spans="1:9" x14ac:dyDescent="0.25">
      <c r="A33" s="1" t="s">
        <v>174</v>
      </c>
      <c r="B33" s="1" t="s">
        <v>124</v>
      </c>
      <c r="C33" s="1">
        <v>9</v>
      </c>
      <c r="D33" s="1">
        <f t="shared" si="0"/>
        <v>36</v>
      </c>
      <c r="E33" s="1">
        <v>19</v>
      </c>
      <c r="F33" s="1">
        <v>1602</v>
      </c>
      <c r="G33" s="1">
        <v>467.28000000000003</v>
      </c>
      <c r="H33" s="1">
        <v>28</v>
      </c>
    </row>
    <row r="34" spans="1:9" x14ac:dyDescent="0.25">
      <c r="A34" s="1" t="s">
        <v>130</v>
      </c>
      <c r="B34" s="1" t="s">
        <v>124</v>
      </c>
      <c r="C34" s="1">
        <v>0.75</v>
      </c>
      <c r="D34" s="1">
        <f t="shared" si="0"/>
        <v>3</v>
      </c>
      <c r="E34" s="1">
        <v>19</v>
      </c>
      <c r="F34" s="1">
        <v>39669</v>
      </c>
      <c r="G34" s="1">
        <v>8730</v>
      </c>
      <c r="H34" s="1">
        <v>28</v>
      </c>
    </row>
    <row r="35" spans="1:9" x14ac:dyDescent="0.25">
      <c r="A35" s="1" t="s">
        <v>131</v>
      </c>
      <c r="B35" s="1" t="s">
        <v>124</v>
      </c>
      <c r="C35" s="1">
        <v>7.4999999999999997E-2</v>
      </c>
      <c r="D35" s="1">
        <f t="shared" si="0"/>
        <v>0.3</v>
      </c>
      <c r="E35" s="1">
        <v>19</v>
      </c>
      <c r="F35" s="1">
        <v>93340.799999999988</v>
      </c>
      <c r="G35" s="1">
        <v>4169.9999999999991</v>
      </c>
      <c r="H35" s="1">
        <v>28</v>
      </c>
    </row>
    <row r="36" spans="1:9" ht="15" customHeight="1" x14ac:dyDescent="0.25">
      <c r="A36" s="27" t="s">
        <v>132</v>
      </c>
      <c r="B36" s="27" t="s">
        <v>124</v>
      </c>
      <c r="C36" s="27">
        <f>4800</f>
        <v>4800</v>
      </c>
      <c r="D36" s="1">
        <f t="shared" si="0"/>
        <v>19200</v>
      </c>
      <c r="E36" s="1">
        <v>23</v>
      </c>
      <c r="F36" s="27">
        <v>211200</v>
      </c>
      <c r="G36" s="27">
        <v>59520</v>
      </c>
      <c r="H36" s="1">
        <v>28</v>
      </c>
    </row>
    <row r="37" spans="1:9" x14ac:dyDescent="0.25">
      <c r="A37" s="27" t="s">
        <v>133</v>
      </c>
      <c r="B37" s="27" t="s">
        <v>124</v>
      </c>
      <c r="C37" s="27">
        <f>1900</f>
        <v>1900</v>
      </c>
      <c r="D37" s="1">
        <f t="shared" si="0"/>
        <v>7600</v>
      </c>
      <c r="E37" s="1">
        <v>23</v>
      </c>
      <c r="F37" s="27">
        <v>83600</v>
      </c>
      <c r="G37" s="27">
        <v>23560</v>
      </c>
      <c r="H37" s="1">
        <v>28</v>
      </c>
    </row>
    <row r="38" spans="1:9" x14ac:dyDescent="0.25">
      <c r="A38" s="27" t="s">
        <v>134</v>
      </c>
      <c r="B38" s="27" t="s">
        <v>124</v>
      </c>
      <c r="C38" s="27">
        <f>300</f>
        <v>300</v>
      </c>
      <c r="D38" s="1">
        <f t="shared" si="0"/>
        <v>1200</v>
      </c>
      <c r="E38" s="1">
        <v>23</v>
      </c>
      <c r="F38" s="27">
        <v>28680</v>
      </c>
      <c r="G38" s="27">
        <v>2784</v>
      </c>
      <c r="H38" s="1">
        <v>28</v>
      </c>
    </row>
    <row r="39" spans="1:9" x14ac:dyDescent="0.25">
      <c r="A39" s="1" t="s">
        <v>175</v>
      </c>
      <c r="B39" s="1" t="s">
        <v>124</v>
      </c>
      <c r="C39" s="1">
        <f>SUM(C28:C38)</f>
        <v>7685.3249999999998</v>
      </c>
      <c r="D39" s="1">
        <f>SUM(D28:D38)</f>
        <v>30741.3</v>
      </c>
      <c r="E39" s="1"/>
      <c r="F39" s="38">
        <f>SUM(F28:F38)</f>
        <v>850203</v>
      </c>
      <c r="G39" s="38">
        <f>SUM(G28:G38)</f>
        <v>181834.7</v>
      </c>
      <c r="H39" s="1"/>
    </row>
    <row r="41" spans="1:9" x14ac:dyDescent="0.25">
      <c r="A41" s="21" t="s">
        <v>176</v>
      </c>
    </row>
    <row r="42" spans="1:9" x14ac:dyDescent="0.25">
      <c r="A42" s="21"/>
    </row>
    <row r="43" spans="1:9" x14ac:dyDescent="0.25">
      <c r="A43" s="1"/>
      <c r="B43" s="1"/>
      <c r="C43" s="1"/>
      <c r="D43" s="1"/>
      <c r="E43" s="1"/>
      <c r="F43" s="1"/>
      <c r="G43" s="1"/>
      <c r="H43" s="1"/>
      <c r="I43" s="1" t="s">
        <v>25</v>
      </c>
    </row>
    <row r="44" spans="1:9" x14ac:dyDescent="0.25">
      <c r="A44" s="1" t="s">
        <v>177</v>
      </c>
      <c r="B44" s="1" t="s">
        <v>147</v>
      </c>
      <c r="C44" s="19">
        <f>140/84</f>
        <v>1.6666666666666667</v>
      </c>
      <c r="D44" s="1"/>
      <c r="E44" s="1"/>
      <c r="F44" s="1"/>
      <c r="G44" s="1"/>
      <c r="H44" s="1" t="s">
        <v>178</v>
      </c>
      <c r="I44" s="1">
        <v>38</v>
      </c>
    </row>
    <row r="45" spans="1:9" x14ac:dyDescent="0.25">
      <c r="A45" s="1" t="s">
        <v>179</v>
      </c>
      <c r="B45" s="1" t="s">
        <v>180</v>
      </c>
      <c r="C45" s="1">
        <v>4</v>
      </c>
      <c r="D45" s="1" t="s">
        <v>181</v>
      </c>
      <c r="E45" s="1">
        <f>C45*25.4</f>
        <v>101.6</v>
      </c>
      <c r="F45" s="1"/>
      <c r="G45" s="1"/>
      <c r="H45" s="1" t="s">
        <v>298</v>
      </c>
      <c r="I45" s="1">
        <v>39</v>
      </c>
    </row>
    <row r="46" spans="1:9" x14ac:dyDescent="0.25">
      <c r="A46" s="1" t="s">
        <v>182</v>
      </c>
      <c r="B46" s="1" t="s">
        <v>183</v>
      </c>
      <c r="C46" s="19">
        <v>16.033000000000001</v>
      </c>
      <c r="D46" s="1" t="s">
        <v>124</v>
      </c>
      <c r="E46" s="1">
        <f>C46*1000*C44</f>
        <v>26721.666666666672</v>
      </c>
      <c r="F46" s="16">
        <f>E46*34.1</f>
        <v>911208.83333333349</v>
      </c>
      <c r="G46" s="16">
        <f>E46*9.2</f>
        <v>245839.33333333337</v>
      </c>
      <c r="H46" s="1" t="s">
        <v>299</v>
      </c>
      <c r="I46" s="1">
        <v>40</v>
      </c>
    </row>
    <row r="48" spans="1:9" x14ac:dyDescent="0.25">
      <c r="A48" s="21" t="s">
        <v>137</v>
      </c>
    </row>
    <row r="49" spans="1:9" x14ac:dyDescent="0.25">
      <c r="A49" s="21"/>
    </row>
    <row r="50" spans="1:9" x14ac:dyDescent="0.25">
      <c r="A50" s="1"/>
      <c r="B50" s="1"/>
      <c r="C50" s="1"/>
      <c r="D50" s="1"/>
      <c r="E50" s="1"/>
      <c r="F50" s="1" t="s">
        <v>138</v>
      </c>
      <c r="G50" s="1" t="s">
        <v>139</v>
      </c>
      <c r="H50" s="1"/>
      <c r="I50" s="1" t="s">
        <v>25</v>
      </c>
    </row>
    <row r="51" spans="1:9" x14ac:dyDescent="0.25">
      <c r="A51" s="1" t="s">
        <v>140</v>
      </c>
      <c r="B51" s="1" t="s">
        <v>141</v>
      </c>
      <c r="C51" s="1">
        <v>2</v>
      </c>
      <c r="D51" s="1" t="s">
        <v>142</v>
      </c>
      <c r="E51" s="17">
        <v>2</v>
      </c>
      <c r="F51" s="39">
        <f>113.9*C51</f>
        <v>227.8</v>
      </c>
      <c r="G51" s="39">
        <f>27.5*2*3.122</f>
        <v>171.70999999999998</v>
      </c>
      <c r="H51" s="1" t="s">
        <v>279</v>
      </c>
      <c r="I51" s="1" t="s">
        <v>1128</v>
      </c>
    </row>
    <row r="52" spans="1:9" x14ac:dyDescent="0.25">
      <c r="A52" s="1" t="s">
        <v>144</v>
      </c>
      <c r="B52" s="1" t="s">
        <v>141</v>
      </c>
      <c r="C52" s="1">
        <v>2</v>
      </c>
      <c r="D52" s="1"/>
      <c r="E52" s="17">
        <v>2</v>
      </c>
      <c r="F52" s="39">
        <f>113.9*C52</f>
        <v>227.8</v>
      </c>
      <c r="G52" s="39">
        <f>27.5*2*3.122</f>
        <v>171.70999999999998</v>
      </c>
      <c r="H52" s="1" t="s">
        <v>145</v>
      </c>
      <c r="I52" s="1" t="s">
        <v>1128</v>
      </c>
    </row>
    <row r="53" spans="1:9" x14ac:dyDescent="0.25">
      <c r="A53" s="1" t="s">
        <v>146</v>
      </c>
      <c r="B53" s="1" t="s">
        <v>147</v>
      </c>
      <c r="C53" s="1">
        <v>200</v>
      </c>
      <c r="D53" s="1" t="s">
        <v>165</v>
      </c>
      <c r="E53" s="1"/>
      <c r="F53" s="17">
        <f>G53/0.2407</f>
        <v>1187.7610718737017</v>
      </c>
      <c r="G53" s="17">
        <f>C53*62/1000*C39/1000*3</f>
        <v>285.89409000000001</v>
      </c>
      <c r="H53" s="1" t="s">
        <v>280</v>
      </c>
      <c r="I53" s="1" t="s">
        <v>1124</v>
      </c>
    </row>
    <row r="54" spans="1:9" x14ac:dyDescent="0.25">
      <c r="A54" s="1" t="s">
        <v>150</v>
      </c>
      <c r="B54" s="1" t="s">
        <v>147</v>
      </c>
      <c r="C54" s="1">
        <v>200</v>
      </c>
      <c r="D54" s="1" t="s">
        <v>165</v>
      </c>
      <c r="E54" s="1"/>
      <c r="F54" s="17">
        <f>G54/0.2407</f>
        <v>1187.7610718737017</v>
      </c>
      <c r="G54" s="17">
        <f>C54*62/1000*C39/1000*3</f>
        <v>285.89409000000001</v>
      </c>
      <c r="H54" s="1" t="s">
        <v>280</v>
      </c>
      <c r="I54" s="1" t="s">
        <v>1124</v>
      </c>
    </row>
    <row r="56" spans="1:9" x14ac:dyDescent="0.25">
      <c r="A56" s="21" t="s">
        <v>87</v>
      </c>
    </row>
    <row r="58" spans="1:9" x14ac:dyDescent="0.25">
      <c r="A58" s="12" t="s">
        <v>152</v>
      </c>
      <c r="B58" s="1"/>
      <c r="C58" s="1"/>
      <c r="D58" s="1"/>
      <c r="E58" s="1"/>
      <c r="F58" s="1"/>
      <c r="G58" s="1"/>
      <c r="H58" s="1"/>
      <c r="I58" s="1" t="s">
        <v>25</v>
      </c>
    </row>
    <row r="59" spans="1:9" x14ac:dyDescent="0.25">
      <c r="A59" s="1" t="s">
        <v>155</v>
      </c>
      <c r="B59" s="1" t="s">
        <v>156</v>
      </c>
      <c r="C59" s="19">
        <v>3</v>
      </c>
      <c r="D59" s="1"/>
      <c r="E59" s="1"/>
      <c r="F59" s="1"/>
      <c r="G59" s="1"/>
      <c r="H59" s="1" t="s">
        <v>275</v>
      </c>
      <c r="I59" s="22" t="s">
        <v>1125</v>
      </c>
    </row>
    <row r="60" spans="1:9" x14ac:dyDescent="0.25">
      <c r="A60" s="1" t="s">
        <v>184</v>
      </c>
      <c r="B60" s="1" t="s">
        <v>185</v>
      </c>
      <c r="C60" s="19">
        <f>320/42.6</f>
        <v>7.511737089201878</v>
      </c>
      <c r="D60" s="1" t="s">
        <v>142</v>
      </c>
      <c r="E60" s="1"/>
      <c r="F60" s="39">
        <f>C60*11.89*2*6</f>
        <v>1071.7746478873241</v>
      </c>
      <c r="G60" s="39">
        <f>C60*3.122*2*6</f>
        <v>281.41971830985915</v>
      </c>
      <c r="H60" s="1" t="s">
        <v>291</v>
      </c>
      <c r="I60" s="22">
        <v>41</v>
      </c>
    </row>
    <row r="61" spans="1:9" x14ac:dyDescent="0.25">
      <c r="A61" s="1" t="s">
        <v>184</v>
      </c>
      <c r="B61" s="27"/>
      <c r="C61" s="27"/>
      <c r="D61" s="27" t="s">
        <v>165</v>
      </c>
      <c r="E61" s="27"/>
      <c r="F61" s="77">
        <f>130*6*11.89*6</f>
        <v>55645.200000000004</v>
      </c>
      <c r="G61" s="77">
        <f>405.9*6*6</f>
        <v>14612.399999999998</v>
      </c>
      <c r="H61" s="1" t="s">
        <v>292</v>
      </c>
      <c r="I61" s="22" t="s">
        <v>1129</v>
      </c>
    </row>
    <row r="62" spans="1:9" x14ac:dyDescent="0.25">
      <c r="A62" s="1" t="s">
        <v>186</v>
      </c>
      <c r="B62" s="1" t="s">
        <v>185</v>
      </c>
      <c r="C62" s="1">
        <v>0.54749999999999999</v>
      </c>
      <c r="D62" s="1" t="s">
        <v>142</v>
      </c>
      <c r="E62" s="1"/>
      <c r="F62" s="39">
        <f>1.63*(C59+2)*6*4</f>
        <v>195.59999999999997</v>
      </c>
      <c r="G62" s="39">
        <f>C62*3*6*4</f>
        <v>39.42</v>
      </c>
      <c r="H62" s="1" t="s">
        <v>300</v>
      </c>
      <c r="I62" s="22" t="s">
        <v>1130</v>
      </c>
    </row>
    <row r="63" spans="1:9" x14ac:dyDescent="0.25">
      <c r="A63" s="28" t="s">
        <v>187</v>
      </c>
      <c r="B63" s="1" t="s">
        <v>160</v>
      </c>
      <c r="C63" s="1">
        <v>15.5</v>
      </c>
      <c r="D63" s="1" t="s">
        <v>164</v>
      </c>
      <c r="E63" s="1"/>
      <c r="F63" s="17">
        <f>G63/0.22</f>
        <v>9300</v>
      </c>
      <c r="G63" s="17">
        <f>C63*C59*44</f>
        <v>2046</v>
      </c>
      <c r="H63" s="1" t="s">
        <v>277</v>
      </c>
      <c r="I63" s="306" t="s">
        <v>1127</v>
      </c>
    </row>
    <row r="64" spans="1:9" x14ac:dyDescent="0.25">
      <c r="I64" s="307"/>
    </row>
    <row r="65" spans="1:9" x14ac:dyDescent="0.25">
      <c r="A65" s="75" t="s">
        <v>161</v>
      </c>
      <c r="B65" s="1"/>
      <c r="C65" s="1"/>
      <c r="D65" s="1"/>
      <c r="E65" s="1"/>
      <c r="F65" s="1"/>
      <c r="G65" s="1"/>
      <c r="H65" s="1"/>
      <c r="I65" s="22" t="s">
        <v>25</v>
      </c>
    </row>
    <row r="66" spans="1:9" x14ac:dyDescent="0.25">
      <c r="A66" s="1" t="s">
        <v>155</v>
      </c>
      <c r="B66" s="1" t="s">
        <v>156</v>
      </c>
      <c r="C66" s="19">
        <v>3</v>
      </c>
      <c r="D66" s="1"/>
      <c r="E66" s="1"/>
      <c r="F66" s="1"/>
      <c r="G66" s="1"/>
      <c r="H66" s="1" t="s">
        <v>275</v>
      </c>
      <c r="I66" s="22" t="s">
        <v>1125</v>
      </c>
    </row>
    <row r="67" spans="1:9" x14ac:dyDescent="0.25">
      <c r="A67" s="1" t="s">
        <v>162</v>
      </c>
      <c r="B67" s="1" t="s">
        <v>163</v>
      </c>
      <c r="C67" s="1">
        <v>15.5</v>
      </c>
      <c r="D67" s="1" t="s">
        <v>164</v>
      </c>
      <c r="E67" s="1"/>
      <c r="F67" s="17">
        <f>G67/0.22</f>
        <v>9300</v>
      </c>
      <c r="G67" s="17">
        <f>C67*C66*44</f>
        <v>2046</v>
      </c>
      <c r="H67" s="1" t="s">
        <v>277</v>
      </c>
      <c r="I67" s="22" t="s">
        <v>1127</v>
      </c>
    </row>
    <row r="69" spans="1:9" x14ac:dyDescent="0.25">
      <c r="A69" s="12" t="s">
        <v>268</v>
      </c>
      <c r="B69" s="1" t="s">
        <v>269</v>
      </c>
      <c r="C69" s="1" t="s">
        <v>8</v>
      </c>
    </row>
    <row r="70" spans="1:9" x14ac:dyDescent="0.25">
      <c r="A70" s="1" t="s">
        <v>270</v>
      </c>
      <c r="B70" s="1" t="s">
        <v>271</v>
      </c>
      <c r="C70" s="1">
        <v>33</v>
      </c>
    </row>
  </sheetData>
  <mergeCells count="11">
    <mergeCell ref="F3:F4"/>
    <mergeCell ref="G3:G4"/>
    <mergeCell ref="H3:H4"/>
    <mergeCell ref="I3:N3"/>
    <mergeCell ref="O3:T3"/>
    <mergeCell ref="E3:E4"/>
    <mergeCell ref="A13:A14"/>
    <mergeCell ref="A3:A4"/>
    <mergeCell ref="B3:B4"/>
    <mergeCell ref="C3:C4"/>
    <mergeCell ref="D3:D4"/>
  </mergeCells>
  <hyperlinks>
    <hyperlink ref="B1" location="'2'!A1" display="production methods" xr:uid="{EC990C88-F0EC-4561-9D88-2ACE57730200}"/>
    <hyperlink ref="A1" location="Contents!A1" display="contents" xr:uid="{EA41A504-A797-4F4C-B4D6-6877A814D2F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AA95A-1054-4EB5-AC8B-E90AA67D5BE6}">
  <dimension ref="A1:U68"/>
  <sheetViews>
    <sheetView topLeftCell="A41" workbookViewId="0">
      <selection activeCell="A49" sqref="A49:I49"/>
    </sheetView>
  </sheetViews>
  <sheetFormatPr defaultRowHeight="15" x14ac:dyDescent="0.25"/>
  <cols>
    <col min="1" max="1" width="28" bestFit="1" customWidth="1"/>
    <col min="2" max="2" width="17.85546875" bestFit="1" customWidth="1"/>
    <col min="5" max="5" width="26.28515625" bestFit="1" customWidth="1"/>
    <col min="7" max="7" width="10.7109375" bestFit="1" customWidth="1"/>
    <col min="8" max="8" width="9.7109375" customWidth="1"/>
    <col min="9" max="9" width="10.7109375" bestFit="1" customWidth="1"/>
    <col min="15" max="15" width="10.7109375" bestFit="1" customWidth="1"/>
  </cols>
  <sheetData>
    <row r="1" spans="1:21" x14ac:dyDescent="0.25">
      <c r="A1" s="74" t="s">
        <v>322</v>
      </c>
      <c r="B1" s="74" t="s">
        <v>323</v>
      </c>
    </row>
    <row r="2" spans="1:21" x14ac:dyDescent="0.25">
      <c r="A2" s="74"/>
      <c r="B2" s="74"/>
    </row>
    <row r="3" spans="1:21" ht="60" x14ac:dyDescent="0.25">
      <c r="A3" s="337" t="s">
        <v>5</v>
      </c>
      <c r="B3" s="337" t="s">
        <v>7</v>
      </c>
      <c r="C3" s="337" t="s">
        <v>29</v>
      </c>
      <c r="D3" s="337" t="s">
        <v>30</v>
      </c>
      <c r="E3" s="337" t="s">
        <v>82</v>
      </c>
      <c r="F3" s="337" t="s">
        <v>32</v>
      </c>
      <c r="G3" s="337" t="s">
        <v>6</v>
      </c>
      <c r="H3" s="337" t="s">
        <v>83</v>
      </c>
      <c r="I3" s="338" t="s">
        <v>89</v>
      </c>
      <c r="J3" s="338"/>
      <c r="K3" s="338"/>
      <c r="L3" s="338"/>
      <c r="M3" s="338"/>
      <c r="N3" s="338"/>
      <c r="O3" s="339" t="s">
        <v>90</v>
      </c>
      <c r="P3" s="339"/>
      <c r="Q3" s="339"/>
      <c r="R3" s="339"/>
      <c r="S3" s="339"/>
      <c r="T3" s="339"/>
      <c r="U3" s="44" t="s">
        <v>46</v>
      </c>
    </row>
    <row r="4" spans="1:21" ht="30" x14ac:dyDescent="0.25">
      <c r="A4" s="337"/>
      <c r="B4" s="337"/>
      <c r="C4" s="337"/>
      <c r="D4" s="337"/>
      <c r="E4" s="337"/>
      <c r="F4" s="337"/>
      <c r="G4" s="337"/>
      <c r="H4" s="337"/>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66</v>
      </c>
      <c r="B5" s="13" t="s">
        <v>13</v>
      </c>
      <c r="C5" s="13">
        <f>E12</f>
        <v>10161600</v>
      </c>
      <c r="D5" s="13">
        <f>E10</f>
        <v>0.9</v>
      </c>
      <c r="E5" s="13">
        <v>10</v>
      </c>
      <c r="F5" s="14">
        <f>E16</f>
        <v>0.95</v>
      </c>
      <c r="G5" s="13" t="s">
        <v>12</v>
      </c>
      <c r="H5" s="1" t="s">
        <v>62</v>
      </c>
      <c r="I5" s="4">
        <f>G44</f>
        <v>7375292.9560799999</v>
      </c>
      <c r="J5" s="1">
        <f>G50+G51</f>
        <v>119.6</v>
      </c>
      <c r="K5" s="1">
        <f>G14+G16</f>
        <v>0</v>
      </c>
      <c r="L5" s="1">
        <v>0</v>
      </c>
      <c r="M5" s="1">
        <f>G61+I5*0.01</f>
        <v>81254.929560799996</v>
      </c>
      <c r="N5" s="1">
        <f>G60+J5*0.01</f>
        <v>161.18</v>
      </c>
      <c r="O5" s="1">
        <f>F44</f>
        <v>59126240.404123202</v>
      </c>
      <c r="P5" s="1">
        <f>F50+F51</f>
        <v>455.6</v>
      </c>
      <c r="Q5" s="1">
        <f>F13+F15</f>
        <v>53.948900000000002</v>
      </c>
      <c r="R5" s="1">
        <v>0</v>
      </c>
      <c r="S5" s="1">
        <f>F61+O5*0.01</f>
        <v>625362.40404123208</v>
      </c>
      <c r="T5" s="1">
        <f>F60+P5*0.01</f>
        <v>650.03600000000006</v>
      </c>
      <c r="U5" s="1">
        <f>E21/100</f>
        <v>2.0499999999999997E-2</v>
      </c>
    </row>
    <row r="6" spans="1:21" x14ac:dyDescent="0.25">
      <c r="A6" s="1" t="s">
        <v>66</v>
      </c>
      <c r="B6" s="13" t="s">
        <v>13</v>
      </c>
      <c r="C6" s="13">
        <f>E12</f>
        <v>10161600</v>
      </c>
      <c r="D6" s="13">
        <f>E10</f>
        <v>0.9</v>
      </c>
      <c r="E6" s="13">
        <v>10</v>
      </c>
      <c r="F6" s="14">
        <f>E16</f>
        <v>0.95</v>
      </c>
      <c r="G6" s="13" t="s">
        <v>16</v>
      </c>
      <c r="H6" s="1" t="s">
        <v>67</v>
      </c>
      <c r="I6" s="4">
        <f>G44+G52+G53</f>
        <v>7431403.5711200004</v>
      </c>
      <c r="J6" s="1">
        <v>0</v>
      </c>
      <c r="K6" s="1">
        <f>G16+G15</f>
        <v>0</v>
      </c>
      <c r="L6" s="1">
        <v>0</v>
      </c>
      <c r="M6" s="1">
        <f>G65+I6*0.01</f>
        <v>81816.035711200006</v>
      </c>
      <c r="N6" s="1">
        <v>0</v>
      </c>
      <c r="O6" s="1">
        <f>F44+F52+F53</f>
        <v>59359354.716711491</v>
      </c>
      <c r="P6" s="1">
        <v>0</v>
      </c>
      <c r="Q6" s="1">
        <f>F14+F15</f>
        <v>53.906500000000001</v>
      </c>
      <c r="R6" s="1">
        <v>0</v>
      </c>
      <c r="S6" s="1">
        <f>F65+O6*0.01</f>
        <v>627693.54716711491</v>
      </c>
      <c r="T6" s="1">
        <v>0</v>
      </c>
      <c r="U6" s="1">
        <f>E21/100</f>
        <v>2.0499999999999997E-2</v>
      </c>
    </row>
    <row r="9" spans="1:21" x14ac:dyDescent="0.25">
      <c r="A9" s="12" t="s">
        <v>91</v>
      </c>
      <c r="B9" s="12" t="s">
        <v>92</v>
      </c>
      <c r="C9" s="12" t="s">
        <v>93</v>
      </c>
      <c r="D9" s="12" t="s">
        <v>94</v>
      </c>
      <c r="E9" s="12" t="s">
        <v>93</v>
      </c>
      <c r="F9" s="12" t="s">
        <v>95</v>
      </c>
      <c r="G9" s="12" t="s">
        <v>96</v>
      </c>
      <c r="H9" s="12" t="s">
        <v>97</v>
      </c>
      <c r="I9" s="70" t="s">
        <v>8</v>
      </c>
      <c r="J9" s="79"/>
    </row>
    <row r="10" spans="1:21" x14ac:dyDescent="0.25">
      <c r="A10" s="1" t="s">
        <v>99</v>
      </c>
      <c r="B10" s="1"/>
      <c r="C10" s="1"/>
      <c r="D10" s="1"/>
      <c r="E10" s="1">
        <v>0.9</v>
      </c>
      <c r="F10" s="1"/>
      <c r="G10" s="1"/>
      <c r="H10" s="1" t="s">
        <v>100</v>
      </c>
      <c r="I10" s="1">
        <v>18</v>
      </c>
      <c r="J10" s="80"/>
    </row>
    <row r="11" spans="1:21" x14ac:dyDescent="0.25">
      <c r="A11" s="1" t="s">
        <v>101</v>
      </c>
      <c r="B11" s="1" t="s">
        <v>102</v>
      </c>
      <c r="C11" s="1">
        <v>60</v>
      </c>
      <c r="D11" s="1"/>
      <c r="E11" s="1"/>
      <c r="F11" s="1"/>
      <c r="G11" s="1"/>
      <c r="H11" s="1" t="s">
        <v>301</v>
      </c>
      <c r="I11" s="1">
        <v>42</v>
      </c>
      <c r="J11" s="80"/>
    </row>
    <row r="12" spans="1:21" x14ac:dyDescent="0.25">
      <c r="A12" s="1" t="s">
        <v>103</v>
      </c>
      <c r="B12" s="1" t="s">
        <v>189</v>
      </c>
      <c r="C12" s="1">
        <f>116*10</f>
        <v>1160</v>
      </c>
      <c r="D12" s="1" t="s">
        <v>260</v>
      </c>
      <c r="E12" s="13">
        <f>C12*24*365</f>
        <v>10161600</v>
      </c>
      <c r="F12" s="1"/>
      <c r="G12" s="1"/>
      <c r="H12" s="1"/>
      <c r="I12" s="1">
        <v>42</v>
      </c>
      <c r="J12" s="80"/>
    </row>
    <row r="13" spans="1:21" x14ac:dyDescent="0.25">
      <c r="A13" s="334" t="s">
        <v>105</v>
      </c>
      <c r="B13" s="1" t="s">
        <v>302</v>
      </c>
      <c r="C13" s="1">
        <v>10</v>
      </c>
      <c r="D13" s="1" t="s">
        <v>107</v>
      </c>
      <c r="E13" s="1">
        <f>C13</f>
        <v>10</v>
      </c>
      <c r="F13" s="16">
        <f>4.89*E13/1000</f>
        <v>4.8899999999999999E-2</v>
      </c>
      <c r="G13" s="16">
        <v>0</v>
      </c>
      <c r="H13" s="1" t="s">
        <v>273</v>
      </c>
      <c r="I13" s="1">
        <v>25</v>
      </c>
      <c r="J13" s="80"/>
    </row>
    <row r="14" spans="1:21" x14ac:dyDescent="0.25">
      <c r="A14" s="334"/>
      <c r="B14" s="1"/>
      <c r="C14" s="1"/>
      <c r="D14" s="1"/>
      <c r="E14" s="1"/>
      <c r="F14" s="17">
        <f>0.65*E13/1000</f>
        <v>6.4999999999999997E-3</v>
      </c>
      <c r="G14" s="17">
        <v>0</v>
      </c>
      <c r="H14" s="1" t="s">
        <v>274</v>
      </c>
      <c r="I14" s="1">
        <v>26</v>
      </c>
      <c r="J14" s="80"/>
    </row>
    <row r="15" spans="1:21" x14ac:dyDescent="0.25">
      <c r="A15" s="1" t="s">
        <v>261</v>
      </c>
      <c r="B15" s="1" t="s">
        <v>190</v>
      </c>
      <c r="C15" s="1">
        <v>53.9</v>
      </c>
      <c r="D15" s="1" t="s">
        <v>262</v>
      </c>
      <c r="E15" s="1"/>
      <c r="F15" s="13">
        <f>C15</f>
        <v>53.9</v>
      </c>
      <c r="G15" s="13">
        <v>0</v>
      </c>
      <c r="H15" s="1"/>
      <c r="I15" s="1">
        <v>42</v>
      </c>
      <c r="J15" s="80"/>
    </row>
    <row r="16" spans="1:21" x14ac:dyDescent="0.25">
      <c r="A16" s="1" t="s">
        <v>32</v>
      </c>
      <c r="B16" s="1" t="s">
        <v>109</v>
      </c>
      <c r="C16" s="1"/>
      <c r="D16" s="1"/>
      <c r="E16" s="13">
        <v>0.95</v>
      </c>
      <c r="F16" s="1"/>
      <c r="G16" s="1"/>
      <c r="H16" s="18" t="s">
        <v>168</v>
      </c>
      <c r="I16" s="1">
        <v>20</v>
      </c>
      <c r="J16" s="80"/>
    </row>
    <row r="17" spans="1:12" x14ac:dyDescent="0.25">
      <c r="A17" s="1" t="s">
        <v>110</v>
      </c>
      <c r="B17" s="1" t="s">
        <v>111</v>
      </c>
      <c r="C17" s="1">
        <v>8300</v>
      </c>
      <c r="D17" s="1"/>
      <c r="E17" s="1"/>
      <c r="F17" s="1"/>
      <c r="G17" s="1"/>
      <c r="H17" s="1" t="s">
        <v>191</v>
      </c>
      <c r="I17" s="1">
        <v>43</v>
      </c>
      <c r="J17" s="80"/>
    </row>
    <row r="18" spans="1:12" x14ac:dyDescent="0.25">
      <c r="A18" s="1" t="s">
        <v>112</v>
      </c>
      <c r="B18" s="1" t="s">
        <v>113</v>
      </c>
      <c r="C18" s="1">
        <v>33</v>
      </c>
      <c r="D18" s="1"/>
      <c r="E18" s="1"/>
      <c r="F18" s="1"/>
      <c r="G18" s="1"/>
      <c r="H18" s="1"/>
      <c r="I18" s="1">
        <v>42</v>
      </c>
      <c r="J18" s="80"/>
    </row>
    <row r="19" spans="1:12" x14ac:dyDescent="0.25">
      <c r="A19" s="1" t="s">
        <v>285</v>
      </c>
      <c r="B19" s="1" t="s">
        <v>286</v>
      </c>
      <c r="C19" s="1"/>
      <c r="D19" s="1" t="s">
        <v>124</v>
      </c>
      <c r="E19" s="1">
        <f>D44</f>
        <v>2262524.7999999998</v>
      </c>
      <c r="F19" s="1"/>
      <c r="G19" s="1"/>
      <c r="H19" s="1"/>
      <c r="I19" s="1">
        <v>42</v>
      </c>
      <c r="J19" s="80"/>
    </row>
    <row r="20" spans="1:12" x14ac:dyDescent="0.25">
      <c r="A20" s="1" t="s">
        <v>287</v>
      </c>
      <c r="B20" s="1" t="s">
        <v>288</v>
      </c>
      <c r="C20" s="1">
        <v>10</v>
      </c>
      <c r="D20" s="1"/>
      <c r="E20" s="1">
        <v>10</v>
      </c>
      <c r="F20" s="1"/>
      <c r="G20" s="1"/>
      <c r="H20" s="1"/>
      <c r="I20" s="1">
        <v>42</v>
      </c>
      <c r="J20" s="80"/>
    </row>
    <row r="21" spans="1:12" x14ac:dyDescent="0.25">
      <c r="A21" s="1" t="s">
        <v>115</v>
      </c>
      <c r="B21" s="1" t="s">
        <v>109</v>
      </c>
      <c r="C21" s="1">
        <v>2.0499999999999998</v>
      </c>
      <c r="D21" s="1" t="s">
        <v>109</v>
      </c>
      <c r="E21" s="1">
        <v>2.0499999999999998</v>
      </c>
      <c r="F21" s="1"/>
      <c r="G21" s="1"/>
      <c r="H21" s="1" t="s">
        <v>116</v>
      </c>
      <c r="I21" s="1">
        <v>20</v>
      </c>
      <c r="J21" s="80"/>
      <c r="L21" s="74"/>
    </row>
    <row r="22" spans="1:12" x14ac:dyDescent="0.25">
      <c r="I22" s="66"/>
    </row>
    <row r="23" spans="1:12" x14ac:dyDescent="0.25">
      <c r="A23" s="21" t="s">
        <v>120</v>
      </c>
    </row>
    <row r="25" spans="1:12" x14ac:dyDescent="0.25">
      <c r="A25" s="12" t="s">
        <v>192</v>
      </c>
      <c r="B25" s="1"/>
      <c r="C25" s="1"/>
      <c r="D25" s="12" t="s">
        <v>303</v>
      </c>
      <c r="E25" s="12" t="s">
        <v>8</v>
      </c>
      <c r="F25" s="12" t="s">
        <v>193</v>
      </c>
      <c r="G25" s="12" t="s">
        <v>194</v>
      </c>
      <c r="H25" s="70" t="s">
        <v>8</v>
      </c>
    </row>
    <row r="26" spans="1:12" x14ac:dyDescent="0.25">
      <c r="A26" s="1" t="s">
        <v>127</v>
      </c>
      <c r="B26" s="1" t="s">
        <v>286</v>
      </c>
      <c r="C26" s="1">
        <v>2</v>
      </c>
      <c r="D26" s="1">
        <f>IF(B26="t",C26*1000,C26)*10</f>
        <v>20000</v>
      </c>
      <c r="E26" s="1">
        <v>42</v>
      </c>
      <c r="F26" s="1">
        <v>356000</v>
      </c>
      <c r="G26" s="1">
        <v>79800</v>
      </c>
      <c r="H26" s="1">
        <v>24</v>
      </c>
    </row>
    <row r="27" spans="1:12" x14ac:dyDescent="0.25">
      <c r="A27" s="1" t="s">
        <v>195</v>
      </c>
      <c r="B27" s="1" t="s">
        <v>286</v>
      </c>
      <c r="C27" s="1">
        <v>200</v>
      </c>
      <c r="D27" s="1">
        <f t="shared" ref="D27:D43" si="0">IF(B27="t",C27*1000,C27)*10</f>
        <v>2000000</v>
      </c>
      <c r="E27" s="1">
        <v>42</v>
      </c>
      <c r="F27" s="1">
        <v>22080000</v>
      </c>
      <c r="G27" s="1">
        <v>6280000</v>
      </c>
      <c r="H27" s="1">
        <v>24</v>
      </c>
    </row>
    <row r="28" spans="1:12" x14ac:dyDescent="0.25">
      <c r="A28" s="1" t="s">
        <v>196</v>
      </c>
      <c r="B28" s="1" t="s">
        <v>286</v>
      </c>
      <c r="C28" s="1">
        <v>19</v>
      </c>
      <c r="D28" s="1">
        <f t="shared" si="0"/>
        <v>190000</v>
      </c>
      <c r="E28" s="1">
        <v>42</v>
      </c>
      <c r="F28" s="1">
        <v>33535000</v>
      </c>
      <c r="G28" s="1">
        <v>758100</v>
      </c>
      <c r="H28" s="1">
        <v>24</v>
      </c>
    </row>
    <row r="29" spans="1:12" x14ac:dyDescent="0.25">
      <c r="A29" s="1" t="s">
        <v>125</v>
      </c>
      <c r="B29" s="1" t="s">
        <v>124</v>
      </c>
      <c r="C29" s="1">
        <v>450</v>
      </c>
      <c r="D29" s="1">
        <f t="shared" si="0"/>
        <v>4500</v>
      </c>
      <c r="E29" s="1">
        <v>42</v>
      </c>
      <c r="F29" s="1">
        <v>794250</v>
      </c>
      <c r="G29" s="1">
        <v>17955</v>
      </c>
      <c r="H29" s="1">
        <v>24</v>
      </c>
    </row>
    <row r="30" spans="1:12" x14ac:dyDescent="0.25">
      <c r="A30" s="1" t="s">
        <v>197</v>
      </c>
      <c r="B30" s="1" t="s">
        <v>124</v>
      </c>
      <c r="C30" s="1">
        <v>780</v>
      </c>
      <c r="D30" s="1">
        <f t="shared" si="0"/>
        <v>7800</v>
      </c>
      <c r="E30" s="1">
        <v>42</v>
      </c>
      <c r="F30" s="1">
        <v>174430.62</v>
      </c>
      <c r="G30" s="1">
        <v>25818</v>
      </c>
      <c r="H30" s="1">
        <v>24</v>
      </c>
    </row>
    <row r="31" spans="1:12" x14ac:dyDescent="0.25">
      <c r="A31" s="1" t="s">
        <v>198</v>
      </c>
      <c r="B31" s="1" t="s">
        <v>124</v>
      </c>
      <c r="C31" s="1">
        <v>78</v>
      </c>
      <c r="D31" s="1">
        <f t="shared" si="0"/>
        <v>780</v>
      </c>
      <c r="E31" s="1">
        <v>42</v>
      </c>
      <c r="F31" s="1">
        <v>65856.768119999993</v>
      </c>
      <c r="G31" s="1">
        <v>1813.8899999999999</v>
      </c>
      <c r="H31" s="1">
        <v>24</v>
      </c>
    </row>
    <row r="32" spans="1:12" x14ac:dyDescent="0.25">
      <c r="A32" s="1" t="s">
        <v>199</v>
      </c>
      <c r="B32" s="1" t="s">
        <v>124</v>
      </c>
      <c r="C32" s="1">
        <v>160</v>
      </c>
      <c r="D32" s="1">
        <f t="shared" si="0"/>
        <v>1600</v>
      </c>
      <c r="E32" s="1">
        <v>42</v>
      </c>
      <c r="F32" s="1">
        <v>120009.59999999999</v>
      </c>
      <c r="G32" s="1">
        <v>25600</v>
      </c>
      <c r="H32" s="1">
        <v>24</v>
      </c>
    </row>
    <row r="33" spans="1:8" x14ac:dyDescent="0.25">
      <c r="A33" s="1" t="s">
        <v>200</v>
      </c>
      <c r="B33" s="1" t="s">
        <v>124</v>
      </c>
      <c r="C33" s="1">
        <v>340</v>
      </c>
      <c r="D33" s="1">
        <f t="shared" si="0"/>
        <v>3400</v>
      </c>
      <c r="E33" s="1">
        <v>42</v>
      </c>
      <c r="F33" s="1">
        <v>153012.24</v>
      </c>
      <c r="G33" s="1">
        <v>25772</v>
      </c>
      <c r="H33" s="1">
        <v>24</v>
      </c>
    </row>
    <row r="34" spans="1:8" x14ac:dyDescent="0.25">
      <c r="A34" s="1" t="s">
        <v>201</v>
      </c>
      <c r="B34" s="1" t="s">
        <v>124</v>
      </c>
      <c r="C34" s="1">
        <v>260</v>
      </c>
      <c r="D34" s="1">
        <f t="shared" si="0"/>
        <v>2600</v>
      </c>
      <c r="E34" s="1">
        <v>42</v>
      </c>
      <c r="F34" s="1">
        <v>145286.62199999997</v>
      </c>
      <c r="G34" s="1">
        <v>19799</v>
      </c>
      <c r="H34" s="1">
        <v>24</v>
      </c>
    </row>
    <row r="35" spans="1:8" x14ac:dyDescent="0.25">
      <c r="A35" s="1" t="s">
        <v>202</v>
      </c>
      <c r="B35" s="1" t="s">
        <v>286</v>
      </c>
      <c r="C35" s="1">
        <v>1.3</v>
      </c>
      <c r="D35" s="1">
        <f t="shared" si="0"/>
        <v>13000</v>
      </c>
      <c r="E35" s="1">
        <v>42</v>
      </c>
      <c r="F35" s="1">
        <v>458647.8</v>
      </c>
      <c r="G35" s="1">
        <v>80470.000000000015</v>
      </c>
      <c r="H35" s="1">
        <v>24</v>
      </c>
    </row>
    <row r="36" spans="1:8" x14ac:dyDescent="0.25">
      <c r="A36" s="1" t="s">
        <v>203</v>
      </c>
      <c r="B36" s="1" t="s">
        <v>124</v>
      </c>
      <c r="C36" s="1">
        <v>49</v>
      </c>
      <c r="D36" s="1">
        <f t="shared" si="0"/>
        <v>490</v>
      </c>
      <c r="E36" s="1">
        <v>42</v>
      </c>
      <c r="F36" s="1">
        <v>13081.324199999999</v>
      </c>
      <c r="G36" s="1">
        <v>2298.1000000000004</v>
      </c>
      <c r="H36" s="1">
        <v>24</v>
      </c>
    </row>
    <row r="37" spans="1:8" x14ac:dyDescent="0.25">
      <c r="A37" s="1" t="s">
        <v>204</v>
      </c>
      <c r="B37" s="1" t="s">
        <v>124</v>
      </c>
      <c r="C37" s="1">
        <v>54</v>
      </c>
      <c r="D37" s="1">
        <f t="shared" si="0"/>
        <v>540</v>
      </c>
      <c r="E37" s="1">
        <v>42</v>
      </c>
      <c r="F37" s="1">
        <v>13351.067999999999</v>
      </c>
      <c r="G37" s="1">
        <v>2284.2000000000003</v>
      </c>
      <c r="H37" s="1">
        <v>24</v>
      </c>
    </row>
    <row r="38" spans="1:8" x14ac:dyDescent="0.25">
      <c r="A38" s="1" t="s">
        <v>205</v>
      </c>
      <c r="B38" s="1" t="s">
        <v>124</v>
      </c>
      <c r="C38" s="1">
        <v>88</v>
      </c>
      <c r="D38" s="1">
        <f t="shared" si="0"/>
        <v>880</v>
      </c>
      <c r="E38" s="1">
        <v>42</v>
      </c>
      <c r="F38" s="1">
        <v>14046.90144</v>
      </c>
      <c r="G38" s="1">
        <v>1573.616</v>
      </c>
      <c r="H38" s="1">
        <v>24</v>
      </c>
    </row>
    <row r="39" spans="1:8" x14ac:dyDescent="0.25">
      <c r="A39" s="1" t="s">
        <v>206</v>
      </c>
      <c r="B39" s="1" t="s">
        <v>124</v>
      </c>
      <c r="C39" s="1">
        <v>33</v>
      </c>
      <c r="D39" s="1">
        <f t="shared" si="0"/>
        <v>330</v>
      </c>
      <c r="E39" s="1">
        <v>42</v>
      </c>
      <c r="F39" s="1">
        <v>1112.92236</v>
      </c>
      <c r="G39" s="1">
        <v>643.5</v>
      </c>
      <c r="H39" s="1">
        <v>24</v>
      </c>
    </row>
    <row r="40" spans="1:8" x14ac:dyDescent="0.25">
      <c r="A40" s="1" t="s">
        <v>207</v>
      </c>
      <c r="B40" s="1" t="s">
        <v>124</v>
      </c>
      <c r="C40" s="1">
        <v>130</v>
      </c>
      <c r="D40" s="1">
        <f t="shared" si="0"/>
        <v>1300</v>
      </c>
      <c r="E40" s="1">
        <v>42</v>
      </c>
      <c r="F40" s="1">
        <v>4803.1620000000003</v>
      </c>
      <c r="G40" s="1">
        <v>552.5</v>
      </c>
      <c r="H40" s="1">
        <v>24</v>
      </c>
    </row>
    <row r="41" spans="1:8" x14ac:dyDescent="0.25">
      <c r="A41" s="1" t="s">
        <v>208</v>
      </c>
      <c r="B41" s="1" t="s">
        <v>124</v>
      </c>
      <c r="C41" s="1">
        <v>430</v>
      </c>
      <c r="D41" s="1">
        <f t="shared" si="0"/>
        <v>4300</v>
      </c>
      <c r="E41" s="1">
        <v>42</v>
      </c>
      <c r="F41" s="1">
        <v>61877.171999999991</v>
      </c>
      <c r="G41" s="1">
        <v>8256</v>
      </c>
      <c r="H41" s="1">
        <v>24</v>
      </c>
    </row>
    <row r="42" spans="1:8" x14ac:dyDescent="0.25">
      <c r="A42" s="1" t="s">
        <v>209</v>
      </c>
      <c r="B42" s="1" t="s">
        <v>124</v>
      </c>
      <c r="C42" s="1">
        <v>0.48</v>
      </c>
      <c r="D42" s="1">
        <f t="shared" si="0"/>
        <v>4.8</v>
      </c>
      <c r="E42" s="1">
        <v>42</v>
      </c>
      <c r="F42" s="1">
        <v>91.714003200000008</v>
      </c>
      <c r="G42" s="1">
        <v>7.15008</v>
      </c>
      <c r="H42" s="1">
        <v>24</v>
      </c>
    </row>
    <row r="43" spans="1:8" x14ac:dyDescent="0.25">
      <c r="A43" s="1" t="s">
        <v>210</v>
      </c>
      <c r="B43" s="1" t="s">
        <v>286</v>
      </c>
      <c r="C43" s="1">
        <v>1.1000000000000001</v>
      </c>
      <c r="D43" s="1">
        <f t="shared" si="0"/>
        <v>11000</v>
      </c>
      <c r="E43" s="1">
        <v>42</v>
      </c>
      <c r="F43" s="1">
        <v>1135382.49</v>
      </c>
      <c r="G43" s="1">
        <v>44550</v>
      </c>
      <c r="H43" s="1">
        <v>24</v>
      </c>
    </row>
    <row r="44" spans="1:8" x14ac:dyDescent="0.25">
      <c r="A44" s="1" t="s">
        <v>211</v>
      </c>
      <c r="B44" s="1"/>
      <c r="C44" s="1"/>
      <c r="D44" s="13">
        <f>SUM(D26:D43)</f>
        <v>2262524.7999999998</v>
      </c>
      <c r="E44" s="1"/>
      <c r="F44" s="13">
        <f>SUM(F26:F43)</f>
        <v>59126240.404123202</v>
      </c>
      <c r="G44" s="13">
        <f>SUM(G26:G43)</f>
        <v>7375292.9560799999</v>
      </c>
      <c r="H44" s="1"/>
    </row>
    <row r="45" spans="1:8" x14ac:dyDescent="0.25">
      <c r="D45" s="20"/>
    </row>
    <row r="47" spans="1:8" x14ac:dyDescent="0.25">
      <c r="A47" s="21" t="s">
        <v>137</v>
      </c>
    </row>
    <row r="49" spans="1:10" x14ac:dyDescent="0.25">
      <c r="A49" s="1"/>
      <c r="B49" s="1"/>
      <c r="C49" s="1"/>
      <c r="D49" s="1"/>
      <c r="E49" s="1"/>
      <c r="F49" s="1" t="s">
        <v>138</v>
      </c>
      <c r="G49" s="1" t="s">
        <v>139</v>
      </c>
      <c r="H49" s="1"/>
      <c r="I49" s="1" t="s">
        <v>25</v>
      </c>
    </row>
    <row r="50" spans="1:10" x14ac:dyDescent="0.25">
      <c r="A50" s="1" t="s">
        <v>140</v>
      </c>
      <c r="B50" s="1" t="s">
        <v>141</v>
      </c>
      <c r="C50" s="1">
        <v>2</v>
      </c>
      <c r="D50" s="1" t="s">
        <v>142</v>
      </c>
      <c r="E50" s="17">
        <v>2</v>
      </c>
      <c r="F50" s="16">
        <f>113.9*C50</f>
        <v>227.8</v>
      </c>
      <c r="G50" s="16">
        <f>29.9*2</f>
        <v>59.8</v>
      </c>
      <c r="H50" s="1" t="s">
        <v>143</v>
      </c>
      <c r="I50" s="1" t="s">
        <v>1128</v>
      </c>
    </row>
    <row r="51" spans="1:10" x14ac:dyDescent="0.25">
      <c r="A51" s="1" t="s">
        <v>144</v>
      </c>
      <c r="B51" s="1" t="s">
        <v>141</v>
      </c>
      <c r="C51" s="1">
        <v>2</v>
      </c>
      <c r="D51" s="1"/>
      <c r="E51" s="17">
        <v>2</v>
      </c>
      <c r="F51" s="16">
        <f>113.9*C51</f>
        <v>227.8</v>
      </c>
      <c r="G51" s="16">
        <f>29.9*2</f>
        <v>59.8</v>
      </c>
      <c r="H51" s="1" t="s">
        <v>145</v>
      </c>
      <c r="I51" s="1" t="s">
        <v>1128</v>
      </c>
    </row>
    <row r="52" spans="1:10" x14ac:dyDescent="0.25">
      <c r="A52" s="1" t="s">
        <v>146</v>
      </c>
      <c r="B52" s="1" t="s">
        <v>147</v>
      </c>
      <c r="C52" s="1">
        <v>200</v>
      </c>
      <c r="D52" s="1" t="s">
        <v>148</v>
      </c>
      <c r="E52" s="1"/>
      <c r="F52" s="17">
        <f>G52/0.2407</f>
        <v>116557.15629414209</v>
      </c>
      <c r="G52" s="17">
        <f>C52*62/1000*D44/1000</f>
        <v>28055.307519999998</v>
      </c>
      <c r="H52" s="1" t="s">
        <v>149</v>
      </c>
      <c r="I52" s="1" t="s">
        <v>1124</v>
      </c>
    </row>
    <row r="53" spans="1:10" x14ac:dyDescent="0.25">
      <c r="A53" s="1" t="s">
        <v>150</v>
      </c>
      <c r="B53" s="1" t="s">
        <v>147</v>
      </c>
      <c r="C53" s="1">
        <v>200</v>
      </c>
      <c r="D53" s="1" t="s">
        <v>148</v>
      </c>
      <c r="E53" s="1"/>
      <c r="F53" s="17">
        <f>G53/0.2407</f>
        <v>116557.15629414209</v>
      </c>
      <c r="G53" s="17">
        <f>C53*62/1000*D44/1000</f>
        <v>28055.307519999998</v>
      </c>
      <c r="H53" s="1" t="s">
        <v>151</v>
      </c>
      <c r="I53" s="1" t="s">
        <v>1124</v>
      </c>
    </row>
    <row r="56" spans="1:10" x14ac:dyDescent="0.25">
      <c r="A56" s="21" t="s">
        <v>87</v>
      </c>
    </row>
    <row r="58" spans="1:10" x14ac:dyDescent="0.25">
      <c r="A58" s="21" t="s">
        <v>152</v>
      </c>
      <c r="J58" s="66"/>
    </row>
    <row r="59" spans="1:10" x14ac:dyDescent="0.25">
      <c r="A59" s="1" t="s">
        <v>155</v>
      </c>
      <c r="B59" s="1" t="s">
        <v>156</v>
      </c>
      <c r="C59" s="19">
        <v>11</v>
      </c>
      <c r="D59" s="1"/>
      <c r="E59" s="1"/>
      <c r="F59" s="1"/>
      <c r="G59" s="1"/>
      <c r="H59" s="1" t="s">
        <v>275</v>
      </c>
      <c r="I59" s="81" t="s">
        <v>1125</v>
      </c>
    </row>
    <row r="60" spans="1:10" x14ac:dyDescent="0.25">
      <c r="A60" s="28" t="s">
        <v>157</v>
      </c>
      <c r="B60" s="1" t="s">
        <v>158</v>
      </c>
      <c r="C60" s="1"/>
      <c r="D60" s="1" t="s">
        <v>142</v>
      </c>
      <c r="E60" s="1"/>
      <c r="F60" s="16">
        <f>1.63*C59*18*2</f>
        <v>645.48</v>
      </c>
      <c r="G60" s="16">
        <f>0.404*C59*18*2</f>
        <v>159.98400000000001</v>
      </c>
      <c r="H60" s="1" t="s">
        <v>276</v>
      </c>
      <c r="I60" s="82" t="s">
        <v>1131</v>
      </c>
    </row>
    <row r="61" spans="1:10" x14ac:dyDescent="0.25">
      <c r="A61" s="28" t="s">
        <v>159</v>
      </c>
      <c r="B61" s="1" t="s">
        <v>160</v>
      </c>
      <c r="C61" s="1">
        <v>15.5</v>
      </c>
      <c r="D61" s="1" t="s">
        <v>164</v>
      </c>
      <c r="E61" s="1"/>
      <c r="F61" s="17">
        <f>G61/0.22</f>
        <v>34100</v>
      </c>
      <c r="G61" s="17">
        <f>C61*C59*44</f>
        <v>7502</v>
      </c>
      <c r="H61" s="1" t="s">
        <v>277</v>
      </c>
      <c r="I61" s="82" t="s">
        <v>1127</v>
      </c>
    </row>
    <row r="62" spans="1:10" x14ac:dyDescent="0.25">
      <c r="I62" s="23"/>
    </row>
    <row r="63" spans="1:10" x14ac:dyDescent="0.25">
      <c r="A63" s="29" t="s">
        <v>161</v>
      </c>
      <c r="I63" s="23"/>
      <c r="J63" s="66"/>
    </row>
    <row r="64" spans="1:10" x14ac:dyDescent="0.25">
      <c r="A64" s="1" t="s">
        <v>155</v>
      </c>
      <c r="B64" s="1" t="s">
        <v>156</v>
      </c>
      <c r="C64" s="19">
        <v>11</v>
      </c>
      <c r="D64" s="1"/>
      <c r="E64" s="1"/>
      <c r="F64" s="1"/>
      <c r="G64" s="1"/>
      <c r="H64" s="83" t="s">
        <v>275</v>
      </c>
      <c r="I64" s="81" t="s">
        <v>1125</v>
      </c>
    </row>
    <row r="65" spans="1:9" x14ac:dyDescent="0.25">
      <c r="A65" s="1" t="s">
        <v>162</v>
      </c>
      <c r="B65" s="1" t="s">
        <v>163</v>
      </c>
      <c r="C65" s="1">
        <v>15.5</v>
      </c>
      <c r="D65" s="1" t="s">
        <v>164</v>
      </c>
      <c r="E65" s="1"/>
      <c r="F65" s="17">
        <f>G65/0.22</f>
        <v>34100</v>
      </c>
      <c r="G65" s="17">
        <f>C65*C64*44</f>
        <v>7502</v>
      </c>
      <c r="H65" s="1" t="s">
        <v>277</v>
      </c>
      <c r="I65" s="78" t="s">
        <v>1127</v>
      </c>
    </row>
    <row r="67" spans="1:9" x14ac:dyDescent="0.25">
      <c r="A67" s="12" t="s">
        <v>268</v>
      </c>
      <c r="B67" s="1" t="s">
        <v>269</v>
      </c>
      <c r="C67" s="1" t="s">
        <v>8</v>
      </c>
    </row>
    <row r="68" spans="1:9" x14ac:dyDescent="0.25">
      <c r="A68" s="1" t="s">
        <v>270</v>
      </c>
      <c r="B68" s="1" t="s">
        <v>271</v>
      </c>
      <c r="C68" s="1">
        <v>33</v>
      </c>
    </row>
  </sheetData>
  <mergeCells count="11">
    <mergeCell ref="H3:H4"/>
    <mergeCell ref="I3:N3"/>
    <mergeCell ref="O3:T3"/>
    <mergeCell ref="A13:A14"/>
    <mergeCell ref="A3:A4"/>
    <mergeCell ref="B3:B4"/>
    <mergeCell ref="C3:C4"/>
    <mergeCell ref="D3:D4"/>
    <mergeCell ref="E3:E4"/>
    <mergeCell ref="F3:F4"/>
    <mergeCell ref="G3:G4"/>
  </mergeCells>
  <hyperlinks>
    <hyperlink ref="B1" location="'2'!A1" display="production methods" xr:uid="{8B66AC07-DDF4-44FC-B919-F6CD5BF77046}"/>
    <hyperlink ref="A1" location="Contents!A1" display="contents" xr:uid="{C58C21C4-4320-456F-87F7-87663F055C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757C-3022-4550-BC6B-24D534C464BE}">
  <dimension ref="A1:U75"/>
  <sheetViews>
    <sheetView workbookViewId="0">
      <selection activeCell="I55" sqref="I55:I58"/>
    </sheetView>
  </sheetViews>
  <sheetFormatPr defaultRowHeight="15" x14ac:dyDescent="0.25"/>
  <cols>
    <col min="1" max="1" width="28" bestFit="1" customWidth="1"/>
    <col min="2" max="2" width="17.85546875" bestFit="1" customWidth="1"/>
    <col min="5" max="5" width="26.28515625" bestFit="1" customWidth="1"/>
    <col min="7" max="7" width="10.7109375" bestFit="1" customWidth="1"/>
    <col min="9" max="9" width="10.7109375" bestFit="1" customWidth="1"/>
    <col min="13" max="13" width="9.7109375" bestFit="1" customWidth="1"/>
    <col min="15" max="15" width="10.7109375" bestFit="1" customWidth="1"/>
  </cols>
  <sheetData>
    <row r="1" spans="1:21" x14ac:dyDescent="0.25">
      <c r="A1" s="74" t="s">
        <v>322</v>
      </c>
      <c r="B1" s="74" t="s">
        <v>323</v>
      </c>
    </row>
    <row r="2" spans="1:21" x14ac:dyDescent="0.25">
      <c r="A2" s="74"/>
      <c r="B2" s="74"/>
    </row>
    <row r="3" spans="1:21" ht="60" x14ac:dyDescent="0.25">
      <c r="A3" s="337" t="s">
        <v>5</v>
      </c>
      <c r="B3" s="337" t="s">
        <v>7</v>
      </c>
      <c r="C3" s="337" t="s">
        <v>29</v>
      </c>
      <c r="D3" s="337" t="s">
        <v>30</v>
      </c>
      <c r="E3" s="337" t="s">
        <v>82</v>
      </c>
      <c r="F3" s="337" t="s">
        <v>32</v>
      </c>
      <c r="G3" s="337" t="s">
        <v>6</v>
      </c>
      <c r="H3" s="337" t="s">
        <v>83</v>
      </c>
      <c r="I3" s="338" t="s">
        <v>89</v>
      </c>
      <c r="J3" s="338"/>
      <c r="K3" s="338"/>
      <c r="L3" s="338"/>
      <c r="M3" s="338"/>
      <c r="N3" s="338"/>
      <c r="O3" s="339" t="s">
        <v>90</v>
      </c>
      <c r="P3" s="339"/>
      <c r="Q3" s="339"/>
      <c r="R3" s="339"/>
      <c r="S3" s="339"/>
      <c r="T3" s="339"/>
      <c r="U3" s="44" t="s">
        <v>46</v>
      </c>
    </row>
    <row r="4" spans="1:21" ht="30" x14ac:dyDescent="0.25">
      <c r="A4" s="337"/>
      <c r="B4" s="337"/>
      <c r="C4" s="337"/>
      <c r="D4" s="337"/>
      <c r="E4" s="337"/>
      <c r="F4" s="337"/>
      <c r="G4" s="337"/>
      <c r="H4" s="337"/>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68</v>
      </c>
      <c r="B5" s="13" t="s">
        <v>13</v>
      </c>
      <c r="C5" s="13">
        <f>E12</f>
        <v>508080</v>
      </c>
      <c r="D5" s="13">
        <f>E10</f>
        <v>0.9</v>
      </c>
      <c r="E5" s="13">
        <v>10</v>
      </c>
      <c r="F5" s="14">
        <f>E16</f>
        <v>0.95</v>
      </c>
      <c r="G5" s="13" t="s">
        <v>12</v>
      </c>
      <c r="H5" s="1" t="s">
        <v>69</v>
      </c>
      <c r="I5" s="1">
        <f>G44</f>
        <v>368764.64780400001</v>
      </c>
      <c r="J5" s="1">
        <f>G55+G56</f>
        <v>119.6</v>
      </c>
      <c r="K5" s="1">
        <f>G14+G16</f>
        <v>0</v>
      </c>
      <c r="L5" s="1">
        <v>0</v>
      </c>
      <c r="M5" s="1">
        <f>G66+G68</f>
        <v>16658.399999999998</v>
      </c>
      <c r="N5" s="1">
        <f>G65+G67</f>
        <v>320.83971830985917</v>
      </c>
      <c r="O5" s="1">
        <f>F44</f>
        <v>2956312.0202061599</v>
      </c>
      <c r="P5" s="1">
        <f>F55+F56</f>
        <v>455.6</v>
      </c>
      <c r="Q5" s="1">
        <f>F13+F15</f>
        <v>53.948900000000002</v>
      </c>
      <c r="R5" s="1">
        <v>0</v>
      </c>
      <c r="S5" s="1">
        <f>F68+F66</f>
        <v>64945.200000000004</v>
      </c>
      <c r="T5" s="1">
        <f>F65+F67</f>
        <v>1267.374647887324</v>
      </c>
      <c r="U5" s="1">
        <f>E21/100</f>
        <v>2.0499999999999997E-2</v>
      </c>
    </row>
    <row r="6" spans="1:21" x14ac:dyDescent="0.25">
      <c r="A6" s="1" t="s">
        <v>68</v>
      </c>
      <c r="B6" s="13" t="s">
        <v>13</v>
      </c>
      <c r="C6" s="13">
        <f>E12</f>
        <v>508080</v>
      </c>
      <c r="D6" s="13">
        <f>E10</f>
        <v>0.9</v>
      </c>
      <c r="E6" s="13">
        <v>10</v>
      </c>
      <c r="F6" s="14">
        <f>E16</f>
        <v>0.95</v>
      </c>
      <c r="G6" s="13" t="s">
        <v>16</v>
      </c>
      <c r="H6" s="1" t="s">
        <v>69</v>
      </c>
      <c r="I6" s="1">
        <f>G44+G57+G58</f>
        <v>371570.17855600006</v>
      </c>
      <c r="J6" s="1">
        <v>0</v>
      </c>
      <c r="K6" s="1">
        <f>G16+G15</f>
        <v>0</v>
      </c>
      <c r="L6" s="1">
        <v>0</v>
      </c>
      <c r="M6" s="1">
        <f>G72</f>
        <v>2046</v>
      </c>
      <c r="N6" s="1">
        <v>0</v>
      </c>
      <c r="O6" s="1">
        <f>F44+F57+F58</f>
        <v>2967967.7358355746</v>
      </c>
      <c r="P6" s="1">
        <v>0</v>
      </c>
      <c r="Q6" s="1">
        <f>F14+F15</f>
        <v>53.906500000000001</v>
      </c>
      <c r="R6" s="1">
        <v>0</v>
      </c>
      <c r="S6" s="1">
        <f>F72</f>
        <v>9300</v>
      </c>
      <c r="T6" s="1">
        <v>0</v>
      </c>
      <c r="U6" s="1">
        <f>E21/100</f>
        <v>2.0499999999999997E-2</v>
      </c>
    </row>
    <row r="9" spans="1:21" x14ac:dyDescent="0.25">
      <c r="A9" s="12" t="s">
        <v>91</v>
      </c>
      <c r="B9" s="12" t="s">
        <v>92</v>
      </c>
      <c r="C9" s="12" t="s">
        <v>93</v>
      </c>
      <c r="D9" s="12" t="s">
        <v>94</v>
      </c>
      <c r="E9" s="12" t="s">
        <v>93</v>
      </c>
      <c r="F9" s="12" t="s">
        <v>95</v>
      </c>
      <c r="G9" s="12" t="s">
        <v>96</v>
      </c>
      <c r="H9" s="12" t="s">
        <v>97</v>
      </c>
      <c r="I9" s="12" t="s">
        <v>8</v>
      </c>
      <c r="J9" s="12"/>
    </row>
    <row r="10" spans="1:21" x14ac:dyDescent="0.25">
      <c r="A10" s="1" t="s">
        <v>99</v>
      </c>
      <c r="B10" s="1"/>
      <c r="C10" s="1"/>
      <c r="D10" s="1"/>
      <c r="E10" s="1">
        <v>0.9</v>
      </c>
      <c r="F10" s="1"/>
      <c r="G10" s="1"/>
      <c r="H10" s="1" t="s">
        <v>100</v>
      </c>
      <c r="I10" s="1">
        <v>18</v>
      </c>
      <c r="J10" s="1"/>
    </row>
    <row r="11" spans="1:21" x14ac:dyDescent="0.25">
      <c r="A11" s="1" t="s">
        <v>101</v>
      </c>
      <c r="B11" s="1" t="s">
        <v>102</v>
      </c>
      <c r="C11" s="1">
        <v>3</v>
      </c>
      <c r="D11" s="1"/>
      <c r="E11" s="1"/>
      <c r="F11" s="1"/>
      <c r="G11" s="1"/>
      <c r="I11" s="1">
        <v>42</v>
      </c>
      <c r="J11" s="1"/>
    </row>
    <row r="12" spans="1:21" x14ac:dyDescent="0.25">
      <c r="A12" s="1" t="s">
        <v>103</v>
      </c>
      <c r="B12" s="1" t="s">
        <v>189</v>
      </c>
      <c r="C12" s="1">
        <f>116*0.5</f>
        <v>58</v>
      </c>
      <c r="D12" s="1" t="s">
        <v>260</v>
      </c>
      <c r="E12" s="13">
        <f>C12*24*365</f>
        <v>508080</v>
      </c>
      <c r="F12" s="1"/>
      <c r="G12" s="1"/>
      <c r="H12" s="1" t="s">
        <v>304</v>
      </c>
      <c r="I12" s="1">
        <v>42</v>
      </c>
      <c r="J12" s="1"/>
    </row>
    <row r="13" spans="1:21" x14ac:dyDescent="0.25">
      <c r="A13" s="334" t="s">
        <v>105</v>
      </c>
      <c r="B13" s="1" t="s">
        <v>302</v>
      </c>
      <c r="C13" s="1">
        <v>10</v>
      </c>
      <c r="D13" s="1" t="s">
        <v>107</v>
      </c>
      <c r="E13" s="1">
        <f>C13</f>
        <v>10</v>
      </c>
      <c r="F13" s="16">
        <f>4.89*E13/1000</f>
        <v>4.8899999999999999E-2</v>
      </c>
      <c r="G13" s="16">
        <v>0</v>
      </c>
      <c r="H13" s="1"/>
      <c r="I13" s="1">
        <v>25</v>
      </c>
      <c r="J13" s="1"/>
    </row>
    <row r="14" spans="1:21" x14ac:dyDescent="0.25">
      <c r="A14" s="334"/>
      <c r="B14" s="1"/>
      <c r="C14" s="1"/>
      <c r="D14" s="1"/>
      <c r="E14" s="1"/>
      <c r="F14" s="17">
        <f>0.65*E13/1000</f>
        <v>6.4999999999999997E-3</v>
      </c>
      <c r="G14" s="17">
        <v>0</v>
      </c>
      <c r="H14" s="1"/>
      <c r="I14" s="1">
        <v>26</v>
      </c>
      <c r="J14" s="1"/>
    </row>
    <row r="15" spans="1:21" x14ac:dyDescent="0.25">
      <c r="A15" s="1" t="s">
        <v>261</v>
      </c>
      <c r="B15" s="1" t="s">
        <v>190</v>
      </c>
      <c r="C15" s="1">
        <v>53.9</v>
      </c>
      <c r="D15" s="1" t="s">
        <v>262</v>
      </c>
      <c r="E15" s="1"/>
      <c r="F15" s="13">
        <f>C15</f>
        <v>53.9</v>
      </c>
      <c r="G15" s="13">
        <v>0</v>
      </c>
      <c r="H15" s="1"/>
      <c r="I15" s="1">
        <v>42</v>
      </c>
      <c r="J15" s="1"/>
    </row>
    <row r="16" spans="1:21" x14ac:dyDescent="0.25">
      <c r="A16" s="1" t="s">
        <v>32</v>
      </c>
      <c r="B16" s="1" t="s">
        <v>109</v>
      </c>
      <c r="C16" s="1"/>
      <c r="D16" s="1"/>
      <c r="E16" s="13">
        <v>0.95</v>
      </c>
      <c r="F16" s="1"/>
      <c r="G16" s="1"/>
      <c r="H16" s="18" t="s">
        <v>168</v>
      </c>
      <c r="I16" s="1">
        <v>20</v>
      </c>
      <c r="J16" s="1"/>
    </row>
    <row r="17" spans="1:12" x14ac:dyDescent="0.25">
      <c r="A17" s="1" t="s">
        <v>110</v>
      </c>
      <c r="B17" s="1" t="s">
        <v>111</v>
      </c>
      <c r="C17" s="1">
        <f>8300/20</f>
        <v>415</v>
      </c>
      <c r="D17" s="1"/>
      <c r="E17" s="1"/>
      <c r="F17" s="1"/>
      <c r="G17" s="1"/>
      <c r="H17" s="1" t="s">
        <v>191</v>
      </c>
      <c r="I17" s="1">
        <v>43</v>
      </c>
      <c r="J17" s="1"/>
    </row>
    <row r="18" spans="1:12" x14ac:dyDescent="0.25">
      <c r="A18" s="1" t="s">
        <v>112</v>
      </c>
      <c r="B18" s="1" t="s">
        <v>113</v>
      </c>
      <c r="C18" s="1">
        <v>33</v>
      </c>
      <c r="D18" s="1"/>
      <c r="E18" s="1"/>
      <c r="F18" s="1"/>
      <c r="G18" s="1"/>
      <c r="H18" s="1"/>
      <c r="I18" s="1">
        <v>42</v>
      </c>
      <c r="J18" s="1"/>
    </row>
    <row r="19" spans="1:12" x14ac:dyDescent="0.25">
      <c r="A19" s="1" t="s">
        <v>285</v>
      </c>
      <c r="B19" s="1" t="s">
        <v>286</v>
      </c>
      <c r="C19" s="1"/>
      <c r="D19" s="1" t="s">
        <v>124</v>
      </c>
      <c r="E19" s="1">
        <f>D44</f>
        <v>113126.24</v>
      </c>
      <c r="F19" s="1"/>
      <c r="G19" s="1"/>
      <c r="H19" s="1"/>
      <c r="I19" s="1">
        <v>42</v>
      </c>
      <c r="J19" s="1"/>
    </row>
    <row r="20" spans="1:12" x14ac:dyDescent="0.25">
      <c r="A20" s="1" t="s">
        <v>287</v>
      </c>
      <c r="B20" s="1" t="s">
        <v>288</v>
      </c>
      <c r="C20" s="1">
        <v>10</v>
      </c>
      <c r="D20" s="1"/>
      <c r="E20" s="1">
        <v>10</v>
      </c>
      <c r="F20" s="1"/>
      <c r="G20" s="1"/>
      <c r="H20" s="1"/>
      <c r="I20" s="1">
        <v>42</v>
      </c>
      <c r="J20" s="1"/>
    </row>
    <row r="21" spans="1:12" x14ac:dyDescent="0.25">
      <c r="A21" s="1" t="s">
        <v>115</v>
      </c>
      <c r="B21" s="1" t="s">
        <v>109</v>
      </c>
      <c r="C21" s="1">
        <v>2.0499999999999998</v>
      </c>
      <c r="D21" s="1" t="s">
        <v>109</v>
      </c>
      <c r="E21" s="1">
        <v>2.0499999999999998</v>
      </c>
      <c r="F21" s="1"/>
      <c r="G21" s="1"/>
      <c r="H21" s="1" t="s">
        <v>116</v>
      </c>
      <c r="I21" s="1">
        <v>20</v>
      </c>
      <c r="J21" s="1"/>
      <c r="L21" s="74"/>
    </row>
    <row r="23" spans="1:12" x14ac:dyDescent="0.25">
      <c r="A23" s="21" t="s">
        <v>213</v>
      </c>
    </row>
    <row r="24" spans="1:12" x14ac:dyDescent="0.25">
      <c r="E24" s="340"/>
      <c r="F24" s="340"/>
      <c r="G24" s="340"/>
      <c r="H24" s="340"/>
    </row>
    <row r="25" spans="1:12" x14ac:dyDescent="0.25">
      <c r="A25" s="12" t="s">
        <v>192</v>
      </c>
      <c r="B25" s="1"/>
      <c r="C25" s="1"/>
      <c r="D25" s="12" t="s">
        <v>305</v>
      </c>
      <c r="E25" s="12"/>
      <c r="F25" s="12" t="s">
        <v>214</v>
      </c>
      <c r="G25" s="12" t="s">
        <v>215</v>
      </c>
    </row>
    <row r="26" spans="1:12" x14ac:dyDescent="0.25">
      <c r="A26" s="1" t="s">
        <v>127</v>
      </c>
      <c r="B26" s="1" t="s">
        <v>286</v>
      </c>
      <c r="C26" s="1">
        <v>2</v>
      </c>
      <c r="D26" s="1">
        <f>IF(B26="t",C26*1000,C26)*0.5</f>
        <v>1000</v>
      </c>
      <c r="E26" s="1">
        <v>42</v>
      </c>
      <c r="F26" s="1">
        <v>17800</v>
      </c>
      <c r="G26" s="1">
        <v>3990</v>
      </c>
      <c r="H26" s="1">
        <v>24</v>
      </c>
    </row>
    <row r="27" spans="1:12" x14ac:dyDescent="0.25">
      <c r="A27" s="1" t="s">
        <v>195</v>
      </c>
      <c r="B27" s="1" t="s">
        <v>286</v>
      </c>
      <c r="C27" s="1">
        <v>200</v>
      </c>
      <c r="D27" s="1">
        <f t="shared" ref="D27:D43" si="0">IF(B27="t",C27*1000,C27)*0.5</f>
        <v>100000</v>
      </c>
      <c r="E27" s="1">
        <v>42</v>
      </c>
      <c r="F27" s="1">
        <v>1104000</v>
      </c>
      <c r="G27" s="1">
        <v>314000</v>
      </c>
      <c r="H27" s="1">
        <v>24</v>
      </c>
    </row>
    <row r="28" spans="1:12" x14ac:dyDescent="0.25">
      <c r="A28" s="1" t="s">
        <v>196</v>
      </c>
      <c r="B28" s="1" t="s">
        <v>286</v>
      </c>
      <c r="C28" s="1">
        <v>19</v>
      </c>
      <c r="D28" s="1">
        <f t="shared" si="0"/>
        <v>9500</v>
      </c>
      <c r="E28" s="1">
        <v>42</v>
      </c>
      <c r="F28" s="1">
        <v>1676750</v>
      </c>
      <c r="G28" s="1">
        <v>37905</v>
      </c>
      <c r="H28" s="1">
        <v>24</v>
      </c>
    </row>
    <row r="29" spans="1:12" x14ac:dyDescent="0.25">
      <c r="A29" s="1" t="s">
        <v>125</v>
      </c>
      <c r="B29" s="1" t="s">
        <v>124</v>
      </c>
      <c r="C29" s="1">
        <v>450</v>
      </c>
      <c r="D29" s="1">
        <f t="shared" si="0"/>
        <v>225</v>
      </c>
      <c r="E29" s="1">
        <v>42</v>
      </c>
      <c r="F29" s="1">
        <v>39712.5</v>
      </c>
      <c r="G29" s="1">
        <v>897.75</v>
      </c>
      <c r="H29" s="1">
        <v>24</v>
      </c>
    </row>
    <row r="30" spans="1:12" x14ac:dyDescent="0.25">
      <c r="A30" s="1" t="s">
        <v>197</v>
      </c>
      <c r="B30" s="1" t="s">
        <v>124</v>
      </c>
      <c r="C30" s="1">
        <v>780</v>
      </c>
      <c r="D30" s="1">
        <f t="shared" si="0"/>
        <v>390</v>
      </c>
      <c r="E30" s="1">
        <v>42</v>
      </c>
      <c r="F30" s="1">
        <v>8721.530999999999</v>
      </c>
      <c r="G30" s="1">
        <v>1290.9000000000001</v>
      </c>
      <c r="H30" s="1">
        <v>24</v>
      </c>
    </row>
    <row r="31" spans="1:12" x14ac:dyDescent="0.25">
      <c r="A31" s="1" t="s">
        <v>198</v>
      </c>
      <c r="B31" s="1" t="s">
        <v>124</v>
      </c>
      <c r="C31" s="1">
        <v>78</v>
      </c>
      <c r="D31" s="1">
        <f t="shared" si="0"/>
        <v>39</v>
      </c>
      <c r="E31" s="1">
        <v>42</v>
      </c>
      <c r="F31" s="1">
        <v>3292.8384059999998</v>
      </c>
      <c r="G31" s="1">
        <v>90.694499999999991</v>
      </c>
      <c r="H31" s="1">
        <v>24</v>
      </c>
    </row>
    <row r="32" spans="1:12" x14ac:dyDescent="0.25">
      <c r="A32" s="1" t="s">
        <v>199</v>
      </c>
      <c r="B32" s="1" t="s">
        <v>124</v>
      </c>
      <c r="C32" s="1">
        <v>160</v>
      </c>
      <c r="D32" s="1">
        <f t="shared" si="0"/>
        <v>80</v>
      </c>
      <c r="E32" s="1">
        <v>42</v>
      </c>
      <c r="F32" s="1">
        <v>6000.48</v>
      </c>
      <c r="G32" s="1">
        <v>1280</v>
      </c>
      <c r="H32" s="1">
        <v>24</v>
      </c>
    </row>
    <row r="33" spans="1:18" x14ac:dyDescent="0.25">
      <c r="A33" s="1" t="s">
        <v>200</v>
      </c>
      <c r="B33" s="1" t="s">
        <v>124</v>
      </c>
      <c r="C33" s="1">
        <v>340</v>
      </c>
      <c r="D33" s="1">
        <f t="shared" si="0"/>
        <v>170</v>
      </c>
      <c r="E33" s="1">
        <v>42</v>
      </c>
      <c r="F33" s="1">
        <v>7650.6120000000001</v>
      </c>
      <c r="G33" s="1">
        <v>1288.5999999999999</v>
      </c>
      <c r="H33" s="1">
        <v>24</v>
      </c>
    </row>
    <row r="34" spans="1:18" x14ac:dyDescent="0.25">
      <c r="A34" s="1" t="s">
        <v>201</v>
      </c>
      <c r="B34" s="1" t="s">
        <v>124</v>
      </c>
      <c r="C34" s="1">
        <v>260</v>
      </c>
      <c r="D34" s="1">
        <f t="shared" si="0"/>
        <v>130</v>
      </c>
      <c r="E34" s="1">
        <v>42</v>
      </c>
      <c r="F34" s="1">
        <v>7264.3310999999994</v>
      </c>
      <c r="G34" s="1">
        <v>989.95</v>
      </c>
      <c r="H34" s="1">
        <v>24</v>
      </c>
    </row>
    <row r="35" spans="1:18" x14ac:dyDescent="0.25">
      <c r="A35" s="1" t="s">
        <v>202</v>
      </c>
      <c r="B35" s="1" t="s">
        <v>286</v>
      </c>
      <c r="C35" s="1">
        <v>1.3</v>
      </c>
      <c r="D35" s="1">
        <f t="shared" si="0"/>
        <v>650</v>
      </c>
      <c r="E35" s="1">
        <v>42</v>
      </c>
      <c r="F35" s="1">
        <v>22932.39</v>
      </c>
      <c r="G35" s="1">
        <v>4023.5000000000005</v>
      </c>
      <c r="H35" s="1">
        <v>24</v>
      </c>
      <c r="N35" s="84"/>
      <c r="O35" s="84"/>
      <c r="P35" s="84"/>
      <c r="Q35" s="84"/>
      <c r="R35" s="84"/>
    </row>
    <row r="36" spans="1:18" x14ac:dyDescent="0.25">
      <c r="A36" s="1" t="s">
        <v>203</v>
      </c>
      <c r="B36" s="1" t="s">
        <v>124</v>
      </c>
      <c r="C36" s="1">
        <v>49</v>
      </c>
      <c r="D36" s="1">
        <f t="shared" si="0"/>
        <v>24.5</v>
      </c>
      <c r="E36" s="1">
        <v>42</v>
      </c>
      <c r="F36" s="1">
        <v>654.06620999999996</v>
      </c>
      <c r="G36" s="1">
        <v>114.90500000000002</v>
      </c>
      <c r="H36" s="1">
        <v>24</v>
      </c>
    </row>
    <row r="37" spans="1:18" x14ac:dyDescent="0.25">
      <c r="A37" s="1" t="s">
        <v>204</v>
      </c>
      <c r="B37" s="1" t="s">
        <v>124</v>
      </c>
      <c r="C37" s="1">
        <v>54</v>
      </c>
      <c r="D37" s="1">
        <f t="shared" si="0"/>
        <v>27</v>
      </c>
      <c r="E37" s="1">
        <v>42</v>
      </c>
      <c r="F37" s="1">
        <v>667.55340000000001</v>
      </c>
      <c r="G37" s="1">
        <v>114.21000000000001</v>
      </c>
      <c r="H37" s="1">
        <v>24</v>
      </c>
    </row>
    <row r="38" spans="1:18" x14ac:dyDescent="0.25">
      <c r="A38" s="1" t="s">
        <v>205</v>
      </c>
      <c r="B38" s="1" t="s">
        <v>124</v>
      </c>
      <c r="C38" s="1">
        <v>88</v>
      </c>
      <c r="D38" s="1">
        <f t="shared" si="0"/>
        <v>44</v>
      </c>
      <c r="E38" s="1">
        <v>42</v>
      </c>
      <c r="F38" s="1">
        <v>702.34507199999996</v>
      </c>
      <c r="G38" s="1">
        <v>78.680800000000005</v>
      </c>
      <c r="H38" s="1">
        <v>24</v>
      </c>
    </row>
    <row r="39" spans="1:18" x14ac:dyDescent="0.25">
      <c r="A39" s="1" t="s">
        <v>206</v>
      </c>
      <c r="B39" s="1" t="s">
        <v>124</v>
      </c>
      <c r="C39" s="1">
        <v>33</v>
      </c>
      <c r="D39" s="1">
        <f t="shared" si="0"/>
        <v>16.5</v>
      </c>
      <c r="E39" s="1">
        <v>42</v>
      </c>
      <c r="F39" s="1">
        <v>55.646118000000001</v>
      </c>
      <c r="G39" s="1">
        <v>32.174999999999997</v>
      </c>
      <c r="H39" s="1">
        <v>24</v>
      </c>
    </row>
    <row r="40" spans="1:18" x14ac:dyDescent="0.25">
      <c r="A40" s="1" t="s">
        <v>207</v>
      </c>
      <c r="B40" s="1" t="s">
        <v>124</v>
      </c>
      <c r="C40" s="1">
        <v>130</v>
      </c>
      <c r="D40" s="1">
        <f t="shared" si="0"/>
        <v>65</v>
      </c>
      <c r="E40" s="1">
        <v>42</v>
      </c>
      <c r="F40" s="1">
        <v>240.15809999999999</v>
      </c>
      <c r="G40" s="1">
        <v>27.625</v>
      </c>
      <c r="H40" s="1">
        <v>24</v>
      </c>
    </row>
    <row r="41" spans="1:18" x14ac:dyDescent="0.25">
      <c r="A41" s="1" t="s">
        <v>208</v>
      </c>
      <c r="B41" s="1" t="s">
        <v>124</v>
      </c>
      <c r="C41" s="1">
        <v>430</v>
      </c>
      <c r="D41" s="1">
        <f t="shared" si="0"/>
        <v>215</v>
      </c>
      <c r="E41" s="1">
        <v>42</v>
      </c>
      <c r="F41" s="1">
        <v>3093.8585999999996</v>
      </c>
      <c r="G41" s="1">
        <v>412.8</v>
      </c>
      <c r="H41" s="1">
        <v>24</v>
      </c>
    </row>
    <row r="42" spans="1:18" x14ac:dyDescent="0.25">
      <c r="A42" s="1" t="s">
        <v>209</v>
      </c>
      <c r="B42" s="1" t="s">
        <v>124</v>
      </c>
      <c r="C42" s="1">
        <v>0.48</v>
      </c>
      <c r="D42" s="1">
        <f t="shared" si="0"/>
        <v>0.24</v>
      </c>
      <c r="E42" s="1">
        <v>42</v>
      </c>
      <c r="F42" s="1">
        <v>4.58570016</v>
      </c>
      <c r="G42" s="1">
        <v>0.35750399999999999</v>
      </c>
      <c r="H42" s="1">
        <v>24</v>
      </c>
    </row>
    <row r="43" spans="1:18" x14ac:dyDescent="0.25">
      <c r="A43" s="1" t="s">
        <v>210</v>
      </c>
      <c r="B43" s="1" t="s">
        <v>286</v>
      </c>
      <c r="C43" s="1">
        <v>1.1000000000000001</v>
      </c>
      <c r="D43" s="1">
        <f t="shared" si="0"/>
        <v>550</v>
      </c>
      <c r="E43" s="1">
        <v>42</v>
      </c>
      <c r="F43" s="1">
        <v>56769.124499999998</v>
      </c>
      <c r="G43" s="1">
        <v>2227.5</v>
      </c>
      <c r="H43" s="1">
        <v>24</v>
      </c>
    </row>
    <row r="44" spans="1:18" x14ac:dyDescent="0.25">
      <c r="A44" s="1" t="s">
        <v>216</v>
      </c>
      <c r="B44" s="1" t="s">
        <v>286</v>
      </c>
      <c r="C44" s="1"/>
      <c r="D44" s="19">
        <f>SUM(D26:D43)</f>
        <v>113126.24</v>
      </c>
      <c r="E44" s="1"/>
      <c r="F44" s="13">
        <f>SUM(F26:F43)</f>
        <v>2956312.0202061599</v>
      </c>
      <c r="G44" s="13">
        <f>SUM(G26:G43)</f>
        <v>368764.64780400001</v>
      </c>
    </row>
    <row r="46" spans="1:18" x14ac:dyDescent="0.25">
      <c r="A46" s="21" t="s">
        <v>176</v>
      </c>
      <c r="C46" s="327"/>
      <c r="D46" s="327"/>
      <c r="E46" s="327"/>
    </row>
    <row r="47" spans="1:18" x14ac:dyDescent="0.25">
      <c r="I47" s="1" t="s">
        <v>25</v>
      </c>
    </row>
    <row r="48" spans="1:18" x14ac:dyDescent="0.25">
      <c r="A48" s="1" t="s">
        <v>177</v>
      </c>
      <c r="B48" s="1" t="s">
        <v>147</v>
      </c>
      <c r="C48" s="19">
        <f>140/84</f>
        <v>1.6666666666666667</v>
      </c>
      <c r="D48" s="1"/>
      <c r="E48" s="1"/>
      <c r="F48" s="1"/>
      <c r="G48" s="1"/>
      <c r="H48" s="1" t="s">
        <v>178</v>
      </c>
      <c r="I48" s="71">
        <v>38</v>
      </c>
    </row>
    <row r="49" spans="1:9" x14ac:dyDescent="0.25">
      <c r="A49" s="1" t="s">
        <v>179</v>
      </c>
      <c r="B49" s="1" t="s">
        <v>180</v>
      </c>
      <c r="C49" s="1">
        <v>4</v>
      </c>
      <c r="D49" s="1" t="s">
        <v>181</v>
      </c>
      <c r="E49" s="1">
        <f>C49*25.4</f>
        <v>101.6</v>
      </c>
      <c r="F49" s="1"/>
      <c r="G49" s="1"/>
      <c r="H49" s="1" t="s">
        <v>298</v>
      </c>
      <c r="I49" s="71">
        <v>39</v>
      </c>
    </row>
    <row r="50" spans="1:9" x14ac:dyDescent="0.25">
      <c r="A50" s="1" t="s">
        <v>182</v>
      </c>
      <c r="B50" s="1" t="s">
        <v>183</v>
      </c>
      <c r="C50" s="19">
        <v>16.033000000000001</v>
      </c>
      <c r="D50" s="1" t="s">
        <v>124</v>
      </c>
      <c r="E50" s="1">
        <f>C50*1000*C48</f>
        <v>26721.666666666672</v>
      </c>
      <c r="F50" s="16">
        <f>E50*34.1</f>
        <v>911208.83333333349</v>
      </c>
      <c r="G50" s="16">
        <f>E50*9.2</f>
        <v>245839.33333333337</v>
      </c>
      <c r="H50" s="1" t="s">
        <v>299</v>
      </c>
      <c r="I50" s="71">
        <v>40</v>
      </c>
    </row>
    <row r="52" spans="1:9" x14ac:dyDescent="0.25">
      <c r="A52" s="21" t="s">
        <v>137</v>
      </c>
    </row>
    <row r="53" spans="1:9" x14ac:dyDescent="0.25">
      <c r="A53" s="21"/>
    </row>
    <row r="54" spans="1:9" x14ac:dyDescent="0.25">
      <c r="A54" s="1"/>
      <c r="B54" s="1"/>
      <c r="C54" s="1"/>
      <c r="D54" s="1"/>
      <c r="E54" s="1"/>
      <c r="F54" s="1" t="s">
        <v>138</v>
      </c>
      <c r="G54" s="1" t="s">
        <v>139</v>
      </c>
      <c r="H54" s="1"/>
      <c r="I54" s="1" t="s">
        <v>25</v>
      </c>
    </row>
    <row r="55" spans="1:9" x14ac:dyDescent="0.25">
      <c r="A55" s="1" t="s">
        <v>140</v>
      </c>
      <c r="B55" s="1" t="s">
        <v>141</v>
      </c>
      <c r="C55" s="1">
        <v>2</v>
      </c>
      <c r="D55" s="1" t="s">
        <v>142</v>
      </c>
      <c r="E55" s="17">
        <v>2</v>
      </c>
      <c r="F55" s="16">
        <f>113.9*C55</f>
        <v>227.8</v>
      </c>
      <c r="G55" s="16">
        <f>29.9*2</f>
        <v>59.8</v>
      </c>
      <c r="H55" s="1" t="s">
        <v>279</v>
      </c>
      <c r="I55" s="1" t="s">
        <v>1128</v>
      </c>
    </row>
    <row r="56" spans="1:9" x14ac:dyDescent="0.25">
      <c r="A56" s="1" t="s">
        <v>144</v>
      </c>
      <c r="B56" s="1" t="s">
        <v>141</v>
      </c>
      <c r="C56" s="1">
        <v>2</v>
      </c>
      <c r="D56" s="1"/>
      <c r="E56" s="17">
        <v>2</v>
      </c>
      <c r="F56" s="16">
        <f>113.9*C56</f>
        <v>227.8</v>
      </c>
      <c r="G56" s="16">
        <f>29.9*2</f>
        <v>59.8</v>
      </c>
      <c r="H56" s="1" t="s">
        <v>145</v>
      </c>
      <c r="I56" s="1" t="s">
        <v>1128</v>
      </c>
    </row>
    <row r="57" spans="1:9" x14ac:dyDescent="0.25">
      <c r="A57" s="1" t="s">
        <v>146</v>
      </c>
      <c r="B57" s="1" t="s">
        <v>147</v>
      </c>
      <c r="C57" s="1">
        <v>200</v>
      </c>
      <c r="D57" s="1" t="s">
        <v>148</v>
      </c>
      <c r="E57" s="1"/>
      <c r="F57" s="17">
        <f>G57/0.2407</f>
        <v>5827.8578147071048</v>
      </c>
      <c r="G57" s="17">
        <f>C57*62/1000*D44/1000</f>
        <v>1402.7653760000001</v>
      </c>
      <c r="H57" s="1" t="s">
        <v>280</v>
      </c>
      <c r="I57" s="1" t="s">
        <v>1124</v>
      </c>
    </row>
    <row r="58" spans="1:9" x14ac:dyDescent="0.25">
      <c r="A58" s="1" t="s">
        <v>150</v>
      </c>
      <c r="B58" s="1" t="s">
        <v>147</v>
      </c>
      <c r="C58" s="1">
        <v>200</v>
      </c>
      <c r="D58" s="1" t="s">
        <v>148</v>
      </c>
      <c r="E58" s="1"/>
      <c r="F58" s="17">
        <f>G58/0.2407</f>
        <v>5827.8578147071048</v>
      </c>
      <c r="G58" s="17">
        <f>C58*62/1000*D44/1000</f>
        <v>1402.7653760000001</v>
      </c>
      <c r="H58" s="1" t="s">
        <v>280</v>
      </c>
      <c r="I58" s="1" t="s">
        <v>1124</v>
      </c>
    </row>
    <row r="61" spans="1:9" x14ac:dyDescent="0.25">
      <c r="A61" s="21" t="s">
        <v>87</v>
      </c>
    </row>
    <row r="63" spans="1:9" x14ac:dyDescent="0.25">
      <c r="A63" s="21" t="s">
        <v>152</v>
      </c>
      <c r="I63" s="1" t="s">
        <v>25</v>
      </c>
    </row>
    <row r="64" spans="1:9" x14ac:dyDescent="0.25">
      <c r="A64" s="1" t="s">
        <v>155</v>
      </c>
      <c r="B64" s="1" t="s">
        <v>156</v>
      </c>
      <c r="C64" s="19">
        <v>3</v>
      </c>
      <c r="D64" s="1"/>
      <c r="E64" s="1"/>
      <c r="F64" s="1"/>
      <c r="G64" s="1"/>
      <c r="H64" s="71" t="s">
        <v>275</v>
      </c>
      <c r="I64" s="22" t="s">
        <v>1132</v>
      </c>
    </row>
    <row r="65" spans="1:9" x14ac:dyDescent="0.25">
      <c r="A65" s="1" t="s">
        <v>184</v>
      </c>
      <c r="B65" s="1" t="s">
        <v>185</v>
      </c>
      <c r="C65" s="19">
        <f>320/42.6</f>
        <v>7.511737089201878</v>
      </c>
      <c r="D65" s="1" t="s">
        <v>142</v>
      </c>
      <c r="E65" s="1"/>
      <c r="F65" s="39">
        <f>C65*11.89*2*6</f>
        <v>1071.7746478873241</v>
      </c>
      <c r="G65" s="39">
        <f>C65*3.122*2*6</f>
        <v>281.41971830985915</v>
      </c>
      <c r="H65" s="71" t="s">
        <v>291</v>
      </c>
      <c r="I65" s="22">
        <v>41</v>
      </c>
    </row>
    <row r="66" spans="1:9" x14ac:dyDescent="0.25">
      <c r="A66" s="1" t="s">
        <v>184</v>
      </c>
      <c r="B66" s="1"/>
      <c r="C66" s="1"/>
      <c r="D66" s="32" t="s">
        <v>165</v>
      </c>
      <c r="E66" s="32"/>
      <c r="F66" s="77">
        <f>130*6*11.89*6</f>
        <v>55645.200000000004</v>
      </c>
      <c r="G66" s="77">
        <f>405.9*6*6</f>
        <v>14612.399999999998</v>
      </c>
      <c r="H66" t="s">
        <v>292</v>
      </c>
      <c r="I66" s="22" t="s">
        <v>1133</v>
      </c>
    </row>
    <row r="67" spans="1:9" x14ac:dyDescent="0.25">
      <c r="A67" s="1" t="s">
        <v>186</v>
      </c>
      <c r="B67" s="1" t="s">
        <v>158</v>
      </c>
      <c r="C67" s="1">
        <v>0.54749999999999999</v>
      </c>
      <c r="D67" s="1" t="s">
        <v>142</v>
      </c>
      <c r="E67" s="1"/>
      <c r="F67" s="39">
        <f>1.63*(C64+2)*6*4</f>
        <v>195.59999999999997</v>
      </c>
      <c r="G67" s="39">
        <f>C67*3*6*4</f>
        <v>39.42</v>
      </c>
      <c r="H67" s="71" t="s">
        <v>300</v>
      </c>
      <c r="I67" s="22" t="s">
        <v>1130</v>
      </c>
    </row>
    <row r="68" spans="1:9" x14ac:dyDescent="0.25">
      <c r="A68" s="28" t="s">
        <v>187</v>
      </c>
      <c r="B68" s="1" t="s">
        <v>160</v>
      </c>
      <c r="C68" s="1">
        <v>15.5</v>
      </c>
      <c r="D68" s="1" t="s">
        <v>164</v>
      </c>
      <c r="E68" s="1"/>
      <c r="F68" s="17">
        <f>G68/0.22</f>
        <v>9300</v>
      </c>
      <c r="G68" s="17">
        <f>C68*C64*44</f>
        <v>2046</v>
      </c>
      <c r="H68" s="71" t="s">
        <v>277</v>
      </c>
      <c r="I68" s="22" t="s">
        <v>1127</v>
      </c>
    </row>
    <row r="69" spans="1:9" x14ac:dyDescent="0.25">
      <c r="I69" s="22"/>
    </row>
    <row r="70" spans="1:9" x14ac:dyDescent="0.25">
      <c r="A70" s="29" t="s">
        <v>161</v>
      </c>
      <c r="H70" s="1"/>
      <c r="I70" s="22" t="s">
        <v>25</v>
      </c>
    </row>
    <row r="71" spans="1:9" x14ac:dyDescent="0.25">
      <c r="A71" s="1" t="s">
        <v>155</v>
      </c>
      <c r="B71" s="1" t="s">
        <v>156</v>
      </c>
      <c r="C71" s="19">
        <v>3</v>
      </c>
      <c r="D71" s="1"/>
      <c r="E71" s="1"/>
      <c r="F71" s="1"/>
      <c r="G71" s="1"/>
      <c r="H71" s="1" t="s">
        <v>275</v>
      </c>
      <c r="I71" s="22" t="s">
        <v>1134</v>
      </c>
    </row>
    <row r="72" spans="1:9" x14ac:dyDescent="0.25">
      <c r="A72" s="1" t="s">
        <v>162</v>
      </c>
      <c r="B72" s="1" t="s">
        <v>163</v>
      </c>
      <c r="C72" s="1">
        <v>15.5</v>
      </c>
      <c r="D72" s="1" t="s">
        <v>164</v>
      </c>
      <c r="E72" s="1"/>
      <c r="F72" s="17">
        <f>G72/0.22</f>
        <v>9300</v>
      </c>
      <c r="G72" s="17">
        <f>C72*C71*44</f>
        <v>2046</v>
      </c>
      <c r="H72" s="1" t="s">
        <v>277</v>
      </c>
      <c r="I72" s="22" t="s">
        <v>1127</v>
      </c>
    </row>
    <row r="74" spans="1:9" x14ac:dyDescent="0.25">
      <c r="A74" s="12" t="s">
        <v>268</v>
      </c>
      <c r="B74" s="1" t="s">
        <v>269</v>
      </c>
      <c r="C74" s="1" t="s">
        <v>8</v>
      </c>
    </row>
    <row r="75" spans="1:9" x14ac:dyDescent="0.25">
      <c r="A75" s="1" t="s">
        <v>270</v>
      </c>
      <c r="B75" s="1" t="s">
        <v>271</v>
      </c>
      <c r="C75" s="1">
        <v>33</v>
      </c>
    </row>
  </sheetData>
  <mergeCells count="14">
    <mergeCell ref="O3:T3"/>
    <mergeCell ref="A13:A14"/>
    <mergeCell ref="E24:F24"/>
    <mergeCell ref="G24:H24"/>
    <mergeCell ref="C46:E46"/>
    <mergeCell ref="A3:A4"/>
    <mergeCell ref="B3:B4"/>
    <mergeCell ref="C3:C4"/>
    <mergeCell ref="D3:D4"/>
    <mergeCell ref="E3:E4"/>
    <mergeCell ref="F3:F4"/>
    <mergeCell ref="G3:G4"/>
    <mergeCell ref="H3:H4"/>
    <mergeCell ref="I3:N3"/>
  </mergeCells>
  <hyperlinks>
    <hyperlink ref="B1" location="'2'!A1" display="production methods" xr:uid="{35B606A6-CD0F-41CE-94AF-4B888961E2D1}"/>
    <hyperlink ref="A1" location="Contents!A1" display="contents" xr:uid="{0628C1EA-8CA4-48DE-822A-E93A7A8AA3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D179-EFF2-4015-A624-7013A6573B81}">
  <dimension ref="A1:U70"/>
  <sheetViews>
    <sheetView topLeftCell="A49" workbookViewId="0">
      <selection activeCell="A69" sqref="A69:C70"/>
    </sheetView>
  </sheetViews>
  <sheetFormatPr defaultRowHeight="15" x14ac:dyDescent="0.25"/>
  <cols>
    <col min="1" max="1" width="38.140625" bestFit="1" customWidth="1"/>
    <col min="3" max="3" width="10" bestFit="1" customWidth="1"/>
    <col min="4" max="6" width="9.28515625" bestFit="1" customWidth="1"/>
    <col min="9" max="21" width="9.28515625" bestFit="1" customWidth="1"/>
  </cols>
  <sheetData>
    <row r="1" spans="1:21" x14ac:dyDescent="0.25">
      <c r="A1" s="74" t="s">
        <v>322</v>
      </c>
      <c r="B1" s="74" t="s">
        <v>323</v>
      </c>
    </row>
    <row r="3" spans="1:21" ht="60" x14ac:dyDescent="0.25">
      <c r="A3" s="337" t="s">
        <v>5</v>
      </c>
      <c r="B3" s="337" t="s">
        <v>7</v>
      </c>
      <c r="C3" s="337" t="s">
        <v>29</v>
      </c>
      <c r="D3" s="337" t="s">
        <v>30</v>
      </c>
      <c r="E3" s="337" t="s">
        <v>82</v>
      </c>
      <c r="F3" s="337" t="s">
        <v>32</v>
      </c>
      <c r="G3" s="337" t="s">
        <v>6</v>
      </c>
      <c r="H3" s="337" t="s">
        <v>83</v>
      </c>
      <c r="I3" s="338" t="s">
        <v>89</v>
      </c>
      <c r="J3" s="338"/>
      <c r="K3" s="338"/>
      <c r="L3" s="338"/>
      <c r="M3" s="338"/>
      <c r="N3" s="338"/>
      <c r="O3" s="339" t="s">
        <v>90</v>
      </c>
      <c r="P3" s="339"/>
      <c r="Q3" s="339"/>
      <c r="R3" s="339"/>
      <c r="S3" s="339"/>
      <c r="T3" s="339"/>
      <c r="U3" s="44" t="s">
        <v>46</v>
      </c>
    </row>
    <row r="4" spans="1:21" ht="30" x14ac:dyDescent="0.25">
      <c r="A4" s="337"/>
      <c r="B4" s="337"/>
      <c r="C4" s="337"/>
      <c r="D4" s="337"/>
      <c r="E4" s="337"/>
      <c r="F4" s="337"/>
      <c r="G4" s="337"/>
      <c r="H4" s="337"/>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s="67" customFormat="1" x14ac:dyDescent="0.25">
      <c r="A5" s="27" t="s">
        <v>70</v>
      </c>
      <c r="B5" s="27" t="s">
        <v>23</v>
      </c>
      <c r="C5" s="27">
        <v>221555000</v>
      </c>
      <c r="D5" s="27">
        <v>1</v>
      </c>
      <c r="E5" s="27">
        <f>20</f>
        <v>20</v>
      </c>
      <c r="F5" s="27">
        <v>0.97</v>
      </c>
      <c r="G5" s="27" t="s">
        <v>12</v>
      </c>
      <c r="H5" s="27" t="s">
        <v>62</v>
      </c>
      <c r="I5" s="27">
        <v>1496796.848666667</v>
      </c>
      <c r="J5" s="27">
        <v>119.6</v>
      </c>
      <c r="K5" s="27">
        <v>9.6201333333333334</v>
      </c>
      <c r="L5" s="27">
        <v>0</v>
      </c>
      <c r="M5" s="27">
        <v>73.628799999999998</v>
      </c>
      <c r="N5" s="27">
        <v>552.67200000000003</v>
      </c>
      <c r="O5" s="27">
        <v>5130299.4698299998</v>
      </c>
      <c r="P5" s="27">
        <v>119.6</v>
      </c>
      <c r="Q5" s="27">
        <v>52.141397849462365</v>
      </c>
      <c r="R5" s="27">
        <v>0</v>
      </c>
      <c r="S5" s="27">
        <v>334.67636363636365</v>
      </c>
      <c r="T5" s="27">
        <v>2229.84</v>
      </c>
      <c r="U5" s="27">
        <v>5.5000000000000005E-3</v>
      </c>
    </row>
    <row r="6" spans="1:21" s="67" customFormat="1" x14ac:dyDescent="0.25">
      <c r="A6" s="27" t="s">
        <v>70</v>
      </c>
      <c r="B6" s="27" t="s">
        <v>23</v>
      </c>
      <c r="C6" s="27">
        <v>221555000</v>
      </c>
      <c r="D6" s="27">
        <v>1</v>
      </c>
      <c r="E6" s="27">
        <f>20</f>
        <v>20</v>
      </c>
      <c r="F6" s="27">
        <v>0.97</v>
      </c>
      <c r="G6" s="27" t="s">
        <v>16</v>
      </c>
      <c r="H6" s="27" t="s">
        <v>71</v>
      </c>
      <c r="I6" s="27">
        <v>1680381.813466667</v>
      </c>
      <c r="J6" s="27">
        <v>0</v>
      </c>
      <c r="K6" s="27">
        <v>9.37256</v>
      </c>
      <c r="L6" s="27">
        <v>0</v>
      </c>
      <c r="M6" s="27">
        <v>73.628799999999998</v>
      </c>
      <c r="N6" s="27">
        <v>0</v>
      </c>
      <c r="O6" s="27">
        <v>5595354.3733613659</v>
      </c>
      <c r="P6" s="27">
        <v>0</v>
      </c>
      <c r="Q6" s="27">
        <v>50.968064516129033</v>
      </c>
      <c r="R6" s="27">
        <v>0</v>
      </c>
      <c r="S6" s="27">
        <v>334.67636363636365</v>
      </c>
      <c r="T6" s="27"/>
      <c r="U6" s="27">
        <v>5.5000000000000005E-3</v>
      </c>
    </row>
    <row r="7" spans="1:21" x14ac:dyDescent="0.25">
      <c r="A7" s="1" t="s">
        <v>72</v>
      </c>
      <c r="B7" s="1" t="s">
        <v>23</v>
      </c>
      <c r="C7" s="1">
        <v>221555000</v>
      </c>
      <c r="D7" s="1">
        <v>0.9</v>
      </c>
      <c r="E7" s="1">
        <v>20</v>
      </c>
      <c r="F7" s="1">
        <v>0.97</v>
      </c>
      <c r="G7" s="1" t="s">
        <v>12</v>
      </c>
      <c r="H7" s="1" t="s">
        <v>62</v>
      </c>
      <c r="I7" s="1">
        <v>1496796.848666667</v>
      </c>
      <c r="J7" s="1">
        <v>119.6</v>
      </c>
      <c r="K7" s="1">
        <v>6.2996646933333329</v>
      </c>
      <c r="L7" s="1">
        <v>0</v>
      </c>
      <c r="M7" s="1">
        <v>44293.968486666672</v>
      </c>
      <c r="N7" s="1">
        <v>626.58800000000008</v>
      </c>
      <c r="O7" s="1">
        <v>5130299.4698299998</v>
      </c>
      <c r="P7" s="1">
        <v>455.6</v>
      </c>
      <c r="Q7" s="1">
        <v>64.816061075268806</v>
      </c>
      <c r="R7" s="1">
        <v>0</v>
      </c>
      <c r="S7" s="1">
        <v>184602.9946983</v>
      </c>
      <c r="T7" s="1">
        <v>2529.5058799999997</v>
      </c>
      <c r="U7" s="1">
        <v>5.5000000000000005E-3</v>
      </c>
    </row>
    <row r="8" spans="1:21" x14ac:dyDescent="0.25">
      <c r="A8" s="1" t="s">
        <v>72</v>
      </c>
      <c r="B8" s="1" t="s">
        <v>23</v>
      </c>
      <c r="C8" s="1">
        <v>221555000</v>
      </c>
      <c r="D8" s="1">
        <v>0.9</v>
      </c>
      <c r="E8" s="1">
        <v>20</v>
      </c>
      <c r="F8" s="1">
        <v>0.97</v>
      </c>
      <c r="G8" s="1" t="s">
        <v>16</v>
      </c>
      <c r="H8" s="1" t="s">
        <v>486</v>
      </c>
      <c r="I8" s="1">
        <v>1680381.813466667</v>
      </c>
      <c r="J8" s="1">
        <v>0</v>
      </c>
      <c r="K8" s="1">
        <v>6.0920294399999992</v>
      </c>
      <c r="L8" s="1">
        <v>0</v>
      </c>
      <c r="M8" s="1">
        <v>46129.818134666668</v>
      </c>
      <c r="N8" s="1">
        <v>0</v>
      </c>
      <c r="O8" s="1">
        <v>5595354.3733613659</v>
      </c>
      <c r="P8" s="1">
        <v>0</v>
      </c>
      <c r="Q8" s="1">
        <v>63.832007741935485</v>
      </c>
      <c r="R8" s="1">
        <v>0</v>
      </c>
      <c r="S8" s="1">
        <v>189253.54373361365</v>
      </c>
      <c r="T8" s="1">
        <v>0</v>
      </c>
      <c r="U8" s="1">
        <v>5.5000000000000005E-3</v>
      </c>
    </row>
    <row r="9" spans="1:21" x14ac:dyDescent="0.25">
      <c r="A9" s="1" t="s">
        <v>73</v>
      </c>
      <c r="B9" s="1" t="s">
        <v>23</v>
      </c>
      <c r="C9" s="1">
        <v>221555000</v>
      </c>
      <c r="D9" s="1">
        <v>0.9</v>
      </c>
      <c r="E9" s="1">
        <v>20</v>
      </c>
      <c r="F9" s="1">
        <v>0.97</v>
      </c>
      <c r="G9" s="1" t="s">
        <v>12</v>
      </c>
      <c r="H9" s="1" t="s">
        <v>62</v>
      </c>
      <c r="I9" s="1">
        <v>1496796.848666667</v>
      </c>
      <c r="J9" s="1">
        <v>119.6</v>
      </c>
      <c r="K9" s="1">
        <v>4.110142528888888</v>
      </c>
      <c r="L9" s="1">
        <v>0</v>
      </c>
      <c r="M9" s="1">
        <v>44293.968486666672</v>
      </c>
      <c r="N9" s="1">
        <v>626.58800000000008</v>
      </c>
      <c r="O9" s="1">
        <v>5130299.4698299998</v>
      </c>
      <c r="P9" s="1">
        <v>455.6</v>
      </c>
      <c r="Q9" s="1">
        <v>79.551107383512544</v>
      </c>
      <c r="R9" s="1">
        <v>0</v>
      </c>
      <c r="S9" s="1">
        <v>184602.9946983</v>
      </c>
      <c r="T9" s="1">
        <v>2527.7959999999998</v>
      </c>
      <c r="U9" s="1">
        <v>5.5000000000000005E-3</v>
      </c>
    </row>
    <row r="10" spans="1:21" x14ac:dyDescent="0.25">
      <c r="A10" s="1" t="s">
        <v>73</v>
      </c>
      <c r="B10" s="1" t="s">
        <v>23</v>
      </c>
      <c r="C10" s="1">
        <v>221555000</v>
      </c>
      <c r="D10" s="1">
        <v>0.9</v>
      </c>
      <c r="E10" s="1">
        <v>20</v>
      </c>
      <c r="F10" s="1">
        <v>0.97</v>
      </c>
      <c r="G10" s="1" t="s">
        <v>16</v>
      </c>
      <c r="H10" s="1" t="s">
        <v>486</v>
      </c>
      <c r="I10" s="1">
        <v>1680381.813466667</v>
      </c>
      <c r="J10" s="1">
        <v>0</v>
      </c>
      <c r="K10" s="1">
        <v>3.0179005599999997</v>
      </c>
      <c r="L10" s="1">
        <v>0</v>
      </c>
      <c r="M10" s="1">
        <v>46129.818134666668</v>
      </c>
      <c r="N10" s="1">
        <v>0</v>
      </c>
      <c r="O10" s="1">
        <v>5595354.3733613659</v>
      </c>
      <c r="P10" s="1">
        <v>0</v>
      </c>
      <c r="Q10" s="1">
        <v>74.374605161290333</v>
      </c>
      <c r="R10" s="1">
        <v>0</v>
      </c>
      <c r="S10" s="1">
        <v>189253.54373361365</v>
      </c>
      <c r="T10" s="1">
        <v>0</v>
      </c>
      <c r="U10" s="1">
        <v>5.5000000000000005E-3</v>
      </c>
    </row>
    <row r="12" spans="1:21" x14ac:dyDescent="0.25">
      <c r="A12" s="21" t="s">
        <v>227</v>
      </c>
    </row>
    <row r="14" spans="1:21" x14ac:dyDescent="0.25">
      <c r="A14" s="25" t="s">
        <v>91</v>
      </c>
      <c r="B14" s="24" t="s">
        <v>92</v>
      </c>
      <c r="C14" s="24" t="s">
        <v>93</v>
      </c>
      <c r="D14" s="25" t="s">
        <v>97</v>
      </c>
      <c r="E14" s="24" t="s">
        <v>8</v>
      </c>
    </row>
    <row r="15" spans="1:21" x14ac:dyDescent="0.25">
      <c r="A15" s="15" t="s">
        <v>99</v>
      </c>
      <c r="B15" s="1"/>
      <c r="C15" s="1">
        <v>0.9</v>
      </c>
      <c r="D15" s="1"/>
      <c r="E15" s="1">
        <v>45</v>
      </c>
    </row>
    <row r="16" spans="1:21" x14ac:dyDescent="0.25">
      <c r="A16" s="15" t="s">
        <v>103</v>
      </c>
      <c r="B16" s="1" t="s">
        <v>189</v>
      </c>
      <c r="C16" s="32">
        <v>607</v>
      </c>
      <c r="D16" s="1"/>
      <c r="E16" s="1">
        <v>45</v>
      </c>
    </row>
    <row r="17" spans="1:13" x14ac:dyDescent="0.25">
      <c r="A17" s="15" t="s">
        <v>32</v>
      </c>
      <c r="B17" s="1"/>
      <c r="C17" s="1">
        <v>0.97</v>
      </c>
      <c r="D17" s="1"/>
      <c r="E17" s="1">
        <v>45</v>
      </c>
    </row>
    <row r="18" spans="1:13" x14ac:dyDescent="0.25">
      <c r="A18" s="15" t="s">
        <v>112</v>
      </c>
      <c r="B18" s="32" t="s">
        <v>113</v>
      </c>
      <c r="C18" s="32">
        <v>25</v>
      </c>
      <c r="D18" s="1"/>
      <c r="E18" s="1">
        <v>44</v>
      </c>
    </row>
    <row r="19" spans="1:13" x14ac:dyDescent="0.25">
      <c r="A19" s="15" t="s">
        <v>114</v>
      </c>
      <c r="B19" s="1" t="s">
        <v>118</v>
      </c>
      <c r="C19" s="32">
        <v>20</v>
      </c>
      <c r="D19" s="1"/>
      <c r="E19" s="1">
        <v>45</v>
      </c>
    </row>
    <row r="20" spans="1:13" x14ac:dyDescent="0.25">
      <c r="A20" s="15" t="s">
        <v>115</v>
      </c>
      <c r="B20" s="1" t="s">
        <v>109</v>
      </c>
      <c r="C20" s="1">
        <v>0.55000000000000004</v>
      </c>
      <c r="D20" s="1" t="s">
        <v>116</v>
      </c>
      <c r="E20" s="1">
        <v>20</v>
      </c>
    </row>
    <row r="22" spans="1:13" x14ac:dyDescent="0.25">
      <c r="A22" s="21" t="s">
        <v>223</v>
      </c>
      <c r="B22" t="s">
        <v>1135</v>
      </c>
    </row>
    <row r="23" spans="1:13" ht="15.75" thickBot="1" x14ac:dyDescent="0.3">
      <c r="A23" s="21"/>
    </row>
    <row r="24" spans="1:13" x14ac:dyDescent="0.25">
      <c r="A24" s="341" t="s">
        <v>91</v>
      </c>
      <c r="B24" s="345" t="s">
        <v>92</v>
      </c>
      <c r="C24" s="348" t="s">
        <v>238</v>
      </c>
      <c r="D24" s="349"/>
      <c r="E24" s="350"/>
      <c r="F24" s="343" t="s">
        <v>239</v>
      </c>
      <c r="G24" s="344"/>
      <c r="H24" s="345"/>
      <c r="I24" s="343" t="s">
        <v>240</v>
      </c>
      <c r="J24" s="344"/>
      <c r="K24" s="345"/>
      <c r="L24" s="341" t="s">
        <v>9</v>
      </c>
      <c r="M24" s="346" t="s">
        <v>8</v>
      </c>
    </row>
    <row r="25" spans="1:13" x14ac:dyDescent="0.25">
      <c r="A25" s="342"/>
      <c r="B25" s="351"/>
      <c r="C25" s="49" t="s">
        <v>93</v>
      </c>
      <c r="D25" s="36" t="s">
        <v>95</v>
      </c>
      <c r="E25" s="50" t="s">
        <v>96</v>
      </c>
      <c r="F25" s="49" t="s">
        <v>93</v>
      </c>
      <c r="G25" s="36" t="s">
        <v>95</v>
      </c>
      <c r="H25" s="50" t="s">
        <v>96</v>
      </c>
      <c r="I25" s="49" t="s">
        <v>93</v>
      </c>
      <c r="J25" s="36" t="s">
        <v>95</v>
      </c>
      <c r="K25" s="50" t="s">
        <v>96</v>
      </c>
      <c r="L25" s="342"/>
      <c r="M25" s="347"/>
    </row>
    <row r="26" spans="1:13" x14ac:dyDescent="0.25">
      <c r="A26" s="31" t="s">
        <v>225</v>
      </c>
      <c r="B26" s="57" t="s">
        <v>119</v>
      </c>
      <c r="C26" s="31">
        <v>0.96</v>
      </c>
      <c r="D26" s="16">
        <v>2.1333333333333333</v>
      </c>
      <c r="E26" s="51">
        <v>0.45013333333333333</v>
      </c>
      <c r="F26" s="34">
        <v>1.32</v>
      </c>
      <c r="G26" s="16">
        <v>2.9333333333333336</v>
      </c>
      <c r="H26" s="51">
        <v>0.61893333333333334</v>
      </c>
      <c r="I26" s="34">
        <v>4.42</v>
      </c>
      <c r="J26" s="40">
        <v>9.8222222222222211</v>
      </c>
      <c r="K26" s="58">
        <v>2.0724888888888886</v>
      </c>
      <c r="L26" s="34" t="s">
        <v>218</v>
      </c>
      <c r="M26" s="33">
        <v>44</v>
      </c>
    </row>
    <row r="27" spans="1:13" x14ac:dyDescent="0.25">
      <c r="A27" s="31" t="s">
        <v>226</v>
      </c>
      <c r="B27" s="57" t="s">
        <v>119</v>
      </c>
      <c r="C27" s="31">
        <v>0.96</v>
      </c>
      <c r="D27" s="17">
        <v>0.96</v>
      </c>
      <c r="E27" s="52">
        <v>0.20255999999999999</v>
      </c>
      <c r="F27" s="34">
        <v>1.32</v>
      </c>
      <c r="G27" s="17">
        <v>1.32</v>
      </c>
      <c r="H27" s="52">
        <v>0.27851999999999999</v>
      </c>
      <c r="I27" s="34">
        <v>4.42</v>
      </c>
      <c r="J27" s="41">
        <v>4.42</v>
      </c>
      <c r="K27" s="59">
        <v>0.93262</v>
      </c>
      <c r="L27" s="34" t="s">
        <v>219</v>
      </c>
      <c r="M27" s="33">
        <v>44</v>
      </c>
    </row>
    <row r="28" spans="1:13" x14ac:dyDescent="0.25">
      <c r="A28" s="31" t="s">
        <v>220</v>
      </c>
      <c r="B28" s="57" t="s">
        <v>88</v>
      </c>
      <c r="C28" s="31">
        <f>0.12/0.0496</f>
        <v>2.4193548387096775</v>
      </c>
      <c r="D28" s="1">
        <v>33.338709677419352</v>
      </c>
      <c r="E28" s="33"/>
      <c r="F28" s="34">
        <f>0.12/0.0496</f>
        <v>2.4193548387096775</v>
      </c>
      <c r="G28" s="1">
        <v>33.338709677419352</v>
      </c>
      <c r="H28" s="33"/>
      <c r="I28" s="34">
        <f>0.12/0.0496</f>
        <v>2.4193548387096775</v>
      </c>
      <c r="J28" s="53">
        <v>33.338709677419352</v>
      </c>
      <c r="K28" s="60"/>
      <c r="L28" s="34"/>
      <c r="M28" s="33">
        <v>44</v>
      </c>
    </row>
    <row r="29" spans="1:13" x14ac:dyDescent="0.25">
      <c r="A29" s="31" t="s">
        <v>221</v>
      </c>
      <c r="B29" s="57" t="s">
        <v>88</v>
      </c>
      <c r="C29" s="31">
        <f>1000*0.06/49.6</f>
        <v>1.2096774193548387</v>
      </c>
      <c r="D29" s="1">
        <v>16.669354838709676</v>
      </c>
      <c r="E29" s="33"/>
      <c r="F29" s="34">
        <f>1000*0.1/49.6</f>
        <v>2.0161290322580645</v>
      </c>
      <c r="G29" s="1">
        <v>27.782258064516128</v>
      </c>
      <c r="H29" s="33"/>
      <c r="I29" s="34">
        <f>1000*0.13/49.6</f>
        <v>2.620967741935484</v>
      </c>
      <c r="J29" s="53">
        <v>36.116935483870968</v>
      </c>
      <c r="K29" s="60"/>
      <c r="L29" s="34"/>
      <c r="M29" s="33">
        <v>44</v>
      </c>
    </row>
    <row r="30" spans="1:13" ht="15.75" thickBot="1" x14ac:dyDescent="0.3">
      <c r="A30" s="35" t="s">
        <v>224</v>
      </c>
      <c r="B30" s="56" t="s">
        <v>222</v>
      </c>
      <c r="C30" s="35">
        <v>9.17</v>
      </c>
      <c r="D30" s="55"/>
      <c r="E30" s="56">
        <v>9.17</v>
      </c>
      <c r="F30" s="30">
        <v>5.52</v>
      </c>
      <c r="G30" s="55"/>
      <c r="H30" s="56">
        <v>5.52</v>
      </c>
      <c r="I30" s="30">
        <v>1.98</v>
      </c>
      <c r="J30" s="61"/>
      <c r="K30" s="62">
        <v>1.98</v>
      </c>
      <c r="L30" s="30"/>
      <c r="M30" s="33">
        <v>44</v>
      </c>
    </row>
    <row r="32" spans="1:13" ht="30" x14ac:dyDescent="0.25">
      <c r="A32" s="12" t="s">
        <v>246</v>
      </c>
      <c r="B32" s="12" t="s">
        <v>92</v>
      </c>
      <c r="C32" s="12" t="s">
        <v>93</v>
      </c>
      <c r="D32" s="12" t="s">
        <v>94</v>
      </c>
      <c r="E32" s="12" t="s">
        <v>93</v>
      </c>
      <c r="F32" s="12" t="s">
        <v>95</v>
      </c>
      <c r="G32" s="12" t="s">
        <v>96</v>
      </c>
      <c r="H32" s="63" t="s">
        <v>97</v>
      </c>
      <c r="I32" s="12" t="s">
        <v>98</v>
      </c>
      <c r="J32" s="12" t="s">
        <v>98</v>
      </c>
      <c r="K32" s="63" t="s">
        <v>8</v>
      </c>
    </row>
    <row r="33" spans="1:11" x14ac:dyDescent="0.25">
      <c r="A33" s="1" t="s">
        <v>247</v>
      </c>
      <c r="B33" s="1" t="s">
        <v>248</v>
      </c>
      <c r="C33" s="1"/>
      <c r="D33" s="1"/>
      <c r="E33" s="1"/>
      <c r="F33" s="1"/>
      <c r="G33" s="1"/>
      <c r="H33" s="65" t="s">
        <v>249</v>
      </c>
      <c r="I33" s="1"/>
      <c r="J33" s="1"/>
      <c r="K33" s="65">
        <v>46</v>
      </c>
    </row>
    <row r="34" spans="1:11" x14ac:dyDescent="0.25">
      <c r="A34" s="1" t="s">
        <v>250</v>
      </c>
      <c r="B34" s="1" t="s">
        <v>251</v>
      </c>
      <c r="C34" s="1">
        <v>24</v>
      </c>
      <c r="D34" s="1" t="s">
        <v>217</v>
      </c>
      <c r="E34" s="1"/>
      <c r="F34" s="13">
        <f>C34*G27/1000</f>
        <v>3.168E-2</v>
      </c>
      <c r="G34" s="13">
        <f>F34*0.211</f>
        <v>6.6844799999999996E-3</v>
      </c>
      <c r="H34" s="65" t="s">
        <v>252</v>
      </c>
      <c r="I34" s="1"/>
      <c r="J34" s="1"/>
      <c r="K34" s="65">
        <v>46</v>
      </c>
    </row>
    <row r="35" spans="1:11" x14ac:dyDescent="0.25">
      <c r="A35" s="1" t="s">
        <v>253</v>
      </c>
      <c r="B35" s="1" t="s">
        <v>251</v>
      </c>
      <c r="C35" s="1">
        <v>114</v>
      </c>
      <c r="D35" s="1" t="s">
        <v>217</v>
      </c>
      <c r="E35" s="1"/>
      <c r="F35" s="13">
        <f>C35*G27/1000</f>
        <v>0.15048000000000003</v>
      </c>
      <c r="G35" s="13">
        <f>F35*0.211</f>
        <v>3.1751280000000007E-2</v>
      </c>
      <c r="H35" s="65" t="s">
        <v>254</v>
      </c>
      <c r="I35" s="1"/>
      <c r="J35" s="1"/>
      <c r="K35" s="65">
        <v>46</v>
      </c>
    </row>
    <row r="36" spans="1:11" x14ac:dyDescent="0.25">
      <c r="A36" s="1" t="s">
        <v>255</v>
      </c>
      <c r="B36" s="1"/>
      <c r="C36" s="1"/>
      <c r="D36" s="1" t="s">
        <v>217</v>
      </c>
      <c r="E36" s="1"/>
      <c r="F36" s="17">
        <f>C35*G27/1000</f>
        <v>0.15048000000000003</v>
      </c>
      <c r="G36" s="17">
        <f>F36*0.211</f>
        <v>3.1751280000000007E-2</v>
      </c>
      <c r="H36" s="65" t="s">
        <v>256</v>
      </c>
      <c r="I36" s="1"/>
      <c r="J36" s="1"/>
      <c r="K36" s="65">
        <v>46</v>
      </c>
    </row>
    <row r="37" spans="1:11" x14ac:dyDescent="0.25">
      <c r="A37" s="1" t="s">
        <v>257</v>
      </c>
      <c r="B37" s="1" t="s">
        <v>109</v>
      </c>
      <c r="C37" s="1"/>
      <c r="D37" s="1"/>
      <c r="E37" s="1"/>
      <c r="F37" s="1"/>
      <c r="G37" s="1"/>
      <c r="H37" s="27" t="s">
        <v>1137</v>
      </c>
      <c r="I37" s="1"/>
      <c r="J37" s="1"/>
      <c r="K37" s="32"/>
    </row>
    <row r="39" spans="1:11" x14ac:dyDescent="0.25">
      <c r="H39" s="8"/>
      <c r="K39" s="8"/>
    </row>
    <row r="40" spans="1:11" x14ac:dyDescent="0.25">
      <c r="A40" s="21" t="s">
        <v>120</v>
      </c>
    </row>
    <row r="42" spans="1:11" x14ac:dyDescent="0.25">
      <c r="A42" s="36"/>
      <c r="B42" s="36" t="s">
        <v>136</v>
      </c>
      <c r="C42" s="36" t="s">
        <v>166</v>
      </c>
      <c r="D42" s="36" t="s">
        <v>228</v>
      </c>
      <c r="E42" s="13" t="s">
        <v>8</v>
      </c>
      <c r="G42" s="48" t="s">
        <v>236</v>
      </c>
      <c r="H42" s="47"/>
      <c r="I42" s="47"/>
    </row>
    <row r="43" spans="1:11" x14ac:dyDescent="0.25">
      <c r="A43" s="1" t="s">
        <v>229</v>
      </c>
      <c r="B43" s="1">
        <v>10242000</v>
      </c>
      <c r="C43" s="1">
        <f>B43*0.2</f>
        <v>2048400</v>
      </c>
      <c r="D43" s="1">
        <f>B43*0.1</f>
        <v>1024200</v>
      </c>
      <c r="E43" s="1">
        <v>45</v>
      </c>
      <c r="G43" s="37" t="s">
        <v>232</v>
      </c>
      <c r="H43" s="37" t="s">
        <v>233</v>
      </c>
      <c r="I43" s="37"/>
    </row>
    <row r="44" spans="1:11" x14ac:dyDescent="0.25">
      <c r="A44" s="1" t="s">
        <v>230</v>
      </c>
      <c r="B44" s="1">
        <v>3272000</v>
      </c>
      <c r="C44" s="1">
        <f>B44*[1]Sheet1!$M$3</f>
        <v>36135768.408</v>
      </c>
      <c r="D44" s="1">
        <f>B44*[1]Sheet1!$L$3</f>
        <v>10285532.000000002</v>
      </c>
      <c r="E44" s="1">
        <v>45</v>
      </c>
      <c r="G44" s="37">
        <f>1.5*10^6*3*365</f>
        <v>1642500000</v>
      </c>
      <c r="H44" s="37">
        <v>221555000</v>
      </c>
      <c r="I44" s="37">
        <f>H44/G44</f>
        <v>0.13488888888888889</v>
      </c>
    </row>
    <row r="45" spans="1:11" x14ac:dyDescent="0.25">
      <c r="A45" s="1" t="s">
        <v>125</v>
      </c>
      <c r="B45" s="1">
        <v>27000</v>
      </c>
      <c r="C45" s="1">
        <f>B45*[1]Sheet1!$M$12</f>
        <v>1511333.3969999999</v>
      </c>
      <c r="D45" s="1">
        <f>B45*[1]Sheet1!$L$12</f>
        <v>353025</v>
      </c>
      <c r="E45" s="1">
        <v>45</v>
      </c>
    </row>
    <row r="46" spans="1:11" x14ac:dyDescent="0.25">
      <c r="A46" s="1" t="s">
        <v>231</v>
      </c>
      <c r="B46" s="1">
        <v>40000</v>
      </c>
      <c r="C46" s="1">
        <f>B46*[1]Sheet1!$M$28</f>
        <v>386419.8</v>
      </c>
      <c r="D46" s="1">
        <f>B46*[1]Sheet1!$L$28</f>
        <v>457959.99999999994</v>
      </c>
      <c r="E46" s="1">
        <v>45</v>
      </c>
    </row>
    <row r="47" spans="1:11" x14ac:dyDescent="0.25">
      <c r="A47" s="1" t="s">
        <v>234</v>
      </c>
      <c r="B47" s="17">
        <f>SUM(B43:B46)*I44</f>
        <v>1831926</v>
      </c>
      <c r="C47" s="17">
        <f>SUM(C43:C46)*I44</f>
        <v>5406605.8698299993</v>
      </c>
      <c r="D47" s="17">
        <f>SUM(D43:D46)*I44</f>
        <v>1634950.048666667</v>
      </c>
      <c r="E47" s="1"/>
    </row>
    <row r="48" spans="1:11" x14ac:dyDescent="0.25">
      <c r="A48" s="1" t="s">
        <v>235</v>
      </c>
      <c r="B48" s="16">
        <f>(B46+B45+B44)*I44</f>
        <v>450394</v>
      </c>
      <c r="C48" s="16">
        <f>(C46+C45+C44)*I44</f>
        <v>5130299.4698299998</v>
      </c>
      <c r="D48" s="16">
        <f>(D46+D45+D44)*I44</f>
        <v>1496796.848666667</v>
      </c>
      <c r="E48" s="1"/>
    </row>
    <row r="50" spans="1:9" x14ac:dyDescent="0.25">
      <c r="A50" s="21" t="s">
        <v>237</v>
      </c>
    </row>
    <row r="51" spans="1:9" x14ac:dyDescent="0.25">
      <c r="A51" s="21"/>
    </row>
    <row r="52" spans="1:9" x14ac:dyDescent="0.25">
      <c r="A52" s="1"/>
      <c r="B52" s="1"/>
      <c r="C52" s="1"/>
      <c r="D52" s="1"/>
      <c r="E52" s="1"/>
      <c r="F52" s="1" t="s">
        <v>138</v>
      </c>
      <c r="G52" s="1" t="s">
        <v>139</v>
      </c>
      <c r="H52" s="1"/>
      <c r="I52" s="1" t="s">
        <v>25</v>
      </c>
    </row>
    <row r="53" spans="1:9" x14ac:dyDescent="0.25">
      <c r="A53" s="1" t="s">
        <v>140</v>
      </c>
      <c r="B53" s="1" t="s">
        <v>141</v>
      </c>
      <c r="C53" s="1">
        <v>2</v>
      </c>
      <c r="D53" s="1" t="s">
        <v>142</v>
      </c>
      <c r="E53" s="17">
        <v>2</v>
      </c>
      <c r="F53" s="16">
        <f>113.9*C53</f>
        <v>227.8</v>
      </c>
      <c r="G53" s="16">
        <f>29.9*2</f>
        <v>59.8</v>
      </c>
      <c r="H53" s="1" t="s">
        <v>143</v>
      </c>
      <c r="I53" s="1" t="s">
        <v>1128</v>
      </c>
    </row>
    <row r="54" spans="1:9" x14ac:dyDescent="0.25">
      <c r="A54" s="1" t="s">
        <v>144</v>
      </c>
      <c r="B54" s="1" t="s">
        <v>141</v>
      </c>
      <c r="C54" s="1">
        <v>2</v>
      </c>
      <c r="D54" s="1"/>
      <c r="E54" s="17">
        <v>2</v>
      </c>
      <c r="F54" s="16">
        <f>113.9*C54</f>
        <v>227.8</v>
      </c>
      <c r="G54" s="16">
        <f>29.9*2</f>
        <v>59.8</v>
      </c>
      <c r="H54" s="1" t="s">
        <v>145</v>
      </c>
      <c r="I54" s="1" t="s">
        <v>1128</v>
      </c>
    </row>
    <row r="55" spans="1:9" x14ac:dyDescent="0.25">
      <c r="A55" s="1" t="s">
        <v>146</v>
      </c>
      <c r="B55" s="1" t="s">
        <v>147</v>
      </c>
      <c r="C55" s="1">
        <v>200</v>
      </c>
      <c r="D55" s="1" t="s">
        <v>148</v>
      </c>
      <c r="E55" s="1"/>
      <c r="F55" s="17">
        <f>G55/0.2407</f>
        <v>94374.251765683439</v>
      </c>
      <c r="G55" s="17">
        <f>C55*62/1000*B47/1000</f>
        <v>22715.882400000002</v>
      </c>
      <c r="H55" s="1" t="s">
        <v>149</v>
      </c>
      <c r="I55" s="1" t="s">
        <v>1124</v>
      </c>
    </row>
    <row r="56" spans="1:9" x14ac:dyDescent="0.25">
      <c r="A56" s="1" t="s">
        <v>150</v>
      </c>
      <c r="B56" s="1" t="s">
        <v>147</v>
      </c>
      <c r="C56" s="1">
        <v>200</v>
      </c>
      <c r="D56" s="1" t="s">
        <v>148</v>
      </c>
      <c r="E56" s="1"/>
      <c r="F56" s="17">
        <f>G56/0.2407</f>
        <v>94374.251765683439</v>
      </c>
      <c r="G56" s="17">
        <f>C56*62/1000*B47/1000</f>
        <v>22715.882400000002</v>
      </c>
      <c r="H56" s="1" t="s">
        <v>151</v>
      </c>
      <c r="I56" s="1" t="s">
        <v>1124</v>
      </c>
    </row>
    <row r="58" spans="1:9" x14ac:dyDescent="0.25">
      <c r="A58" s="21" t="s">
        <v>87</v>
      </c>
    </row>
    <row r="60" spans="1:9" x14ac:dyDescent="0.25">
      <c r="A60" s="21" t="s">
        <v>152</v>
      </c>
    </row>
    <row r="61" spans="1:9" x14ac:dyDescent="0.25">
      <c r="A61" s="1" t="s">
        <v>155</v>
      </c>
      <c r="B61" s="1" t="s">
        <v>156</v>
      </c>
      <c r="C61" s="19">
        <v>38</v>
      </c>
      <c r="D61" s="1"/>
      <c r="E61" s="1"/>
      <c r="F61" s="1"/>
      <c r="G61" s="1"/>
      <c r="H61" s="1" t="s">
        <v>306</v>
      </c>
      <c r="I61" s="81">
        <v>47</v>
      </c>
    </row>
    <row r="62" spans="1:9" x14ac:dyDescent="0.25">
      <c r="A62" s="28" t="s">
        <v>157</v>
      </c>
      <c r="B62" s="1" t="s">
        <v>158</v>
      </c>
      <c r="C62" s="1"/>
      <c r="D62" s="1" t="s">
        <v>142</v>
      </c>
      <c r="E62" s="1"/>
      <c r="F62" s="16">
        <f>1.63*C61*18*2</f>
        <v>2229.84</v>
      </c>
      <c r="G62" s="16">
        <f>0.404*C61*18*2</f>
        <v>552.67200000000003</v>
      </c>
      <c r="H62" s="1" t="s">
        <v>276</v>
      </c>
      <c r="I62" s="82" t="s">
        <v>1131</v>
      </c>
    </row>
    <row r="63" spans="1:9" x14ac:dyDescent="0.25">
      <c r="A63" s="28" t="s">
        <v>159</v>
      </c>
      <c r="B63" s="1" t="s">
        <v>160</v>
      </c>
      <c r="C63" s="1">
        <v>15.5</v>
      </c>
      <c r="D63" s="1" t="s">
        <v>164</v>
      </c>
      <c r="E63" s="1"/>
      <c r="F63" s="17">
        <f>G63/0.22</f>
        <v>117800</v>
      </c>
      <c r="G63" s="17">
        <f>C63*C61*44</f>
        <v>25916</v>
      </c>
      <c r="H63" s="1" t="s">
        <v>277</v>
      </c>
      <c r="I63" s="22" t="s">
        <v>1127</v>
      </c>
    </row>
    <row r="64" spans="1:9" x14ac:dyDescent="0.25">
      <c r="I64" s="23"/>
    </row>
    <row r="65" spans="1:9" x14ac:dyDescent="0.25">
      <c r="A65" s="29" t="s">
        <v>161</v>
      </c>
      <c r="I65" s="23"/>
    </row>
    <row r="66" spans="1:9" x14ac:dyDescent="0.25">
      <c r="A66" s="1" t="s">
        <v>155</v>
      </c>
      <c r="B66" s="1" t="s">
        <v>156</v>
      </c>
      <c r="C66" s="19">
        <v>38</v>
      </c>
      <c r="D66" s="1"/>
      <c r="E66" s="1"/>
      <c r="F66" s="1"/>
      <c r="G66" s="1"/>
      <c r="H66" s="83" t="s">
        <v>306</v>
      </c>
      <c r="I66" s="81">
        <v>47</v>
      </c>
    </row>
    <row r="67" spans="1:9" x14ac:dyDescent="0.25">
      <c r="A67" s="1" t="s">
        <v>162</v>
      </c>
      <c r="B67" s="1" t="s">
        <v>163</v>
      </c>
      <c r="C67" s="1">
        <v>15.5</v>
      </c>
      <c r="D67" s="1" t="s">
        <v>164</v>
      </c>
      <c r="E67" s="1"/>
      <c r="F67" s="17">
        <f>G67/0.22</f>
        <v>117800</v>
      </c>
      <c r="G67" s="17">
        <f>C67*C66*44</f>
        <v>25916</v>
      </c>
      <c r="H67" s="1" t="s">
        <v>277</v>
      </c>
      <c r="I67" s="22" t="s">
        <v>1127</v>
      </c>
    </row>
    <row r="69" spans="1:9" x14ac:dyDescent="0.25">
      <c r="A69" s="12" t="s">
        <v>268</v>
      </c>
      <c r="B69" s="1" t="s">
        <v>269</v>
      </c>
      <c r="C69" s="1" t="s">
        <v>8</v>
      </c>
    </row>
    <row r="70" spans="1:9" x14ac:dyDescent="0.25">
      <c r="A70" s="1" t="s">
        <v>270</v>
      </c>
      <c r="B70" s="1" t="s">
        <v>271</v>
      </c>
      <c r="C70" s="1">
        <v>33</v>
      </c>
    </row>
  </sheetData>
  <mergeCells count="17">
    <mergeCell ref="I3:N3"/>
    <mergeCell ref="O3:T3"/>
    <mergeCell ref="A3:A4"/>
    <mergeCell ref="B3:B4"/>
    <mergeCell ref="C3:C4"/>
    <mergeCell ref="D3:D4"/>
    <mergeCell ref="E3:E4"/>
    <mergeCell ref="F3:F4"/>
    <mergeCell ref="G3:G4"/>
    <mergeCell ref="H3:H4"/>
    <mergeCell ref="A24:A25"/>
    <mergeCell ref="F24:H24"/>
    <mergeCell ref="I24:K24"/>
    <mergeCell ref="L24:L25"/>
    <mergeCell ref="M24:M25"/>
    <mergeCell ref="C24:E24"/>
    <mergeCell ref="B24:B25"/>
  </mergeCells>
  <hyperlinks>
    <hyperlink ref="K33" r:id="rId1" display="https://pubs.acs.org/doi/suppl/10.1021/acs.est.1c03263/suppl_file/es1c03263_si_001.pdf" xr:uid="{4FAB85A8-67A8-4B11-B751-E278AB71D2C7}"/>
    <hyperlink ref="B1" location="'2'!A1" display="production methods" xr:uid="{2B9DAC6C-934E-4702-835D-6A88315EAF74}"/>
    <hyperlink ref="A1" location="Contents!A1" display="contents" xr:uid="{B51CC9B0-A787-4F3C-B09B-E5AC6469B431}"/>
    <hyperlink ref="K34:K36" r:id="rId2" display="https://pubs.acs.org/doi/suppl/10.1021/acs.est.1c03263/suppl_file/es1c03263_si_001.pdf" xr:uid="{47710608-1F3F-4A3A-AE80-A5102AC43A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254B-3014-4058-8A76-08BAD0E7930E}">
  <dimension ref="A1:U67"/>
  <sheetViews>
    <sheetView topLeftCell="A41" workbookViewId="0">
      <selection activeCell="A67" sqref="A67"/>
    </sheetView>
  </sheetViews>
  <sheetFormatPr defaultRowHeight="15" x14ac:dyDescent="0.25"/>
  <cols>
    <col min="1" max="1" width="25" customWidth="1"/>
    <col min="9" max="9" width="10.85546875" customWidth="1"/>
  </cols>
  <sheetData>
    <row r="1" spans="1:21" x14ac:dyDescent="0.25">
      <c r="A1" s="74" t="s">
        <v>322</v>
      </c>
      <c r="B1" s="74" t="s">
        <v>323</v>
      </c>
    </row>
    <row r="2" spans="1:21" x14ac:dyDescent="0.25">
      <c r="A2" s="74"/>
      <c r="B2" s="74"/>
    </row>
    <row r="3" spans="1:21" ht="60" x14ac:dyDescent="0.25">
      <c r="A3" s="337" t="s">
        <v>5</v>
      </c>
      <c r="B3" s="337" t="s">
        <v>7</v>
      </c>
      <c r="C3" s="337" t="s">
        <v>29</v>
      </c>
      <c r="D3" s="337" t="s">
        <v>30</v>
      </c>
      <c r="E3" s="337" t="s">
        <v>82</v>
      </c>
      <c r="F3" s="337" t="s">
        <v>32</v>
      </c>
      <c r="G3" s="337" t="s">
        <v>6</v>
      </c>
      <c r="H3" s="337" t="s">
        <v>83</v>
      </c>
      <c r="I3" s="338" t="s">
        <v>89</v>
      </c>
      <c r="J3" s="338"/>
      <c r="K3" s="338"/>
      <c r="L3" s="338"/>
      <c r="M3" s="338"/>
      <c r="N3" s="338"/>
      <c r="O3" s="339" t="s">
        <v>90</v>
      </c>
      <c r="P3" s="339"/>
      <c r="Q3" s="339"/>
      <c r="R3" s="339"/>
      <c r="S3" s="339"/>
      <c r="T3" s="339"/>
      <c r="U3" s="44" t="s">
        <v>46</v>
      </c>
    </row>
    <row r="4" spans="1:21" ht="30" x14ac:dyDescent="0.25">
      <c r="A4" s="337"/>
      <c r="B4" s="337"/>
      <c r="C4" s="337"/>
      <c r="D4" s="337"/>
      <c r="E4" s="337"/>
      <c r="F4" s="337"/>
      <c r="G4" s="337"/>
      <c r="H4" s="337"/>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74</v>
      </c>
      <c r="B5" s="1" t="s">
        <v>23</v>
      </c>
      <c r="C5" s="1">
        <v>221555000</v>
      </c>
      <c r="D5" s="1">
        <v>0.9</v>
      </c>
      <c r="E5" s="1">
        <v>20</v>
      </c>
      <c r="F5" s="1">
        <v>0.97</v>
      </c>
      <c r="G5" s="1" t="s">
        <v>12</v>
      </c>
      <c r="H5" s="1" t="s">
        <v>62</v>
      </c>
      <c r="I5" s="1">
        <v>1496796.848666667</v>
      </c>
      <c r="J5" s="1">
        <v>119.6</v>
      </c>
      <c r="K5" s="1">
        <v>2.3213642711111109</v>
      </c>
      <c r="L5" s="1">
        <v>0</v>
      </c>
      <c r="M5" s="1">
        <v>40883.968486666672</v>
      </c>
      <c r="N5" s="1">
        <v>553.86800000000005</v>
      </c>
      <c r="O5" s="1">
        <v>5130299.4698299998</v>
      </c>
      <c r="P5" s="1">
        <v>455.6</v>
      </c>
      <c r="Q5" s="1">
        <v>49.736724874551967</v>
      </c>
      <c r="R5" s="1">
        <v>0</v>
      </c>
      <c r="S5" s="1">
        <v>169102.9946983</v>
      </c>
      <c r="T5" s="1">
        <v>2234.3960000000002</v>
      </c>
      <c r="U5" s="1">
        <v>5.5000000000000005E-3</v>
      </c>
    </row>
    <row r="6" spans="1:21" x14ac:dyDescent="0.25">
      <c r="A6" s="1" t="s">
        <v>74</v>
      </c>
      <c r="B6" s="1" t="s">
        <v>23</v>
      </c>
      <c r="C6" s="1">
        <v>221555000</v>
      </c>
      <c r="D6" s="1">
        <v>0.9</v>
      </c>
      <c r="E6" s="1">
        <v>20</v>
      </c>
      <c r="F6" s="1">
        <v>0.97</v>
      </c>
      <c r="G6" s="1" t="s">
        <v>16</v>
      </c>
      <c r="H6" s="1" t="s">
        <v>486</v>
      </c>
      <c r="I6" s="1">
        <v>1680381.813466667</v>
      </c>
      <c r="J6" s="1">
        <v>0</v>
      </c>
      <c r="K6" s="1">
        <v>1.4104566399999998</v>
      </c>
      <c r="L6" s="1">
        <v>0</v>
      </c>
      <c r="M6" s="1">
        <v>42719.818134666668</v>
      </c>
      <c r="N6" s="1">
        <v>0</v>
      </c>
      <c r="O6" s="1">
        <v>5595354.3733613659</v>
      </c>
      <c r="P6" s="1">
        <v>0</v>
      </c>
      <c r="Q6" s="1">
        <v>45.4196270967742</v>
      </c>
      <c r="R6" s="1">
        <v>0</v>
      </c>
      <c r="S6" s="1">
        <v>173753.54373361365</v>
      </c>
      <c r="T6" s="1">
        <v>0</v>
      </c>
      <c r="U6" s="1">
        <v>5.5000000000000005E-3</v>
      </c>
    </row>
    <row r="9" spans="1:21" x14ac:dyDescent="0.25">
      <c r="A9" s="21" t="s">
        <v>241</v>
      </c>
    </row>
    <row r="10" spans="1:21" x14ac:dyDescent="0.25">
      <c r="A10" s="21"/>
    </row>
    <row r="11" spans="1:21" ht="30" x14ac:dyDescent="0.25">
      <c r="A11" s="36" t="s">
        <v>91</v>
      </c>
      <c r="B11" s="36" t="s">
        <v>92</v>
      </c>
      <c r="C11" s="36" t="s">
        <v>93</v>
      </c>
      <c r="D11" s="64" t="s">
        <v>97</v>
      </c>
      <c r="E11" s="64" t="s">
        <v>8</v>
      </c>
      <c r="F11" s="54"/>
    </row>
    <row r="12" spans="1:21" x14ac:dyDescent="0.25">
      <c r="A12" s="1" t="s">
        <v>99</v>
      </c>
      <c r="B12" s="1"/>
      <c r="C12" s="1"/>
      <c r="D12" s="1" t="s">
        <v>100</v>
      </c>
      <c r="E12" s="1">
        <v>45</v>
      </c>
      <c r="F12" s="1"/>
    </row>
    <row r="13" spans="1:21" x14ac:dyDescent="0.25">
      <c r="A13" s="1" t="s">
        <v>101</v>
      </c>
      <c r="B13" s="1" t="s">
        <v>242</v>
      </c>
      <c r="C13" s="1">
        <v>607</v>
      </c>
      <c r="D13" s="1" t="s">
        <v>243</v>
      </c>
      <c r="E13" s="1">
        <v>45</v>
      </c>
      <c r="F13" s="12"/>
    </row>
    <row r="14" spans="1:21" x14ac:dyDescent="0.25">
      <c r="A14" s="1" t="s">
        <v>244</v>
      </c>
      <c r="B14" s="1" t="s">
        <v>113</v>
      </c>
      <c r="C14" s="1">
        <v>25</v>
      </c>
      <c r="D14" s="1"/>
      <c r="E14" s="1">
        <v>45</v>
      </c>
      <c r="F14" s="1"/>
    </row>
    <row r="15" spans="1:21" x14ac:dyDescent="0.25">
      <c r="A15" s="1" t="s">
        <v>115</v>
      </c>
      <c r="B15" s="1" t="s">
        <v>109</v>
      </c>
      <c r="C15" s="1">
        <v>0.55000000000000004</v>
      </c>
      <c r="D15" s="1"/>
      <c r="E15" s="1">
        <v>20</v>
      </c>
      <c r="F15" s="1"/>
    </row>
    <row r="16" spans="1:21" x14ac:dyDescent="0.25">
      <c r="A16" s="1" t="s">
        <v>245</v>
      </c>
      <c r="B16" s="1" t="s">
        <v>109</v>
      </c>
      <c r="C16" s="1">
        <v>97</v>
      </c>
      <c r="D16" s="1"/>
      <c r="E16" s="1">
        <v>45</v>
      </c>
      <c r="F16" s="1"/>
    </row>
    <row r="18" spans="1:11" x14ac:dyDescent="0.25">
      <c r="A18" s="21" t="s">
        <v>223</v>
      </c>
      <c r="D18" t="s">
        <v>1136</v>
      </c>
    </row>
    <row r="19" spans="1:11" ht="15.75" thickBot="1" x14ac:dyDescent="0.3"/>
    <row r="20" spans="1:11" x14ac:dyDescent="0.25">
      <c r="A20" s="341" t="s">
        <v>91</v>
      </c>
      <c r="B20" s="345" t="s">
        <v>92</v>
      </c>
      <c r="C20" s="348" t="s">
        <v>238</v>
      </c>
      <c r="D20" s="349"/>
      <c r="E20" s="350"/>
      <c r="F20" s="343" t="s">
        <v>239</v>
      </c>
      <c r="G20" s="344"/>
      <c r="H20" s="345"/>
      <c r="I20" s="341" t="s">
        <v>9</v>
      </c>
      <c r="J20" s="346" t="s">
        <v>8</v>
      </c>
    </row>
    <row r="21" spans="1:11" x14ac:dyDescent="0.25">
      <c r="A21" s="342"/>
      <c r="B21" s="351"/>
      <c r="C21" s="49" t="s">
        <v>93</v>
      </c>
      <c r="D21" s="36" t="s">
        <v>95</v>
      </c>
      <c r="E21" s="50" t="s">
        <v>96</v>
      </c>
      <c r="F21" s="49" t="s">
        <v>93</v>
      </c>
      <c r="G21" s="36" t="s">
        <v>95</v>
      </c>
      <c r="H21" s="50" t="s">
        <v>96</v>
      </c>
      <c r="I21" s="342"/>
      <c r="J21" s="347"/>
    </row>
    <row r="22" spans="1:11" x14ac:dyDescent="0.25">
      <c r="A22" s="31" t="s">
        <v>225</v>
      </c>
      <c r="B22" s="57" t="s">
        <v>119</v>
      </c>
      <c r="C22" s="31">
        <v>2.35</v>
      </c>
      <c r="D22" s="16">
        <v>5.2222222222222223</v>
      </c>
      <c r="E22" s="51">
        <v>1.1018888888888889</v>
      </c>
      <c r="F22" s="34">
        <v>3.59</v>
      </c>
      <c r="G22" s="16">
        <v>7.977777777777777</v>
      </c>
      <c r="H22" s="51">
        <v>1.683311111111111</v>
      </c>
      <c r="I22" s="34" t="s">
        <v>218</v>
      </c>
      <c r="J22" s="33">
        <v>44</v>
      </c>
    </row>
    <row r="23" spans="1:11" x14ac:dyDescent="0.25">
      <c r="A23" s="31" t="s">
        <v>226</v>
      </c>
      <c r="B23" s="57" t="s">
        <v>119</v>
      </c>
      <c r="C23" s="31">
        <v>2.35</v>
      </c>
      <c r="D23" s="17">
        <v>2.35</v>
      </c>
      <c r="E23" s="52">
        <v>0.49585000000000001</v>
      </c>
      <c r="F23" s="34">
        <v>3.59</v>
      </c>
      <c r="G23" s="17">
        <v>3.59</v>
      </c>
      <c r="H23" s="52">
        <v>0.75749</v>
      </c>
      <c r="I23" s="34" t="s">
        <v>219</v>
      </c>
      <c r="J23" s="33">
        <v>44</v>
      </c>
    </row>
    <row r="24" spans="1:11" x14ac:dyDescent="0.25">
      <c r="A24" s="31" t="s">
        <v>220</v>
      </c>
      <c r="B24" s="57" t="s">
        <v>88</v>
      </c>
      <c r="C24" s="31">
        <v>41.673387096774192</v>
      </c>
      <c r="D24" s="1">
        <v>41.673387096774192</v>
      </c>
      <c r="E24" s="33"/>
      <c r="F24" s="34">
        <v>41.673387096774192</v>
      </c>
      <c r="G24" s="1">
        <v>41.673387096774192</v>
      </c>
      <c r="H24" s="33"/>
      <c r="I24" s="34"/>
      <c r="J24" s="33">
        <v>44</v>
      </c>
    </row>
    <row r="25" spans="1:11" x14ac:dyDescent="0.25">
      <c r="A25" s="31" t="s">
        <v>221</v>
      </c>
      <c r="B25" s="57" t="s">
        <v>88</v>
      </c>
      <c r="C25" s="31">
        <v>0</v>
      </c>
      <c r="D25" s="1">
        <v>0</v>
      </c>
      <c r="E25" s="33"/>
      <c r="F25" s="34">
        <v>0</v>
      </c>
      <c r="G25" s="1">
        <v>0</v>
      </c>
      <c r="H25" s="33"/>
      <c r="I25" s="34"/>
      <c r="J25" s="33">
        <v>44</v>
      </c>
    </row>
    <row r="26" spans="1:11" ht="15.75" thickBot="1" x14ac:dyDescent="0.3">
      <c r="A26" s="35" t="s">
        <v>224</v>
      </c>
      <c r="B26" s="56" t="s">
        <v>222</v>
      </c>
      <c r="C26" s="35"/>
      <c r="D26" s="55"/>
      <c r="E26" s="56">
        <v>8.39</v>
      </c>
      <c r="F26" s="30"/>
      <c r="G26" s="55"/>
      <c r="H26" s="56">
        <v>0.62</v>
      </c>
      <c r="I26" s="30"/>
      <c r="J26" s="33">
        <v>44</v>
      </c>
    </row>
    <row r="27" spans="1:11" x14ac:dyDescent="0.25">
      <c r="D27" s="23"/>
    </row>
    <row r="28" spans="1:11" x14ac:dyDescent="0.25">
      <c r="D28" s="23"/>
    </row>
    <row r="29" spans="1:11" ht="30" x14ac:dyDescent="0.25">
      <c r="A29" s="12" t="s">
        <v>246</v>
      </c>
      <c r="B29" s="12" t="s">
        <v>92</v>
      </c>
      <c r="C29" s="12" t="s">
        <v>93</v>
      </c>
      <c r="D29" s="12" t="s">
        <v>94</v>
      </c>
      <c r="E29" s="12" t="s">
        <v>93</v>
      </c>
      <c r="F29" s="12" t="s">
        <v>95</v>
      </c>
      <c r="G29" s="12" t="s">
        <v>96</v>
      </c>
      <c r="H29" s="63" t="s">
        <v>97</v>
      </c>
      <c r="I29" s="12" t="s">
        <v>98</v>
      </c>
      <c r="J29" s="12" t="s">
        <v>98</v>
      </c>
      <c r="K29" s="63" t="s">
        <v>8</v>
      </c>
    </row>
    <row r="30" spans="1:11" x14ac:dyDescent="0.25">
      <c r="A30" s="1" t="s">
        <v>247</v>
      </c>
      <c r="B30" s="1" t="s">
        <v>248</v>
      </c>
      <c r="C30" s="1"/>
      <c r="D30" s="1"/>
      <c r="E30" s="1"/>
      <c r="F30" s="1"/>
      <c r="G30" s="1"/>
      <c r="H30" s="65" t="s">
        <v>249</v>
      </c>
      <c r="I30" s="1"/>
      <c r="J30" s="1"/>
      <c r="K30" s="65">
        <v>46</v>
      </c>
    </row>
    <row r="31" spans="1:11" x14ac:dyDescent="0.25">
      <c r="A31" s="1" t="s">
        <v>250</v>
      </c>
      <c r="B31" s="1" t="s">
        <v>251</v>
      </c>
      <c r="C31" s="1">
        <v>24</v>
      </c>
      <c r="D31" s="1" t="s">
        <v>217</v>
      </c>
      <c r="E31" s="1"/>
      <c r="F31" s="13">
        <f>C31*G24/1000</f>
        <v>1.0001612903225807</v>
      </c>
      <c r="G31" s="13">
        <f>F31*0.211</f>
        <v>0.21103403225806452</v>
      </c>
      <c r="H31" s="65" t="s">
        <v>252</v>
      </c>
      <c r="I31" s="1"/>
      <c r="J31" s="1"/>
      <c r="K31" s="65">
        <v>46</v>
      </c>
    </row>
    <row r="32" spans="1:11" x14ac:dyDescent="0.25">
      <c r="A32" s="1" t="s">
        <v>253</v>
      </c>
      <c r="B32" s="1" t="s">
        <v>251</v>
      </c>
      <c r="C32" s="1">
        <v>114</v>
      </c>
      <c r="D32" s="1" t="s">
        <v>217</v>
      </c>
      <c r="E32" s="1"/>
      <c r="F32" s="13">
        <f>C32*G24/1000</f>
        <v>4.7507661290322574</v>
      </c>
      <c r="G32" s="13">
        <f>F32*0.211</f>
        <v>1.0024116532258063</v>
      </c>
      <c r="H32" s="65" t="s">
        <v>254</v>
      </c>
      <c r="I32" s="1"/>
      <c r="J32" s="1"/>
      <c r="K32" s="65">
        <v>46</v>
      </c>
    </row>
    <row r="33" spans="1:11" x14ac:dyDescent="0.25">
      <c r="A33" s="1" t="s">
        <v>255</v>
      </c>
      <c r="B33" s="1"/>
      <c r="C33" s="1"/>
      <c r="D33" s="1" t="s">
        <v>217</v>
      </c>
      <c r="E33" s="1"/>
      <c r="F33" s="17">
        <f>C32*G24/1000</f>
        <v>4.7507661290322574</v>
      </c>
      <c r="G33" s="17">
        <f>F33*0.211</f>
        <v>1.0024116532258063</v>
      </c>
      <c r="H33" s="65" t="s">
        <v>256</v>
      </c>
      <c r="I33" s="1"/>
      <c r="J33" s="1"/>
      <c r="K33" s="65">
        <v>46</v>
      </c>
    </row>
    <row r="34" spans="1:11" x14ac:dyDescent="0.25">
      <c r="A34" s="1" t="s">
        <v>257</v>
      </c>
      <c r="B34" s="1" t="s">
        <v>109</v>
      </c>
      <c r="C34" s="1"/>
      <c r="D34" s="1"/>
      <c r="E34" s="1"/>
      <c r="F34" s="1"/>
      <c r="G34" s="1"/>
      <c r="H34" s="27" t="s">
        <v>1137</v>
      </c>
      <c r="I34" s="1"/>
      <c r="J34" s="1"/>
      <c r="K34" s="32"/>
    </row>
    <row r="35" spans="1:11" x14ac:dyDescent="0.25">
      <c r="A35" s="1"/>
      <c r="B35" s="1"/>
      <c r="C35" s="1"/>
      <c r="D35" s="1"/>
      <c r="E35" s="1"/>
      <c r="F35" s="1"/>
      <c r="G35" s="1"/>
      <c r="H35" s="1"/>
      <c r="I35" s="1"/>
      <c r="J35" s="1"/>
    </row>
    <row r="37" spans="1:11" x14ac:dyDescent="0.25">
      <c r="A37" s="21" t="s">
        <v>120</v>
      </c>
      <c r="B37" t="s">
        <v>307</v>
      </c>
    </row>
    <row r="39" spans="1:11" x14ac:dyDescent="0.25">
      <c r="A39" s="1"/>
      <c r="B39" s="1" t="s">
        <v>124</v>
      </c>
      <c r="C39" s="1" t="s">
        <v>166</v>
      </c>
      <c r="D39" s="1" t="s">
        <v>228</v>
      </c>
    </row>
    <row r="40" spans="1:11" x14ac:dyDescent="0.25">
      <c r="A40" s="1" t="s">
        <v>229</v>
      </c>
      <c r="B40" s="1">
        <v>10242000</v>
      </c>
      <c r="C40" s="1">
        <v>2048400</v>
      </c>
      <c r="D40" s="1">
        <v>1024200</v>
      </c>
    </row>
    <row r="41" spans="1:11" x14ac:dyDescent="0.25">
      <c r="A41" s="1" t="s">
        <v>230</v>
      </c>
      <c r="B41" s="1">
        <v>3272000</v>
      </c>
      <c r="C41" s="1">
        <v>36135768.408</v>
      </c>
      <c r="D41" s="1">
        <v>10285532.000000002</v>
      </c>
    </row>
    <row r="42" spans="1:11" x14ac:dyDescent="0.25">
      <c r="A42" s="1" t="s">
        <v>125</v>
      </c>
      <c r="B42" s="1">
        <v>27000</v>
      </c>
      <c r="C42" s="1">
        <v>1511333.3969999999</v>
      </c>
      <c r="D42" s="1">
        <v>353025</v>
      </c>
      <c r="F42" t="s">
        <v>258</v>
      </c>
    </row>
    <row r="43" spans="1:11" x14ac:dyDescent="0.25">
      <c r="A43" s="1" t="s">
        <v>231</v>
      </c>
      <c r="B43" s="1">
        <v>40000</v>
      </c>
      <c r="C43" s="1">
        <v>386419.8</v>
      </c>
      <c r="D43" s="1">
        <v>457959.99999999994</v>
      </c>
      <c r="F43" s="1" t="s">
        <v>232</v>
      </c>
      <c r="G43" s="1" t="s">
        <v>233</v>
      </c>
      <c r="H43" s="1"/>
    </row>
    <row r="44" spans="1:11" x14ac:dyDescent="0.25">
      <c r="A44" s="1" t="s">
        <v>234</v>
      </c>
      <c r="B44" s="1">
        <v>1831926</v>
      </c>
      <c r="C44" s="1">
        <v>5406605.8698299993</v>
      </c>
      <c r="D44" s="1">
        <v>1634950.048666667</v>
      </c>
      <c r="F44" s="1">
        <v>1642500000</v>
      </c>
      <c r="G44" s="1">
        <v>221555000</v>
      </c>
      <c r="H44" s="1">
        <v>0.13488888888888889</v>
      </c>
    </row>
    <row r="45" spans="1:11" x14ac:dyDescent="0.25">
      <c r="A45" s="1" t="s">
        <v>235</v>
      </c>
      <c r="B45" s="1">
        <v>450394</v>
      </c>
      <c r="C45" s="1">
        <v>5130299.4698299998</v>
      </c>
      <c r="D45" s="1">
        <v>1496796.848666667</v>
      </c>
    </row>
    <row r="47" spans="1:11" x14ac:dyDescent="0.25">
      <c r="A47" s="21" t="s">
        <v>237</v>
      </c>
    </row>
    <row r="49" spans="1:9" x14ac:dyDescent="0.25">
      <c r="A49" s="1"/>
      <c r="B49" s="1"/>
      <c r="C49" s="1"/>
      <c r="D49" s="1"/>
      <c r="E49" s="1"/>
      <c r="F49" s="1" t="s">
        <v>138</v>
      </c>
      <c r="G49" s="1" t="s">
        <v>139</v>
      </c>
      <c r="H49" s="1"/>
      <c r="I49" s="1" t="s">
        <v>25</v>
      </c>
    </row>
    <row r="50" spans="1:9" x14ac:dyDescent="0.25">
      <c r="A50" s="1" t="s">
        <v>140</v>
      </c>
      <c r="B50" s="1" t="s">
        <v>141</v>
      </c>
      <c r="C50" s="1">
        <v>2</v>
      </c>
      <c r="D50" s="1" t="s">
        <v>142</v>
      </c>
      <c r="E50" s="1">
        <v>2</v>
      </c>
      <c r="F50" s="1">
        <v>227.8</v>
      </c>
      <c r="G50" s="1">
        <v>59.8</v>
      </c>
      <c r="H50" s="1" t="s">
        <v>143</v>
      </c>
      <c r="I50" s="1" t="s">
        <v>1128</v>
      </c>
    </row>
    <row r="51" spans="1:9" x14ac:dyDescent="0.25">
      <c r="A51" s="1" t="s">
        <v>144</v>
      </c>
      <c r="B51" s="1" t="s">
        <v>141</v>
      </c>
      <c r="C51" s="1">
        <v>2</v>
      </c>
      <c r="D51" s="1"/>
      <c r="E51" s="1">
        <v>2</v>
      </c>
      <c r="F51" s="1">
        <v>227.8</v>
      </c>
      <c r="G51" s="1">
        <v>59.8</v>
      </c>
      <c r="H51" s="1" t="s">
        <v>145</v>
      </c>
      <c r="I51" s="1" t="s">
        <v>1128</v>
      </c>
    </row>
    <row r="52" spans="1:9" x14ac:dyDescent="0.25">
      <c r="A52" s="1" t="s">
        <v>146</v>
      </c>
      <c r="B52" s="1" t="s">
        <v>147</v>
      </c>
      <c r="C52" s="1">
        <v>200</v>
      </c>
      <c r="D52" s="1" t="s">
        <v>148</v>
      </c>
      <c r="E52" s="1"/>
      <c r="F52" s="1">
        <v>94374.251765683439</v>
      </c>
      <c r="G52" s="1">
        <v>22715.882400000002</v>
      </c>
      <c r="H52" s="1" t="s">
        <v>149</v>
      </c>
      <c r="I52" s="1" t="s">
        <v>1124</v>
      </c>
    </row>
    <row r="53" spans="1:9" x14ac:dyDescent="0.25">
      <c r="A53" s="1" t="s">
        <v>150</v>
      </c>
      <c r="B53" s="1" t="s">
        <v>147</v>
      </c>
      <c r="C53" s="1">
        <v>200</v>
      </c>
      <c r="D53" s="1" t="s">
        <v>148</v>
      </c>
      <c r="E53" s="1"/>
      <c r="F53" s="1">
        <v>94374.251765683439</v>
      </c>
      <c r="G53" s="1">
        <v>22715.882400000002</v>
      </c>
      <c r="H53" s="1" t="s">
        <v>151</v>
      </c>
      <c r="I53" s="1" t="s">
        <v>1124</v>
      </c>
    </row>
    <row r="55" spans="1:9" x14ac:dyDescent="0.25">
      <c r="A55" s="21" t="s">
        <v>87</v>
      </c>
    </row>
    <row r="57" spans="1:9" x14ac:dyDescent="0.25">
      <c r="A57" t="s">
        <v>152</v>
      </c>
    </row>
    <row r="58" spans="1:9" x14ac:dyDescent="0.25">
      <c r="A58" s="1" t="s">
        <v>155</v>
      </c>
      <c r="B58" s="1" t="s">
        <v>156</v>
      </c>
      <c r="C58" s="1">
        <v>38</v>
      </c>
      <c r="D58" s="1"/>
      <c r="E58" s="1"/>
      <c r="F58" s="1"/>
      <c r="G58" s="1"/>
      <c r="H58" s="1" t="s">
        <v>306</v>
      </c>
      <c r="I58" s="81">
        <v>47</v>
      </c>
    </row>
    <row r="59" spans="1:9" x14ac:dyDescent="0.25">
      <c r="A59" s="1" t="s">
        <v>157</v>
      </c>
      <c r="B59" s="1" t="s">
        <v>158</v>
      </c>
      <c r="C59" s="1"/>
      <c r="D59" s="1" t="s">
        <v>142</v>
      </c>
      <c r="E59" s="1"/>
      <c r="F59" s="1">
        <v>2229.84</v>
      </c>
      <c r="G59" s="1">
        <v>552.67200000000003</v>
      </c>
      <c r="H59" s="1" t="s">
        <v>276</v>
      </c>
      <c r="I59" s="82" t="s">
        <v>1131</v>
      </c>
    </row>
    <row r="60" spans="1:9" x14ac:dyDescent="0.25">
      <c r="A60" s="1" t="s">
        <v>159</v>
      </c>
      <c r="B60" s="1" t="s">
        <v>160</v>
      </c>
      <c r="C60" s="1">
        <v>15.5</v>
      </c>
      <c r="D60" s="1" t="s">
        <v>164</v>
      </c>
      <c r="E60" s="1"/>
      <c r="F60" s="17">
        <f>G60/0.22</f>
        <v>117800</v>
      </c>
      <c r="G60" s="17">
        <f>C60*C58*44</f>
        <v>25916</v>
      </c>
      <c r="H60" s="1" t="s">
        <v>277</v>
      </c>
      <c r="I60" s="82" t="s">
        <v>1127</v>
      </c>
    </row>
    <row r="61" spans="1:9" x14ac:dyDescent="0.25">
      <c r="I61" s="23"/>
    </row>
    <row r="62" spans="1:9" x14ac:dyDescent="0.25">
      <c r="A62" s="1" t="s">
        <v>161</v>
      </c>
      <c r="B62" s="1"/>
      <c r="C62" s="1"/>
      <c r="D62" s="1"/>
      <c r="E62" s="1"/>
      <c r="F62" s="1"/>
      <c r="G62" s="1"/>
      <c r="I62" s="23"/>
    </row>
    <row r="63" spans="1:9" x14ac:dyDescent="0.25">
      <c r="A63" s="1" t="s">
        <v>155</v>
      </c>
      <c r="B63" s="1" t="s">
        <v>156</v>
      </c>
      <c r="C63" s="1">
        <v>38</v>
      </c>
      <c r="D63" s="1"/>
      <c r="E63" s="1"/>
      <c r="F63" s="1"/>
      <c r="G63" s="1"/>
      <c r="H63" s="83" t="s">
        <v>306</v>
      </c>
      <c r="I63" s="81">
        <v>13</v>
      </c>
    </row>
    <row r="64" spans="1:9" x14ac:dyDescent="0.25">
      <c r="A64" s="1" t="s">
        <v>162</v>
      </c>
      <c r="B64" s="1" t="s">
        <v>163</v>
      </c>
      <c r="C64" s="1">
        <v>15.5</v>
      </c>
      <c r="D64" s="1" t="s">
        <v>164</v>
      </c>
      <c r="E64" s="1"/>
      <c r="F64" s="17">
        <f>G64/0.22</f>
        <v>117800</v>
      </c>
      <c r="G64" s="17">
        <f>C64*C63*44</f>
        <v>25916</v>
      </c>
      <c r="H64" s="1" t="s">
        <v>277</v>
      </c>
      <c r="I64" s="78" t="s">
        <v>1127</v>
      </c>
    </row>
    <row r="66" spans="1:3" x14ac:dyDescent="0.25">
      <c r="A66" s="12" t="s">
        <v>268</v>
      </c>
      <c r="B66" s="1" t="s">
        <v>269</v>
      </c>
      <c r="C66" s="1" t="s">
        <v>8</v>
      </c>
    </row>
    <row r="67" spans="1:3" x14ac:dyDescent="0.25">
      <c r="A67" s="1" t="s">
        <v>270</v>
      </c>
      <c r="B67" s="1" t="s">
        <v>271</v>
      </c>
      <c r="C67" s="1">
        <v>33</v>
      </c>
    </row>
  </sheetData>
  <mergeCells count="16">
    <mergeCell ref="I3:N3"/>
    <mergeCell ref="O3:T3"/>
    <mergeCell ref="A20:A21"/>
    <mergeCell ref="B20:B21"/>
    <mergeCell ref="C20:E20"/>
    <mergeCell ref="F20:H20"/>
    <mergeCell ref="A3:A4"/>
    <mergeCell ref="B3:B4"/>
    <mergeCell ref="C3:C4"/>
    <mergeCell ref="D3:D4"/>
    <mergeCell ref="E3:E4"/>
    <mergeCell ref="F3:F4"/>
    <mergeCell ref="G3:G4"/>
    <mergeCell ref="H3:H4"/>
    <mergeCell ref="I20:I21"/>
    <mergeCell ref="J20:J21"/>
  </mergeCells>
  <phoneticPr fontId="10" type="noConversion"/>
  <hyperlinks>
    <hyperlink ref="K30" r:id="rId1" display="https://pubs.acs.org/doi/suppl/10.1021/acs.est.1c03263/suppl_file/es1c03263_si_001.pdf" xr:uid="{E5FDB2FE-DD39-4D67-AFA8-F84C33FAFDC8}"/>
    <hyperlink ref="B1" location="'2'!A1" display="production methods" xr:uid="{1139B7CA-61CD-4601-B265-5BDB92E0DD44}"/>
    <hyperlink ref="A1" location="Contents!A1" display="contents" xr:uid="{C7622B43-DDCA-410C-91E3-1ED8C1CBCECC}"/>
    <hyperlink ref="K31:K33" r:id="rId2" display="https://pubs.acs.org/doi/suppl/10.1021/acs.est.1c03263/suppl_file/es1c03263_si_001.pdf" xr:uid="{71752D54-0784-43D2-861A-5D72062C88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BEB9-633B-4A66-A15D-271913724891}">
  <dimension ref="A1:U123"/>
  <sheetViews>
    <sheetView topLeftCell="A85" zoomScale="85" zoomScaleNormal="85" workbookViewId="0">
      <selection activeCell="G119" sqref="G119"/>
    </sheetView>
  </sheetViews>
  <sheetFormatPr defaultColWidth="8.7109375" defaultRowHeight="15.4" customHeight="1" x14ac:dyDescent="0.25"/>
  <cols>
    <col min="1" max="1" width="17.28515625" style="8" bestFit="1" customWidth="1"/>
    <col min="2" max="2" width="14.42578125" style="8" customWidth="1"/>
    <col min="3" max="3" width="22.28515625" style="8" customWidth="1"/>
    <col min="4" max="4" width="15.28515625" style="8" customWidth="1"/>
    <col min="5" max="5" width="12.7109375" style="8" customWidth="1"/>
    <col min="6" max="6" width="11.7109375" style="8" bestFit="1" customWidth="1"/>
    <col min="7" max="7" width="11.28515625" style="8" bestFit="1" customWidth="1"/>
    <col min="8" max="8" width="25.42578125" style="8" customWidth="1"/>
    <col min="9" max="9" width="13.28515625" style="8" bestFit="1" customWidth="1"/>
    <col min="10" max="10" width="13.85546875" style="8" bestFit="1" customWidth="1"/>
    <col min="11" max="11" width="11.7109375" style="8" bestFit="1" customWidth="1"/>
    <col min="12" max="12" width="8.7109375" style="8" bestFit="1" customWidth="1"/>
    <col min="13" max="13" width="10.28515625" style="8" bestFit="1" customWidth="1"/>
    <col min="14" max="14" width="8.7109375" style="8" bestFit="1" customWidth="1"/>
    <col min="15" max="15" width="16.28515625" style="8" bestFit="1" customWidth="1"/>
    <col min="16" max="16" width="8.7109375" style="8" bestFit="1" customWidth="1"/>
    <col min="17" max="17" width="10.28515625" style="8" bestFit="1" customWidth="1"/>
    <col min="18" max="18" width="8.7109375" style="8" bestFit="1" customWidth="1"/>
    <col min="19" max="19" width="11.28515625" style="8" bestFit="1" customWidth="1"/>
    <col min="20" max="20" width="8.7109375" style="8" bestFit="1" customWidth="1"/>
    <col min="21" max="22" width="11.7109375" style="8" bestFit="1" customWidth="1"/>
    <col min="23" max="16384" width="8.7109375" style="8"/>
  </cols>
  <sheetData>
    <row r="1" spans="1:21" customFormat="1" ht="15" x14ac:dyDescent="0.25">
      <c r="A1" s="74" t="s">
        <v>322</v>
      </c>
      <c r="B1" s="74" t="s">
        <v>518</v>
      </c>
    </row>
    <row r="2" spans="1:21" ht="15.4" customHeight="1" x14ac:dyDescent="0.25">
      <c r="I2" s="361" t="s">
        <v>89</v>
      </c>
      <c r="J2" s="361"/>
      <c r="K2" s="361"/>
      <c r="L2" s="361"/>
      <c r="M2" s="361"/>
      <c r="N2" s="361"/>
      <c r="O2" s="361" t="s">
        <v>90</v>
      </c>
      <c r="P2" s="361"/>
      <c r="Q2" s="361"/>
      <c r="R2" s="361"/>
      <c r="S2" s="361"/>
      <c r="T2" s="361"/>
      <c r="U2" s="3"/>
    </row>
    <row r="3" spans="1:21" ht="15.4" customHeight="1" x14ac:dyDescent="0.25">
      <c r="A3" s="63" t="s">
        <v>5</v>
      </c>
      <c r="B3" s="63" t="s">
        <v>7</v>
      </c>
      <c r="C3" s="63" t="s">
        <v>188</v>
      </c>
      <c r="D3" s="63" t="s">
        <v>30</v>
      </c>
      <c r="E3" s="63" t="s">
        <v>82</v>
      </c>
      <c r="F3" s="63" t="s">
        <v>32</v>
      </c>
      <c r="G3" s="63" t="s">
        <v>6</v>
      </c>
      <c r="H3" s="86" t="s">
        <v>83</v>
      </c>
      <c r="I3" s="63" t="s">
        <v>84</v>
      </c>
      <c r="J3" s="63" t="s">
        <v>85</v>
      </c>
      <c r="K3" s="63" t="s">
        <v>86</v>
      </c>
      <c r="L3" s="63" t="s">
        <v>85</v>
      </c>
      <c r="M3" s="63" t="s">
        <v>87</v>
      </c>
      <c r="N3" s="63" t="s">
        <v>85</v>
      </c>
      <c r="O3" s="63" t="s">
        <v>84</v>
      </c>
      <c r="P3" s="63" t="s">
        <v>85</v>
      </c>
      <c r="Q3" s="63" t="s">
        <v>86</v>
      </c>
      <c r="R3" s="63" t="s">
        <v>85</v>
      </c>
      <c r="S3" s="63" t="s">
        <v>87</v>
      </c>
      <c r="T3" s="63" t="s">
        <v>85</v>
      </c>
      <c r="U3" s="63" t="s">
        <v>327</v>
      </c>
    </row>
    <row r="4" spans="1:21" ht="15.4" customHeight="1" x14ac:dyDescent="0.25">
      <c r="A4" s="3" t="s">
        <v>316</v>
      </c>
      <c r="B4" s="87" t="s">
        <v>13</v>
      </c>
      <c r="C4" s="134">
        <v>1</v>
      </c>
      <c r="D4" s="134">
        <v>1</v>
      </c>
      <c r="E4" s="87">
        <f>B15</f>
        <v>40</v>
      </c>
      <c r="F4" s="135">
        <v>1</v>
      </c>
      <c r="G4" s="87" t="s">
        <v>12</v>
      </c>
      <c r="H4" s="88" t="s">
        <v>62</v>
      </c>
      <c r="I4" s="89">
        <f>C69+E93+E108</f>
        <v>206718421.0902428</v>
      </c>
      <c r="J4" s="89">
        <f>0</f>
        <v>0</v>
      </c>
      <c r="K4" s="89">
        <v>0</v>
      </c>
      <c r="L4" s="89">
        <v>0</v>
      </c>
      <c r="M4" s="89">
        <f>I4*0.01</f>
        <v>2067184.210902428</v>
      </c>
      <c r="N4" s="89">
        <f>G57</f>
        <v>0</v>
      </c>
      <c r="O4" s="89">
        <f>D69+D93+D108</f>
        <v>831996119.91403294</v>
      </c>
      <c r="P4" s="89">
        <v>0</v>
      </c>
      <c r="Q4" s="89">
        <f>F22+F24</f>
        <v>0</v>
      </c>
      <c r="R4" s="89">
        <v>0</v>
      </c>
      <c r="S4" s="89">
        <f>O4*0.01</f>
        <v>8319961.1991403298</v>
      </c>
      <c r="T4" s="89">
        <f>F57</f>
        <v>0</v>
      </c>
      <c r="U4" s="3">
        <v>0</v>
      </c>
    </row>
    <row r="5" spans="1:21" ht="15.4" customHeight="1" x14ac:dyDescent="0.25">
      <c r="A5" s="3" t="s">
        <v>317</v>
      </c>
      <c r="B5" s="87" t="s">
        <v>13</v>
      </c>
      <c r="C5" s="134">
        <v>1</v>
      </c>
      <c r="D5" s="134">
        <v>1</v>
      </c>
      <c r="E5" s="87">
        <f>B16</f>
        <v>20</v>
      </c>
      <c r="F5" s="135">
        <v>1</v>
      </c>
      <c r="G5" s="87" t="s">
        <v>12</v>
      </c>
      <c r="H5" s="88" t="s">
        <v>62</v>
      </c>
      <c r="I5" s="89">
        <f>E93</f>
        <v>54221000</v>
      </c>
      <c r="J5" s="89">
        <v>0</v>
      </c>
      <c r="K5" s="89">
        <f>G24+G23</f>
        <v>0</v>
      </c>
      <c r="L5" s="89">
        <v>0</v>
      </c>
      <c r="M5" s="89">
        <f t="shared" ref="M5" si="0">I5*0.01</f>
        <v>542210</v>
      </c>
      <c r="N5" s="89">
        <v>0</v>
      </c>
      <c r="O5" s="89">
        <f>D93</f>
        <v>205971925.53999996</v>
      </c>
      <c r="P5" s="89">
        <v>0</v>
      </c>
      <c r="Q5" s="89">
        <f>F23+F24</f>
        <v>0</v>
      </c>
      <c r="R5" s="89">
        <v>0</v>
      </c>
      <c r="S5" s="89">
        <f t="shared" ref="S5" si="1">O5*0.01</f>
        <v>2059719.2553999997</v>
      </c>
      <c r="T5" s="89">
        <v>0</v>
      </c>
      <c r="U5" s="3">
        <v>0</v>
      </c>
    </row>
    <row r="6" spans="1:21" ht="15.4" customHeight="1" x14ac:dyDescent="0.25">
      <c r="A6" s="3" t="s">
        <v>318</v>
      </c>
      <c r="B6" s="87" t="s">
        <v>23</v>
      </c>
      <c r="C6" s="134">
        <f>C5</f>
        <v>1</v>
      </c>
      <c r="D6" s="134">
        <f t="shared" ref="D6:T6" si="2">D5</f>
        <v>1</v>
      </c>
      <c r="E6" s="87">
        <f t="shared" si="2"/>
        <v>20</v>
      </c>
      <c r="F6" s="134">
        <f t="shared" si="2"/>
        <v>1</v>
      </c>
      <c r="G6" s="87" t="str">
        <f t="shared" si="2"/>
        <v>Offshore</v>
      </c>
      <c r="H6" s="90" t="str">
        <f t="shared" si="2"/>
        <v>Centralised</v>
      </c>
      <c r="I6" s="91">
        <f t="shared" si="2"/>
        <v>54221000</v>
      </c>
      <c r="J6" s="91">
        <f t="shared" si="2"/>
        <v>0</v>
      </c>
      <c r="K6" s="91">
        <f t="shared" si="2"/>
        <v>0</v>
      </c>
      <c r="L6" s="91">
        <f t="shared" si="2"/>
        <v>0</v>
      </c>
      <c r="M6" s="89">
        <f>I6*0.01</f>
        <v>542210</v>
      </c>
      <c r="N6" s="91">
        <f t="shared" si="2"/>
        <v>0</v>
      </c>
      <c r="O6" s="91">
        <f t="shared" si="2"/>
        <v>205971925.53999996</v>
      </c>
      <c r="P6" s="91">
        <f t="shared" si="2"/>
        <v>0</v>
      </c>
      <c r="Q6" s="91">
        <f t="shared" si="2"/>
        <v>0</v>
      </c>
      <c r="R6" s="91">
        <f t="shared" si="2"/>
        <v>0</v>
      </c>
      <c r="S6" s="89">
        <f>O6*0.01</f>
        <v>2059719.2553999997</v>
      </c>
      <c r="T6" s="91">
        <f t="shared" si="2"/>
        <v>0</v>
      </c>
      <c r="U6" s="3">
        <v>0</v>
      </c>
    </row>
    <row r="8" spans="1:21" ht="15.4" customHeight="1" x14ac:dyDescent="0.25">
      <c r="J8" s="92"/>
      <c r="K8" s="92"/>
      <c r="L8" s="92"/>
      <c r="M8" s="92"/>
      <c r="N8" s="92"/>
      <c r="O8" s="92"/>
      <c r="P8" s="92"/>
      <c r="Q8" s="92"/>
    </row>
    <row r="10" spans="1:21" ht="15.4" customHeight="1" x14ac:dyDescent="0.25">
      <c r="A10" s="93" t="s">
        <v>328</v>
      </c>
    </row>
    <row r="11" spans="1:21" ht="15.4" customHeight="1" x14ac:dyDescent="0.25">
      <c r="A11" s="93"/>
    </row>
    <row r="12" spans="1:21" ht="15.4" customHeight="1" x14ac:dyDescent="0.25">
      <c r="A12" t="s">
        <v>404</v>
      </c>
      <c r="B12"/>
      <c r="C12"/>
      <c r="D12"/>
    </row>
    <row r="14" spans="1:21" ht="15.4" customHeight="1" x14ac:dyDescent="0.25">
      <c r="A14" s="3"/>
      <c r="B14" s="3" t="s">
        <v>82</v>
      </c>
      <c r="C14" s="360" t="s">
        <v>8</v>
      </c>
      <c r="D14" s="360"/>
    </row>
    <row r="15" spans="1:21" ht="15.4" customHeight="1" x14ac:dyDescent="0.25">
      <c r="A15" s="3" t="s">
        <v>329</v>
      </c>
      <c r="B15" s="3">
        <v>40</v>
      </c>
      <c r="C15" s="3" t="s">
        <v>330</v>
      </c>
      <c r="D15" s="3">
        <v>49</v>
      </c>
    </row>
    <row r="16" spans="1:21" ht="49.15" customHeight="1" x14ac:dyDescent="0.25">
      <c r="A16" s="3" t="s">
        <v>331</v>
      </c>
      <c r="B16" s="3">
        <v>20</v>
      </c>
      <c r="C16" s="3" t="s">
        <v>332</v>
      </c>
      <c r="D16" s="3">
        <v>50</v>
      </c>
    </row>
    <row r="17" spans="1:12" ht="15.4" customHeight="1" thickBot="1" x14ac:dyDescent="0.3"/>
    <row r="18" spans="1:12" ht="15.4" customHeight="1" x14ac:dyDescent="0.25">
      <c r="A18" s="95" t="s">
        <v>86</v>
      </c>
      <c r="B18" s="96"/>
      <c r="C18" s="96"/>
      <c r="D18" s="96"/>
      <c r="E18" s="96"/>
      <c r="F18" s="96"/>
      <c r="G18" s="96"/>
      <c r="H18" s="96"/>
      <c r="I18" s="96"/>
      <c r="J18" s="96"/>
      <c r="K18" s="96"/>
      <c r="L18" s="97"/>
    </row>
    <row r="19" spans="1:12" ht="15.4" customHeight="1" x14ac:dyDescent="0.25">
      <c r="A19" s="98"/>
      <c r="L19" s="99"/>
    </row>
    <row r="20" spans="1:12" ht="15.4" customHeight="1" x14ac:dyDescent="0.25">
      <c r="A20" s="362" t="s">
        <v>333</v>
      </c>
      <c r="B20" s="354"/>
      <c r="C20" s="354"/>
      <c r="D20" s="354"/>
      <c r="E20" s="354"/>
      <c r="F20" s="354"/>
      <c r="G20" s="354"/>
      <c r="H20" s="354"/>
      <c r="I20" s="355"/>
      <c r="L20" s="99"/>
    </row>
    <row r="21" spans="1:12" ht="18.75" customHeight="1" x14ac:dyDescent="0.25">
      <c r="A21" s="363"/>
      <c r="B21" s="357"/>
      <c r="C21" s="357"/>
      <c r="D21" s="357"/>
      <c r="E21" s="357"/>
      <c r="F21" s="357"/>
      <c r="G21" s="357"/>
      <c r="H21" s="357"/>
      <c r="I21" s="358"/>
      <c r="L21" s="99"/>
    </row>
    <row r="22" spans="1:12" ht="29.65" customHeight="1" thickBot="1" x14ac:dyDescent="0.3">
      <c r="A22" s="100"/>
      <c r="B22" s="101"/>
      <c r="C22" s="101"/>
      <c r="D22" s="101"/>
      <c r="E22" s="101"/>
      <c r="F22" s="101"/>
      <c r="G22" s="101"/>
      <c r="H22" s="102"/>
      <c r="I22" s="102"/>
      <c r="J22" s="102"/>
      <c r="K22" s="102"/>
      <c r="L22" s="103"/>
    </row>
    <row r="23" spans="1:12" ht="15.4" customHeight="1" thickBot="1" x14ac:dyDescent="0.3">
      <c r="A23" s="93"/>
      <c r="B23" s="93"/>
      <c r="C23" s="93"/>
      <c r="D23" s="93"/>
      <c r="E23" s="93"/>
      <c r="F23" s="93"/>
      <c r="G23" s="93"/>
    </row>
    <row r="24" spans="1:12" ht="15.4" customHeight="1" x14ac:dyDescent="0.25">
      <c r="A24" s="95" t="s">
        <v>268</v>
      </c>
      <c r="B24" s="364" t="s">
        <v>334</v>
      </c>
      <c r="C24" s="364"/>
      <c r="D24" s="104"/>
      <c r="E24" s="104"/>
      <c r="F24" s="104"/>
      <c r="G24" s="104"/>
      <c r="H24" s="96"/>
      <c r="I24" s="96"/>
      <c r="J24" s="96"/>
      <c r="K24" s="96"/>
      <c r="L24" s="97"/>
    </row>
    <row r="25" spans="1:12" ht="15.4" customHeight="1" x14ac:dyDescent="0.25">
      <c r="A25" s="98"/>
      <c r="L25" s="99"/>
    </row>
    <row r="26" spans="1:12" ht="15.4" customHeight="1" x14ac:dyDescent="0.25">
      <c r="A26" s="352" t="s">
        <v>335</v>
      </c>
      <c r="B26" s="353" t="s">
        <v>336</v>
      </c>
      <c r="C26" s="354"/>
      <c r="D26" s="354"/>
      <c r="E26" s="354"/>
      <c r="F26" s="355"/>
      <c r="G26" s="359">
        <v>24</v>
      </c>
      <c r="H26" s="360"/>
      <c r="L26" s="99"/>
    </row>
    <row r="27" spans="1:12" ht="15.4" customHeight="1" x14ac:dyDescent="0.25">
      <c r="A27" s="352"/>
      <c r="B27" s="356"/>
      <c r="C27" s="357"/>
      <c r="D27" s="357"/>
      <c r="E27" s="357"/>
      <c r="F27" s="358"/>
      <c r="G27" s="360"/>
      <c r="H27" s="360"/>
      <c r="L27" s="99"/>
    </row>
    <row r="28" spans="1:12" ht="15.4" customHeight="1" x14ac:dyDescent="0.25">
      <c r="A28" s="98"/>
      <c r="L28" s="99"/>
    </row>
    <row r="29" spans="1:12" ht="15.4" customHeight="1" x14ac:dyDescent="0.25">
      <c r="A29" s="367" t="s">
        <v>337</v>
      </c>
      <c r="B29" s="368"/>
      <c r="C29" s="368"/>
      <c r="L29" s="99"/>
    </row>
    <row r="30" spans="1:12" ht="15.4" customHeight="1" x14ac:dyDescent="0.25">
      <c r="A30" s="98"/>
      <c r="L30" s="99"/>
    </row>
    <row r="31" spans="1:12" ht="15.4" customHeight="1" x14ac:dyDescent="0.25">
      <c r="A31" s="107"/>
      <c r="B31" s="12" t="s">
        <v>338</v>
      </c>
      <c r="C31" s="12" t="s">
        <v>339</v>
      </c>
      <c r="L31" s="99"/>
    </row>
    <row r="32" spans="1:12" ht="15.4" customHeight="1" x14ac:dyDescent="0.25">
      <c r="A32" s="34" t="s">
        <v>340</v>
      </c>
      <c r="B32" s="1">
        <v>28732</v>
      </c>
      <c r="C32" s="1">
        <f>2258+3949+6674+154</f>
        <v>13035</v>
      </c>
      <c r="D32" t="s">
        <v>403</v>
      </c>
      <c r="L32" s="99"/>
    </row>
    <row r="33" spans="1:12" ht="15.4" customHeight="1" x14ac:dyDescent="0.25">
      <c r="A33" s="34" t="s">
        <v>341</v>
      </c>
      <c r="B33" s="1">
        <v>16927</v>
      </c>
      <c r="C33" s="1">
        <f>B33</f>
        <v>16927</v>
      </c>
      <c r="L33" s="99"/>
    </row>
    <row r="34" spans="1:12" ht="15.4" customHeight="1" x14ac:dyDescent="0.25">
      <c r="A34" s="34" t="s">
        <v>342</v>
      </c>
      <c r="B34" s="1">
        <v>6136</v>
      </c>
      <c r="C34" s="1">
        <f>B34</f>
        <v>6136</v>
      </c>
      <c r="L34" s="99"/>
    </row>
    <row r="35" spans="1:12" ht="15.4" customHeight="1" x14ac:dyDescent="0.25">
      <c r="A35" s="34" t="s">
        <v>343</v>
      </c>
      <c r="B35" s="1">
        <v>1746</v>
      </c>
      <c r="C35" s="1">
        <f>B35</f>
        <v>1746</v>
      </c>
      <c r="L35" s="99"/>
    </row>
    <row r="36" spans="1:12" ht="15.4" customHeight="1" x14ac:dyDescent="0.25">
      <c r="A36" s="108" t="s">
        <v>344</v>
      </c>
      <c r="B36" s="63">
        <f>SUM(B32:B35)</f>
        <v>53541</v>
      </c>
      <c r="C36" s="63">
        <f>SUM(C32:C35)</f>
        <v>37844</v>
      </c>
      <c r="L36" s="99"/>
    </row>
    <row r="37" spans="1:12" ht="15.4" customHeight="1" x14ac:dyDescent="0.25">
      <c r="A37" s="98"/>
      <c r="L37" s="99"/>
    </row>
    <row r="38" spans="1:12" ht="15.4" customHeight="1" x14ac:dyDescent="0.25">
      <c r="A38" s="369" t="s">
        <v>345</v>
      </c>
      <c r="B38" s="370"/>
      <c r="L38" s="99"/>
    </row>
    <row r="39" spans="1:12" ht="15" x14ac:dyDescent="0.25">
      <c r="A39" s="98"/>
      <c r="L39" s="99"/>
    </row>
    <row r="40" spans="1:12" ht="69.75" customHeight="1" x14ac:dyDescent="0.25">
      <c r="A40" s="367" t="s">
        <v>346</v>
      </c>
      <c r="B40" s="368"/>
      <c r="C40" s="368"/>
      <c r="D40" s="368"/>
      <c r="E40" s="368"/>
      <c r="F40" s="368"/>
      <c r="L40" s="99"/>
    </row>
    <row r="41" spans="1:12" ht="15" x14ac:dyDescent="0.25">
      <c r="A41" s="98"/>
      <c r="L41" s="99"/>
    </row>
    <row r="42" spans="1:12" ht="15.4" customHeight="1" x14ac:dyDescent="0.25">
      <c r="A42" s="63" t="s">
        <v>135</v>
      </c>
      <c r="B42" s="63" t="s">
        <v>347</v>
      </c>
      <c r="C42" s="63" t="s">
        <v>338</v>
      </c>
      <c r="D42" s="63" t="s">
        <v>348</v>
      </c>
      <c r="E42" s="63" t="s">
        <v>349</v>
      </c>
      <c r="G42" s="93" t="s">
        <v>341</v>
      </c>
      <c r="L42" s="99"/>
    </row>
    <row r="43" spans="1:12" ht="15.4" customHeight="1" x14ac:dyDescent="0.25">
      <c r="A43" s="32" t="s">
        <v>350</v>
      </c>
      <c r="B43" s="109" t="s">
        <v>351</v>
      </c>
      <c r="C43" s="32">
        <v>212</v>
      </c>
      <c r="D43" s="109">
        <f t="shared" ref="D43:D48" si="3">C43</f>
        <v>212</v>
      </c>
      <c r="E43" s="110">
        <f t="shared" ref="E43:E48" si="4">C$32/D$49*D43</f>
        <v>140.65353489082304</v>
      </c>
      <c r="F43" s="111"/>
      <c r="G43" s="93"/>
      <c r="L43" s="99"/>
    </row>
    <row r="44" spans="1:12" ht="15.4" customHeight="1" x14ac:dyDescent="0.25">
      <c r="A44" s="32" t="s">
        <v>127</v>
      </c>
      <c r="B44" s="109" t="s">
        <v>352</v>
      </c>
      <c r="C44" s="32">
        <v>571</v>
      </c>
      <c r="D44" s="3">
        <f t="shared" si="3"/>
        <v>571</v>
      </c>
      <c r="E44" s="89">
        <f t="shared" si="4"/>
        <v>378.83570010688658</v>
      </c>
      <c r="F44" s="112"/>
      <c r="G44" s="63" t="s">
        <v>135</v>
      </c>
      <c r="H44" s="63" t="s">
        <v>347</v>
      </c>
      <c r="I44" s="63" t="s">
        <v>338</v>
      </c>
      <c r="L44" s="99"/>
    </row>
    <row r="45" spans="1:12" ht="15.4" customHeight="1" x14ac:dyDescent="0.25">
      <c r="A45" s="32" t="s">
        <v>353</v>
      </c>
      <c r="B45" s="109" t="s">
        <v>354</v>
      </c>
      <c r="C45" s="32">
        <v>901</v>
      </c>
      <c r="D45" s="3">
        <f t="shared" si="3"/>
        <v>901</v>
      </c>
      <c r="E45" s="89">
        <f t="shared" si="4"/>
        <v>597.77752328599786</v>
      </c>
      <c r="F45" s="113"/>
      <c r="G45" s="32" t="s">
        <v>125</v>
      </c>
      <c r="H45" s="109" t="s">
        <v>341</v>
      </c>
      <c r="I45" s="32">
        <v>203</v>
      </c>
      <c r="L45" s="99"/>
    </row>
    <row r="46" spans="1:12" ht="15.4" customHeight="1" x14ac:dyDescent="0.25">
      <c r="A46" s="32" t="s">
        <v>355</v>
      </c>
      <c r="B46" s="109" t="s">
        <v>356</v>
      </c>
      <c r="C46" s="32">
        <v>1899</v>
      </c>
      <c r="D46" s="3">
        <f t="shared" si="3"/>
        <v>1899</v>
      </c>
      <c r="E46" s="89">
        <f t="shared" si="4"/>
        <v>1259.9106733852498</v>
      </c>
      <c r="F46" s="112"/>
      <c r="G46" s="32" t="s">
        <v>357</v>
      </c>
      <c r="H46" s="109" t="s">
        <v>341</v>
      </c>
      <c r="I46" s="32">
        <v>588</v>
      </c>
      <c r="L46" s="99"/>
    </row>
    <row r="47" spans="1:12" ht="15.4" customHeight="1" x14ac:dyDescent="0.25">
      <c r="A47" s="32" t="s">
        <v>358</v>
      </c>
      <c r="B47" s="109" t="s">
        <v>359</v>
      </c>
      <c r="C47" s="32">
        <v>16064</v>
      </c>
      <c r="D47" s="3">
        <f t="shared" si="3"/>
        <v>16064</v>
      </c>
      <c r="E47" s="89">
        <f t="shared" si="4"/>
        <v>10657.822568331043</v>
      </c>
      <c r="F47" s="113"/>
      <c r="G47" s="32" t="s">
        <v>360</v>
      </c>
      <c r="H47" s="109" t="s">
        <v>341</v>
      </c>
      <c r="I47" s="32">
        <v>15959</v>
      </c>
      <c r="L47" s="99"/>
    </row>
    <row r="48" spans="1:12" ht="15.4" customHeight="1" x14ac:dyDescent="0.25">
      <c r="A48" s="32" t="s">
        <v>361</v>
      </c>
      <c r="B48" s="109" t="s">
        <v>361</v>
      </c>
      <c r="C48" s="32">
        <v>1056</v>
      </c>
      <c r="D48" s="3">
        <f t="shared" si="3"/>
        <v>1056</v>
      </c>
      <c r="E48" s="89">
        <f t="shared" si="4"/>
        <v>700.61383417315631</v>
      </c>
      <c r="F48" s="112" t="s">
        <v>362</v>
      </c>
      <c r="G48" s="63" t="s">
        <v>344</v>
      </c>
      <c r="H48" s="3"/>
      <c r="I48" s="3">
        <f>SUM(J48:J52,I45:I46)</f>
        <v>791</v>
      </c>
      <c r="L48" s="99"/>
    </row>
    <row r="49" spans="1:12" ht="15.4" customHeight="1" x14ac:dyDescent="0.25">
      <c r="A49" s="63" t="s">
        <v>344</v>
      </c>
      <c r="B49" s="63"/>
      <c r="C49" s="63">
        <f>SUM(C43:C48)</f>
        <v>20703</v>
      </c>
      <c r="D49" s="63">
        <f>SUM(D43:D47)</f>
        <v>19647</v>
      </c>
      <c r="E49" s="114">
        <f>SUM(E43:E47)</f>
        <v>13035</v>
      </c>
      <c r="L49" s="99"/>
    </row>
    <row r="50" spans="1:12" ht="15.4" customHeight="1" x14ac:dyDescent="0.25">
      <c r="A50" s="67"/>
      <c r="B50" s="68"/>
      <c r="C50" s="67"/>
      <c r="D50" s="68"/>
      <c r="E50" s="115"/>
      <c r="F50" s="112"/>
      <c r="L50" s="99"/>
    </row>
    <row r="51" spans="1:12" ht="15.4" customHeight="1" x14ac:dyDescent="0.25">
      <c r="A51" s="93" t="s">
        <v>363</v>
      </c>
      <c r="D51" s="68"/>
      <c r="E51" s="115"/>
      <c r="F51" s="112"/>
      <c r="H51" s="67"/>
      <c r="I51" s="68"/>
      <c r="J51" s="67"/>
      <c r="L51" s="99"/>
    </row>
    <row r="52" spans="1:12" ht="15.4" customHeight="1" x14ac:dyDescent="0.25">
      <c r="D52" s="68"/>
      <c r="E52" s="115"/>
      <c r="F52" s="112"/>
      <c r="H52" s="68"/>
      <c r="I52" s="68"/>
      <c r="J52" s="68"/>
      <c r="L52" s="99"/>
    </row>
    <row r="53" spans="1:12" ht="15.4" customHeight="1" x14ac:dyDescent="0.25">
      <c r="A53" s="368" t="s">
        <v>364</v>
      </c>
      <c r="B53" s="368"/>
      <c r="D53" s="68"/>
      <c r="E53" s="115"/>
      <c r="F53" s="112"/>
      <c r="H53" s="68"/>
      <c r="I53" s="68"/>
      <c r="J53" s="68"/>
      <c r="L53" s="99"/>
    </row>
    <row r="54" spans="1:12" ht="15.4" customHeight="1" x14ac:dyDescent="0.25">
      <c r="D54" s="68"/>
      <c r="E54" s="115"/>
      <c r="F54" s="112"/>
      <c r="H54" s="68"/>
      <c r="I54" s="68"/>
      <c r="J54" s="68"/>
      <c r="L54" s="99"/>
    </row>
    <row r="55" spans="1:12" ht="15.4" customHeight="1" x14ac:dyDescent="0.25">
      <c r="A55" s="63" t="s">
        <v>135</v>
      </c>
      <c r="B55" s="63" t="s">
        <v>347</v>
      </c>
      <c r="C55" s="63" t="s">
        <v>338</v>
      </c>
      <c r="D55" s="68"/>
      <c r="E55" s="115"/>
      <c r="F55" s="112"/>
      <c r="L55" s="99"/>
    </row>
    <row r="56" spans="1:12" ht="15.4" customHeight="1" x14ac:dyDescent="0.25">
      <c r="A56" s="32" t="s">
        <v>358</v>
      </c>
      <c r="B56" s="109" t="s">
        <v>342</v>
      </c>
      <c r="C56" s="32">
        <v>6136</v>
      </c>
      <c r="D56" s="68"/>
      <c r="E56" s="115"/>
      <c r="F56" s="112"/>
      <c r="L56" s="99"/>
    </row>
    <row r="57" spans="1:12" ht="15.4" customHeight="1" x14ac:dyDescent="0.25">
      <c r="A57" s="63" t="s">
        <v>365</v>
      </c>
      <c r="B57" s="63"/>
      <c r="C57" s="63">
        <f>SUM(C56)</f>
        <v>6136</v>
      </c>
      <c r="F57" s="113"/>
      <c r="L57" s="99"/>
    </row>
    <row r="58" spans="1:12" ht="15.4" customHeight="1" x14ac:dyDescent="0.25">
      <c r="F58" s="113"/>
      <c r="L58" s="99"/>
    </row>
    <row r="59" spans="1:12" ht="15.4" customHeight="1" x14ac:dyDescent="0.25">
      <c r="L59" s="99"/>
    </row>
    <row r="60" spans="1:12" ht="15.4" customHeight="1" x14ac:dyDescent="0.25">
      <c r="A60" t="s">
        <v>366</v>
      </c>
      <c r="L60" s="99"/>
    </row>
    <row r="61" spans="1:12" ht="15.4" customHeight="1" x14ac:dyDescent="0.25">
      <c r="A61" s="98"/>
      <c r="L61" s="99"/>
    </row>
    <row r="62" spans="1:12" ht="15.4" customHeight="1" x14ac:dyDescent="0.25">
      <c r="A62" s="108"/>
      <c r="B62" s="63" t="s">
        <v>367</v>
      </c>
      <c r="C62" s="63" t="s">
        <v>228</v>
      </c>
      <c r="D62" s="63" t="s">
        <v>368</v>
      </c>
      <c r="E62" s="3" t="s">
        <v>8</v>
      </c>
      <c r="L62" s="99"/>
    </row>
    <row r="63" spans="1:12" ht="15.4" customHeight="1" x14ac:dyDescent="0.25">
      <c r="A63" s="34" t="s">
        <v>230</v>
      </c>
      <c r="B63" s="89">
        <f>E43+E47+I47+C56</f>
        <v>32893.476103221867</v>
      </c>
      <c r="C63" s="8">
        <f>B63*1000*(0.216+2.31)</f>
        <v>83088920.636738449</v>
      </c>
      <c r="D63" s="3">
        <f>B63*1000*[1]Sheet1!$M$3</f>
        <v>363273543.58194</v>
      </c>
      <c r="E63" s="3">
        <v>33</v>
      </c>
      <c r="L63" s="99"/>
    </row>
    <row r="64" spans="1:12" ht="15.4" customHeight="1" x14ac:dyDescent="0.25">
      <c r="A64" s="34" t="s">
        <v>355</v>
      </c>
      <c r="B64" s="89">
        <f>E46</f>
        <v>1259.9106733852498</v>
      </c>
      <c r="C64" s="8">
        <f>B64*1000*(5.4+0.38)</f>
        <v>7282283.6921667438</v>
      </c>
      <c r="D64" s="3">
        <f>B64*1000*[1]Sheet1!$M$5</f>
        <v>27230247.798167661</v>
      </c>
      <c r="E64" s="3">
        <v>33</v>
      </c>
      <c r="L64" s="99"/>
    </row>
    <row r="65" spans="1:12" ht="15.4" customHeight="1" x14ac:dyDescent="0.25">
      <c r="A65" s="34" t="s">
        <v>127</v>
      </c>
      <c r="B65" s="89">
        <f>E44</f>
        <v>378.83570010688658</v>
      </c>
      <c r="C65" s="3">
        <f>B65*1000*(3.62+0.37)</f>
        <v>1511554.4434264775</v>
      </c>
      <c r="D65" s="3">
        <f>B65*1000*[1]Sheet1!$M$6</f>
        <v>6745393.5323018786</v>
      </c>
      <c r="E65" s="3">
        <v>33</v>
      </c>
      <c r="L65" s="99"/>
    </row>
    <row r="66" spans="1:12" ht="15.4" customHeight="1" x14ac:dyDescent="0.25">
      <c r="A66" s="34" t="s">
        <v>353</v>
      </c>
      <c r="B66" s="89">
        <f>E45</f>
        <v>597.77752328599786</v>
      </c>
      <c r="C66" s="3">
        <f>B66*1000*(3.62+0.37)</f>
        <v>2385132.3179111318</v>
      </c>
      <c r="D66" s="3">
        <f>B66*1000*[1]Sheet1!$M$6</f>
        <v>10643782.088623455</v>
      </c>
      <c r="E66" s="3">
        <v>33</v>
      </c>
      <c r="L66" s="99"/>
    </row>
    <row r="67" spans="1:12" ht="15.4" customHeight="1" x14ac:dyDescent="0.25">
      <c r="A67" s="34" t="s">
        <v>357</v>
      </c>
      <c r="B67" s="3">
        <f>I46</f>
        <v>588</v>
      </c>
      <c r="C67" s="3">
        <f>B67*0.89*1000</f>
        <v>523320.00000000006</v>
      </c>
      <c r="D67" s="3">
        <f>B67*1000*[1]Sheet1!$M$29</f>
        <v>796313.7</v>
      </c>
      <c r="E67" s="3">
        <v>33</v>
      </c>
      <c r="L67" s="99"/>
    </row>
    <row r="68" spans="1:12" ht="15.4" customHeight="1" x14ac:dyDescent="0.25">
      <c r="A68" s="34" t="s">
        <v>125</v>
      </c>
      <c r="B68" s="3">
        <f>I45</f>
        <v>203</v>
      </c>
      <c r="C68" s="3">
        <f>B68*(12.4+0.67)*1000</f>
        <v>2653210</v>
      </c>
      <c r="D68" s="3">
        <f>B68*1000*[1]Sheet1!$M$12</f>
        <v>11362988.132999999</v>
      </c>
      <c r="E68" s="3">
        <v>33</v>
      </c>
      <c r="L68" s="99"/>
    </row>
    <row r="69" spans="1:12" ht="15.4" customHeight="1" x14ac:dyDescent="0.25">
      <c r="A69" s="116" t="s">
        <v>169</v>
      </c>
      <c r="B69" s="89">
        <f>SUM(B63:B68)</f>
        <v>35921.000000000007</v>
      </c>
      <c r="C69" s="117">
        <f t="shared" ref="C69:D69" si="5">SUM(C63:C68)</f>
        <v>97444421.090242803</v>
      </c>
      <c r="D69" s="117">
        <f t="shared" si="5"/>
        <v>420052268.83403301</v>
      </c>
      <c r="E69" s="3"/>
      <c r="L69" s="99"/>
    </row>
    <row r="70" spans="1:12" ht="15.4" customHeight="1" thickBot="1" x14ac:dyDescent="0.3">
      <c r="A70" s="118"/>
      <c r="B70" s="102"/>
      <c r="C70" s="102"/>
      <c r="D70" s="102"/>
      <c r="E70" s="102"/>
      <c r="F70" s="102"/>
      <c r="G70" s="102"/>
      <c r="H70" s="102"/>
      <c r="I70" s="102"/>
      <c r="J70" s="102"/>
      <c r="K70" s="102"/>
      <c r="L70" s="103"/>
    </row>
    <row r="71" spans="1:12" ht="15.4" customHeight="1" thickBot="1" x14ac:dyDescent="0.3"/>
    <row r="72" spans="1:12" ht="15.4" customHeight="1" x14ac:dyDescent="0.25">
      <c r="A72" s="119"/>
      <c r="B72" s="96"/>
      <c r="C72" s="96"/>
      <c r="D72" s="96"/>
      <c r="E72" s="96"/>
      <c r="F72" s="96"/>
      <c r="G72" s="96"/>
      <c r="H72" s="96"/>
      <c r="I72" s="96"/>
      <c r="J72" s="96"/>
      <c r="K72" s="96"/>
      <c r="L72" s="97"/>
    </row>
    <row r="73" spans="1:12" ht="15.4" customHeight="1" x14ac:dyDescent="0.25">
      <c r="A73" s="371" t="s">
        <v>369</v>
      </c>
      <c r="B73" s="372"/>
      <c r="C73" s="372"/>
      <c r="L73" s="99"/>
    </row>
    <row r="74" spans="1:12" ht="15.4" customHeight="1" x14ac:dyDescent="0.25">
      <c r="A74" s="98"/>
      <c r="L74" s="99"/>
    </row>
    <row r="75" spans="1:12" ht="15.4" customHeight="1" x14ac:dyDescent="0.25">
      <c r="A75" s="367" t="s">
        <v>1138</v>
      </c>
      <c r="B75" s="368"/>
      <c r="C75" s="368"/>
      <c r="D75" s="368"/>
      <c r="E75" s="368"/>
      <c r="F75" s="368"/>
      <c r="L75" s="99"/>
    </row>
    <row r="76" spans="1:12" ht="15.4" customHeight="1" x14ac:dyDescent="0.25">
      <c r="A76" s="367"/>
      <c r="B76" s="368"/>
      <c r="C76" s="368"/>
      <c r="D76" s="368"/>
      <c r="E76" s="368"/>
      <c r="F76" s="368"/>
      <c r="L76" s="99"/>
    </row>
    <row r="77" spans="1:12" ht="15.4" customHeight="1" x14ac:dyDescent="0.25">
      <c r="A77" s="106"/>
      <c r="B77" s="92"/>
      <c r="C77" s="92"/>
      <c r="D77" s="92"/>
      <c r="E77" s="92"/>
      <c r="F77" s="92"/>
      <c r="J77" s="93" t="s">
        <v>98</v>
      </c>
      <c r="L77" s="99"/>
    </row>
    <row r="78" spans="1:12" ht="15.4" customHeight="1" x14ac:dyDescent="0.25">
      <c r="A78" s="98" t="s">
        <v>370</v>
      </c>
      <c r="L78" s="99"/>
    </row>
    <row r="79" spans="1:12" ht="15.4" customHeight="1" x14ac:dyDescent="0.25">
      <c r="A79" s="34"/>
      <c r="B79" s="1" t="s">
        <v>371</v>
      </c>
      <c r="C79" s="1" t="s">
        <v>372</v>
      </c>
      <c r="D79" s="1" t="s">
        <v>121</v>
      </c>
      <c r="E79" s="1" t="s">
        <v>373</v>
      </c>
      <c r="F79" s="360" t="s">
        <v>374</v>
      </c>
      <c r="G79" s="360"/>
      <c r="H79" s="365"/>
      <c r="J79" s="3"/>
      <c r="K79" s="1" t="s">
        <v>373</v>
      </c>
      <c r="L79" s="1" t="s">
        <v>121</v>
      </c>
    </row>
    <row r="80" spans="1:12" ht="15.4" customHeight="1" x14ac:dyDescent="0.25">
      <c r="A80" s="120" t="s">
        <v>375</v>
      </c>
      <c r="B80" s="3">
        <v>246371</v>
      </c>
      <c r="C80" s="3">
        <v>25279</v>
      </c>
      <c r="D80" s="1">
        <f t="shared" ref="D80:D92" si="6">B80*277.78</f>
        <v>68436936.379999995</v>
      </c>
      <c r="E80" s="1">
        <f t="shared" ref="E80:E92" si="7">C80*1000</f>
        <v>25279000</v>
      </c>
      <c r="F80" s="360" t="s">
        <v>376</v>
      </c>
      <c r="G80" s="360"/>
      <c r="H80" s="365"/>
      <c r="J80" s="3" t="s">
        <v>377</v>
      </c>
      <c r="K80" s="3">
        <f>205971925.54+D108</f>
        <v>411943851.07999992</v>
      </c>
      <c r="L80" s="3">
        <f>E82+E84+E90+E97+E99+E105</f>
        <v>108442000</v>
      </c>
    </row>
    <row r="81" spans="1:12" ht="15.4" customHeight="1" x14ac:dyDescent="0.25">
      <c r="A81" s="120" t="s">
        <v>378</v>
      </c>
      <c r="B81" s="3">
        <v>148690</v>
      </c>
      <c r="C81" s="3">
        <v>16200</v>
      </c>
      <c r="D81" s="1">
        <f t="shared" si="6"/>
        <v>41303108.199999996</v>
      </c>
      <c r="E81" s="1">
        <f t="shared" si="7"/>
        <v>16200000</v>
      </c>
      <c r="F81" s="360"/>
      <c r="G81" s="360"/>
      <c r="H81" s="365"/>
      <c r="J81" s="3" t="s">
        <v>379</v>
      </c>
      <c r="K81" s="121">
        <f>SUM(D91+D86+D83+D104+D99+D98)/K80</f>
        <v>0.3792577947465452</v>
      </c>
      <c r="L81" s="121">
        <f>SUM(E91+E86+E83+E104+E99+E98)/L80</f>
        <v>0.38507220449641283</v>
      </c>
    </row>
    <row r="82" spans="1:12" ht="15.4" customHeight="1" x14ac:dyDescent="0.25">
      <c r="A82" s="122" t="s">
        <v>380</v>
      </c>
      <c r="B82" s="123">
        <v>519355</v>
      </c>
      <c r="C82" s="123">
        <v>38560</v>
      </c>
      <c r="D82" s="19">
        <f t="shared" si="6"/>
        <v>144266431.89999998</v>
      </c>
      <c r="E82" s="19">
        <f t="shared" si="7"/>
        <v>38560000</v>
      </c>
      <c r="F82" s="373" t="s">
        <v>381</v>
      </c>
      <c r="G82" s="374"/>
      <c r="H82" s="374"/>
      <c r="J82" s="3" t="s">
        <v>382</v>
      </c>
      <c r="K82" s="121">
        <f>SUM(D85,D100,D104,D82,D97)/K80</f>
        <v>1.5396409676153386</v>
      </c>
      <c r="L82" s="121">
        <f>SUM(E85,E100,E104,E82,E97)/L80</f>
        <v>1.5632688441747662</v>
      </c>
    </row>
    <row r="83" spans="1:12" ht="15.4" customHeight="1" x14ac:dyDescent="0.25">
      <c r="A83" s="124" t="s">
        <v>383</v>
      </c>
      <c r="B83" s="125">
        <v>90510</v>
      </c>
      <c r="C83" s="125">
        <v>6720</v>
      </c>
      <c r="D83" s="39">
        <f t="shared" si="6"/>
        <v>25141867.799999997</v>
      </c>
      <c r="E83" s="39">
        <f t="shared" si="7"/>
        <v>6720000</v>
      </c>
      <c r="F83" s="375" t="s">
        <v>384</v>
      </c>
      <c r="G83" s="376"/>
      <c r="H83" s="376"/>
      <c r="I83" s="126"/>
      <c r="L83" s="99"/>
    </row>
    <row r="84" spans="1:12" ht="15.4" customHeight="1" x14ac:dyDescent="0.25">
      <c r="A84" s="122" t="s">
        <v>385</v>
      </c>
      <c r="B84" s="123">
        <v>146368</v>
      </c>
      <c r="C84" s="123">
        <v>10867</v>
      </c>
      <c r="D84" s="19">
        <f t="shared" si="6"/>
        <v>40658103.039999999</v>
      </c>
      <c r="E84" s="19">
        <f t="shared" si="7"/>
        <v>10867000</v>
      </c>
      <c r="F84" s="373" t="s">
        <v>381</v>
      </c>
      <c r="G84" s="374"/>
      <c r="H84" s="374"/>
      <c r="I84" s="126"/>
      <c r="J84" s="127"/>
      <c r="K84" s="127"/>
      <c r="L84" s="99"/>
    </row>
    <row r="85" spans="1:12" ht="15.4" customHeight="1" x14ac:dyDescent="0.25">
      <c r="A85" s="128" t="s">
        <v>386</v>
      </c>
      <c r="B85" s="129">
        <v>584393</v>
      </c>
      <c r="C85" s="129">
        <v>43389</v>
      </c>
      <c r="D85" s="37">
        <f t="shared" si="6"/>
        <v>162332687.53999999</v>
      </c>
      <c r="E85" s="37">
        <f t="shared" si="7"/>
        <v>43389000</v>
      </c>
      <c r="F85" s="365" t="s">
        <v>387</v>
      </c>
      <c r="G85" s="366"/>
      <c r="H85" s="366"/>
      <c r="I85" s="126"/>
      <c r="L85" s="99"/>
    </row>
    <row r="86" spans="1:12" ht="15.4" customHeight="1" x14ac:dyDescent="0.25">
      <c r="A86" s="124" t="s">
        <v>388</v>
      </c>
      <c r="B86" s="125">
        <v>99389</v>
      </c>
      <c r="C86" s="125">
        <v>7379</v>
      </c>
      <c r="D86" s="39">
        <f t="shared" si="6"/>
        <v>27608276.419999998</v>
      </c>
      <c r="E86" s="39">
        <f t="shared" si="7"/>
        <v>7379000</v>
      </c>
      <c r="F86" s="375" t="s">
        <v>389</v>
      </c>
      <c r="G86" s="376"/>
      <c r="H86" s="376"/>
      <c r="I86" s="126"/>
      <c r="L86" s="99"/>
    </row>
    <row r="87" spans="1:12" ht="15.4" customHeight="1" x14ac:dyDescent="0.25">
      <c r="A87" s="116" t="s">
        <v>390</v>
      </c>
      <c r="B87" s="3">
        <v>417294</v>
      </c>
      <c r="C87" s="3">
        <v>30982</v>
      </c>
      <c r="D87" s="1">
        <f t="shared" si="6"/>
        <v>115915927.31999999</v>
      </c>
      <c r="E87" s="1">
        <f t="shared" si="7"/>
        <v>30982000</v>
      </c>
      <c r="F87" s="365" t="s">
        <v>391</v>
      </c>
      <c r="G87" s="366"/>
      <c r="H87" s="366"/>
      <c r="I87" s="126"/>
      <c r="L87" s="99"/>
    </row>
    <row r="88" spans="1:12" ht="15.4" customHeight="1" x14ac:dyDescent="0.25">
      <c r="A88" s="116" t="s">
        <v>392</v>
      </c>
      <c r="B88" s="3">
        <v>160763</v>
      </c>
      <c r="C88" s="3">
        <v>11936</v>
      </c>
      <c r="D88" s="1">
        <f t="shared" si="6"/>
        <v>44656746.139999993</v>
      </c>
      <c r="E88" s="1">
        <f t="shared" si="7"/>
        <v>11936000</v>
      </c>
      <c r="F88" s="365" t="s">
        <v>391</v>
      </c>
      <c r="G88" s="366"/>
      <c r="H88" s="366"/>
      <c r="I88" s="126"/>
      <c r="L88" s="99"/>
    </row>
    <row r="89" spans="1:12" ht="15.4" customHeight="1" x14ac:dyDescent="0.25">
      <c r="A89" s="128" t="s">
        <v>393</v>
      </c>
      <c r="B89" s="129">
        <v>75770</v>
      </c>
      <c r="C89" s="129">
        <v>5626</v>
      </c>
      <c r="D89" s="37">
        <f t="shared" si="6"/>
        <v>21047390.599999998</v>
      </c>
      <c r="E89" s="37">
        <f t="shared" si="7"/>
        <v>5626000</v>
      </c>
      <c r="F89" s="377" t="s">
        <v>387</v>
      </c>
      <c r="G89" s="378"/>
      <c r="H89" s="378"/>
      <c r="I89" s="130"/>
      <c r="J89" s="92"/>
      <c r="L89" s="131"/>
    </row>
    <row r="90" spans="1:12" ht="15.4" customHeight="1" x14ac:dyDescent="0.25">
      <c r="A90" s="122" t="s">
        <v>394</v>
      </c>
      <c r="B90" s="123">
        <v>39556</v>
      </c>
      <c r="C90" s="123">
        <v>4794</v>
      </c>
      <c r="D90" s="19">
        <f t="shared" si="6"/>
        <v>10987865.68</v>
      </c>
      <c r="E90" s="19">
        <f t="shared" si="7"/>
        <v>4794000</v>
      </c>
      <c r="F90" s="373" t="s">
        <v>381</v>
      </c>
      <c r="G90" s="374"/>
      <c r="H90" s="374"/>
      <c r="I90" s="126"/>
      <c r="L90" s="131"/>
    </row>
    <row r="91" spans="1:12" ht="15.4" customHeight="1" x14ac:dyDescent="0.25">
      <c r="A91" s="124" t="s">
        <v>395</v>
      </c>
      <c r="B91" s="125">
        <v>59887</v>
      </c>
      <c r="C91" s="125">
        <v>4446</v>
      </c>
      <c r="D91" s="39">
        <f t="shared" si="6"/>
        <v>16635410.859999998</v>
      </c>
      <c r="E91" s="39">
        <f t="shared" si="7"/>
        <v>4446000</v>
      </c>
      <c r="F91" s="375" t="s">
        <v>389</v>
      </c>
      <c r="G91" s="376"/>
      <c r="H91" s="376"/>
      <c r="I91" s="126"/>
      <c r="L91" s="131"/>
    </row>
    <row r="92" spans="1:12" ht="15.4" customHeight="1" x14ac:dyDescent="0.25">
      <c r="A92" s="3" t="s">
        <v>396</v>
      </c>
      <c r="B92" s="3">
        <v>3448</v>
      </c>
      <c r="C92" s="3">
        <v>256</v>
      </c>
      <c r="D92" s="1">
        <f t="shared" si="6"/>
        <v>957785.44</v>
      </c>
      <c r="E92" s="1">
        <f t="shared" si="7"/>
        <v>256000</v>
      </c>
      <c r="F92" s="365" t="s">
        <v>391</v>
      </c>
      <c r="G92" s="366"/>
      <c r="H92" s="366"/>
      <c r="L92" s="131"/>
    </row>
    <row r="93" spans="1:12" ht="15.4" customHeight="1" x14ac:dyDescent="0.25">
      <c r="A93" s="63" t="s">
        <v>397</v>
      </c>
      <c r="B93" s="63"/>
      <c r="C93" s="63"/>
      <c r="D93" s="132">
        <f>D89+D84+D82</f>
        <v>205971925.53999996</v>
      </c>
      <c r="E93" s="132">
        <f>E90+E84+E82</f>
        <v>54221000</v>
      </c>
      <c r="F93" s="360"/>
      <c r="G93" s="360"/>
      <c r="H93" s="360"/>
      <c r="L93" s="99"/>
    </row>
    <row r="94" spans="1:12" ht="15.4" customHeight="1" x14ac:dyDescent="0.25">
      <c r="A94" s="98"/>
      <c r="L94" s="99"/>
    </row>
    <row r="95" spans="1:12" ht="15.4" customHeight="1" x14ac:dyDescent="0.25">
      <c r="A95" s="98" t="s">
        <v>398</v>
      </c>
      <c r="L95" s="99"/>
    </row>
    <row r="96" spans="1:12" ht="15.4" customHeight="1" x14ac:dyDescent="0.25">
      <c r="A96" s="34"/>
      <c r="B96" s="1" t="s">
        <v>371</v>
      </c>
      <c r="C96" s="1" t="s">
        <v>372</v>
      </c>
      <c r="D96" s="1" t="s">
        <v>121</v>
      </c>
      <c r="E96" s="1" t="s">
        <v>373</v>
      </c>
      <c r="F96" s="360" t="s">
        <v>374</v>
      </c>
      <c r="G96" s="360"/>
      <c r="H96" s="360"/>
      <c r="L96" s="99"/>
    </row>
    <row r="97" spans="1:12" ht="15.4" customHeight="1" x14ac:dyDescent="0.25">
      <c r="A97" s="122" t="s">
        <v>380</v>
      </c>
      <c r="B97" s="123">
        <v>519355</v>
      </c>
      <c r="C97" s="123">
        <v>38560</v>
      </c>
      <c r="D97" s="19">
        <f t="shared" ref="D97:D107" si="8">B97*277.78</f>
        <v>144266431.89999998</v>
      </c>
      <c r="E97" s="19">
        <f t="shared" ref="E97:E107" si="9">C97*1000</f>
        <v>38560000</v>
      </c>
      <c r="F97" s="373" t="s">
        <v>399</v>
      </c>
      <c r="G97" s="374"/>
      <c r="H97" s="374"/>
      <c r="L97" s="99"/>
    </row>
    <row r="98" spans="1:12" ht="15.4" customHeight="1" x14ac:dyDescent="0.25">
      <c r="A98" s="124" t="s">
        <v>383</v>
      </c>
      <c r="B98" s="125">
        <v>90510</v>
      </c>
      <c r="C98" s="125">
        <v>6720</v>
      </c>
      <c r="D98" s="39">
        <f t="shared" si="8"/>
        <v>25141867.799999997</v>
      </c>
      <c r="E98" s="39">
        <f t="shared" si="9"/>
        <v>6720000</v>
      </c>
      <c r="F98" s="375" t="s">
        <v>384</v>
      </c>
      <c r="G98" s="376"/>
      <c r="H98" s="376"/>
      <c r="L98" s="99"/>
    </row>
    <row r="99" spans="1:12" ht="15.4" customHeight="1" x14ac:dyDescent="0.25">
      <c r="A99" s="122" t="s">
        <v>385</v>
      </c>
      <c r="B99" s="123">
        <v>146368</v>
      </c>
      <c r="C99" s="123">
        <v>10867</v>
      </c>
      <c r="D99" s="19">
        <f t="shared" si="8"/>
        <v>40658103.039999999</v>
      </c>
      <c r="E99" s="19">
        <f t="shared" si="9"/>
        <v>10867000</v>
      </c>
      <c r="F99" s="373" t="s">
        <v>400</v>
      </c>
      <c r="G99" s="374"/>
      <c r="H99" s="374"/>
      <c r="L99" s="99"/>
    </row>
    <row r="100" spans="1:12" ht="15.4" customHeight="1" x14ac:dyDescent="0.25">
      <c r="A100" s="128" t="s">
        <v>386</v>
      </c>
      <c r="B100" s="129">
        <v>584393</v>
      </c>
      <c r="C100" s="129">
        <v>43389</v>
      </c>
      <c r="D100" s="37">
        <f t="shared" si="8"/>
        <v>162332687.53999999</v>
      </c>
      <c r="E100" s="37">
        <f t="shared" si="9"/>
        <v>43389000</v>
      </c>
      <c r="F100" s="377" t="s">
        <v>387</v>
      </c>
      <c r="G100" s="378"/>
      <c r="H100" s="378"/>
      <c r="L100" s="99"/>
    </row>
    <row r="101" spans="1:12" ht="15.4" customHeight="1" x14ac:dyDescent="0.25">
      <c r="A101" s="116" t="s">
        <v>388</v>
      </c>
      <c r="B101" s="3">
        <v>99389</v>
      </c>
      <c r="C101" s="3">
        <v>7379</v>
      </c>
      <c r="D101" s="1">
        <f t="shared" si="8"/>
        <v>27608276.419999998</v>
      </c>
      <c r="E101" s="1">
        <f t="shared" si="9"/>
        <v>7379000</v>
      </c>
      <c r="F101" s="365" t="s">
        <v>391</v>
      </c>
      <c r="G101" s="366"/>
      <c r="H101" s="366"/>
      <c r="L101" s="99"/>
    </row>
    <row r="102" spans="1:12" ht="15.4" customHeight="1" x14ac:dyDescent="0.25">
      <c r="A102" s="116" t="s">
        <v>390</v>
      </c>
      <c r="B102" s="3">
        <v>417294</v>
      </c>
      <c r="C102" s="3">
        <v>30982</v>
      </c>
      <c r="D102" s="1">
        <f t="shared" si="8"/>
        <v>115915927.31999999</v>
      </c>
      <c r="E102" s="1">
        <f t="shared" si="9"/>
        <v>30982000</v>
      </c>
      <c r="F102" s="365" t="s">
        <v>391</v>
      </c>
      <c r="G102" s="366"/>
      <c r="H102" s="366"/>
      <c r="L102" s="99"/>
    </row>
    <row r="103" spans="1:12" ht="15.4" customHeight="1" x14ac:dyDescent="0.25">
      <c r="A103" s="116" t="s">
        <v>392</v>
      </c>
      <c r="B103" s="3">
        <v>160763</v>
      </c>
      <c r="C103" s="3">
        <v>11936</v>
      </c>
      <c r="D103" s="1">
        <f t="shared" si="8"/>
        <v>44656746.139999993</v>
      </c>
      <c r="E103" s="1">
        <f t="shared" si="9"/>
        <v>11936000</v>
      </c>
      <c r="F103" s="365" t="s">
        <v>391</v>
      </c>
      <c r="G103" s="366"/>
      <c r="H103" s="366"/>
      <c r="L103" s="99"/>
    </row>
    <row r="104" spans="1:12" ht="15.4" customHeight="1" x14ac:dyDescent="0.25">
      <c r="A104" s="128" t="s">
        <v>393</v>
      </c>
      <c r="B104" s="129">
        <v>75770</v>
      </c>
      <c r="C104" s="129">
        <v>5626</v>
      </c>
      <c r="D104" s="37">
        <f t="shared" si="8"/>
        <v>21047390.599999998</v>
      </c>
      <c r="E104" s="37">
        <f t="shared" si="9"/>
        <v>5626000</v>
      </c>
      <c r="F104" s="377" t="s">
        <v>401</v>
      </c>
      <c r="G104" s="378"/>
      <c r="H104" s="378"/>
      <c r="L104" s="99"/>
    </row>
    <row r="105" spans="1:12" ht="15.4" customHeight="1" x14ac:dyDescent="0.25">
      <c r="A105" s="116" t="s">
        <v>394</v>
      </c>
      <c r="B105" s="3">
        <v>39556</v>
      </c>
      <c r="C105" s="3">
        <v>4794</v>
      </c>
      <c r="D105" s="1">
        <f t="shared" si="8"/>
        <v>10987865.68</v>
      </c>
      <c r="E105" s="1">
        <f t="shared" si="9"/>
        <v>4794000</v>
      </c>
      <c r="F105" s="365" t="s">
        <v>400</v>
      </c>
      <c r="G105" s="366"/>
      <c r="H105" s="366"/>
      <c r="L105" s="99"/>
    </row>
    <row r="106" spans="1:12" ht="15.4" customHeight="1" x14ac:dyDescent="0.25">
      <c r="A106" s="116" t="s">
        <v>395</v>
      </c>
      <c r="B106" s="3">
        <v>59887</v>
      </c>
      <c r="C106" s="3">
        <v>4446</v>
      </c>
      <c r="D106" s="1">
        <f t="shared" si="8"/>
        <v>16635410.859999998</v>
      </c>
      <c r="E106" s="1">
        <f t="shared" si="9"/>
        <v>4446000</v>
      </c>
      <c r="F106" s="365" t="s">
        <v>389</v>
      </c>
      <c r="G106" s="366"/>
      <c r="H106" s="366"/>
      <c r="L106" s="99"/>
    </row>
    <row r="107" spans="1:12" ht="15.4" customHeight="1" x14ac:dyDescent="0.25">
      <c r="A107" s="3" t="s">
        <v>396</v>
      </c>
      <c r="B107" s="3">
        <v>3448</v>
      </c>
      <c r="C107" s="3">
        <v>256</v>
      </c>
      <c r="D107" s="1">
        <f t="shared" si="8"/>
        <v>957785.44</v>
      </c>
      <c r="E107" s="1">
        <f t="shared" si="9"/>
        <v>256000</v>
      </c>
      <c r="F107" s="365" t="s">
        <v>391</v>
      </c>
      <c r="G107" s="366"/>
      <c r="H107" s="366"/>
      <c r="L107" s="99"/>
    </row>
    <row r="108" spans="1:12" ht="15.4" customHeight="1" x14ac:dyDescent="0.25">
      <c r="A108" s="63" t="s">
        <v>365</v>
      </c>
      <c r="B108" s="63"/>
      <c r="C108" s="63"/>
      <c r="D108" s="132">
        <f>D104+D99+D97</f>
        <v>205971925.53999996</v>
      </c>
      <c r="E108" s="132">
        <f>E104+E99+E97</f>
        <v>55053000</v>
      </c>
      <c r="F108" s="365"/>
      <c r="G108" s="366"/>
      <c r="H108" s="379"/>
      <c r="L108" s="99"/>
    </row>
    <row r="109" spans="1:12" ht="15.4" customHeight="1" x14ac:dyDescent="0.25">
      <c r="A109" s="98"/>
      <c r="L109" s="99"/>
    </row>
    <row r="110" spans="1:12" ht="15.4" customHeight="1" thickBot="1" x14ac:dyDescent="0.3">
      <c r="A110" s="118"/>
      <c r="B110" s="102"/>
      <c r="C110" s="102"/>
      <c r="D110" s="102"/>
      <c r="E110" s="102"/>
      <c r="F110" s="102"/>
      <c r="G110" s="102"/>
      <c r="H110" s="102"/>
      <c r="I110" s="102"/>
      <c r="J110" s="102"/>
      <c r="K110" s="102"/>
      <c r="L110" s="103"/>
    </row>
    <row r="111" spans="1:12" ht="15.4" customHeight="1" thickBot="1" x14ac:dyDescent="0.3"/>
    <row r="112" spans="1:12" ht="15.4" customHeight="1" x14ac:dyDescent="0.25">
      <c r="A112" s="119"/>
      <c r="B112" s="96"/>
      <c r="C112" s="96"/>
      <c r="D112" s="96"/>
      <c r="E112" s="96"/>
      <c r="F112" s="96"/>
      <c r="G112" s="96"/>
      <c r="H112" s="96"/>
      <c r="I112" s="96"/>
      <c r="J112" s="96"/>
      <c r="K112" s="96"/>
      <c r="L112" s="97"/>
    </row>
    <row r="113" spans="1:12" ht="15.4" customHeight="1" x14ac:dyDescent="0.25">
      <c r="A113" s="133" t="s">
        <v>87</v>
      </c>
      <c r="L113" s="99"/>
    </row>
    <row r="114" spans="1:12" ht="15.4" customHeight="1" x14ac:dyDescent="0.25">
      <c r="A114" s="98"/>
      <c r="L114" s="99"/>
    </row>
    <row r="115" spans="1:12" ht="15.4" customHeight="1" x14ac:dyDescent="0.25">
      <c r="A115" s="367" t="s">
        <v>402</v>
      </c>
      <c r="B115" s="368"/>
      <c r="C115" s="368"/>
      <c r="L115" s="99"/>
    </row>
    <row r="116" spans="1:12" ht="15.4" customHeight="1" x14ac:dyDescent="0.25">
      <c r="A116" s="106"/>
      <c r="B116" s="92"/>
      <c r="C116" s="92"/>
      <c r="L116" s="99"/>
    </row>
    <row r="117" spans="1:12" ht="15.4" customHeight="1" x14ac:dyDescent="0.25">
      <c r="A117" s="12" t="s">
        <v>268</v>
      </c>
      <c r="B117" s="12" t="s">
        <v>269</v>
      </c>
      <c r="C117" s="12" t="s">
        <v>8</v>
      </c>
      <c r="L117" s="99"/>
    </row>
    <row r="118" spans="1:12" ht="15.4" customHeight="1" x14ac:dyDescent="0.25">
      <c r="A118" s="1" t="s">
        <v>270</v>
      </c>
      <c r="B118" s="1" t="s">
        <v>271</v>
      </c>
      <c r="C118" s="1">
        <v>33</v>
      </c>
      <c r="L118" s="99"/>
    </row>
    <row r="119" spans="1:12" ht="15.4" customHeight="1" x14ac:dyDescent="0.25">
      <c r="D119"/>
      <c r="L119" s="99"/>
    </row>
    <row r="120" spans="1:12" ht="15.4" customHeight="1" x14ac:dyDescent="0.25">
      <c r="A120" s="98"/>
      <c r="L120" s="99"/>
    </row>
    <row r="121" spans="1:12" ht="15.4" customHeight="1" x14ac:dyDescent="0.25">
      <c r="A121" s="98"/>
      <c r="L121" s="99"/>
    </row>
    <row r="122" spans="1:12" ht="15.4" customHeight="1" x14ac:dyDescent="0.25">
      <c r="A122" s="98"/>
      <c r="L122" s="99"/>
    </row>
    <row r="123" spans="1:12" ht="15.4" customHeight="1" thickBot="1" x14ac:dyDescent="0.3">
      <c r="A123" s="118"/>
      <c r="B123" s="102"/>
      <c r="C123" s="102"/>
      <c r="D123" s="102"/>
      <c r="E123" s="102"/>
      <c r="F123" s="102"/>
      <c r="G123" s="102"/>
      <c r="H123" s="102"/>
      <c r="I123" s="102"/>
      <c r="J123" s="102"/>
      <c r="K123" s="102"/>
      <c r="L123" s="103"/>
    </row>
  </sheetData>
  <mergeCells count="42">
    <mergeCell ref="F106:H106"/>
    <mergeCell ref="F107:H107"/>
    <mergeCell ref="F108:H108"/>
    <mergeCell ref="A115:C115"/>
    <mergeCell ref="F100:H100"/>
    <mergeCell ref="F101:H101"/>
    <mergeCell ref="F102:H102"/>
    <mergeCell ref="F103:H103"/>
    <mergeCell ref="F104:H104"/>
    <mergeCell ref="F105:H105"/>
    <mergeCell ref="F99:H99"/>
    <mergeCell ref="F86:H86"/>
    <mergeCell ref="F87:H87"/>
    <mergeCell ref="F88:H88"/>
    <mergeCell ref="F89:H89"/>
    <mergeCell ref="F90:H90"/>
    <mergeCell ref="F91:H91"/>
    <mergeCell ref="F92:H92"/>
    <mergeCell ref="F93:H93"/>
    <mergeCell ref="F96:H96"/>
    <mergeCell ref="F97:H97"/>
    <mergeCell ref="F98:H98"/>
    <mergeCell ref="F85:H85"/>
    <mergeCell ref="A29:C29"/>
    <mergeCell ref="A38:B38"/>
    <mergeCell ref="A40:F40"/>
    <mergeCell ref="A53:B53"/>
    <mergeCell ref="A73:C73"/>
    <mergeCell ref="A75:F76"/>
    <mergeCell ref="F79:H79"/>
    <mergeCell ref="F80:H81"/>
    <mergeCell ref="F82:H82"/>
    <mergeCell ref="F83:H83"/>
    <mergeCell ref="F84:H84"/>
    <mergeCell ref="A26:A27"/>
    <mergeCell ref="B26:F27"/>
    <mergeCell ref="G26:H27"/>
    <mergeCell ref="I2:N2"/>
    <mergeCell ref="O2:T2"/>
    <mergeCell ref="C14:D14"/>
    <mergeCell ref="A20:I21"/>
    <mergeCell ref="B24:C24"/>
  </mergeCells>
  <hyperlinks>
    <hyperlink ref="G26" r:id="rId1" display="https://assets.publishing.service.gov.uk/government/uploads/system/uploads/attachment_data/file/264736/Miller_Decomm_Programme.pdf" xr:uid="{8C12ACEC-B2FA-4EEE-AA1A-43C13A244BE4}"/>
    <hyperlink ref="B1" location="'3. H2 Production Infrastructure'!A1" display="production infrastructure" xr:uid="{34EA5694-2498-4B43-90DC-23EDE225E845}"/>
    <hyperlink ref="A1" location="Contents!A1" display="contents" xr:uid="{60645D00-A7C9-470B-919F-9821A6EE9E1B}"/>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168F-BE72-4AEF-860C-052A449EFC65}">
  <dimension ref="A1:V115"/>
  <sheetViews>
    <sheetView zoomScale="85" zoomScaleNormal="85" workbookViewId="0">
      <selection activeCell="E17" sqref="E17"/>
    </sheetView>
  </sheetViews>
  <sheetFormatPr defaultRowHeight="15" x14ac:dyDescent="0.25"/>
  <cols>
    <col min="2" max="2" width="18.42578125" customWidth="1"/>
    <col min="3" max="3" width="19.28515625" bestFit="1" customWidth="1"/>
    <col min="4" max="4" width="11.28515625" bestFit="1" customWidth="1"/>
    <col min="5" max="6" width="21.5703125" customWidth="1"/>
    <col min="7" max="7" width="14.28515625" customWidth="1"/>
    <col min="8" max="9" width="11.28515625" bestFit="1" customWidth="1"/>
    <col min="10" max="10" width="14.42578125" customWidth="1"/>
    <col min="11" max="12" width="11.7109375" bestFit="1" customWidth="1"/>
    <col min="14" max="14" width="11.7109375" bestFit="1" customWidth="1"/>
    <col min="16" max="16" width="15" bestFit="1" customWidth="1"/>
    <col min="20" max="20" width="10.7109375" bestFit="1" customWidth="1"/>
  </cols>
  <sheetData>
    <row r="1" spans="1:22" x14ac:dyDescent="0.25">
      <c r="A1" s="74" t="s">
        <v>322</v>
      </c>
      <c r="B1" s="74" t="s">
        <v>518</v>
      </c>
    </row>
    <row r="2" spans="1:22" x14ac:dyDescent="0.25">
      <c r="B2" s="1"/>
      <c r="C2" s="1"/>
      <c r="D2" s="1"/>
      <c r="E2" s="1"/>
      <c r="F2" s="1"/>
      <c r="G2" s="1"/>
      <c r="H2" s="1"/>
      <c r="I2" s="1"/>
      <c r="J2" s="361" t="s">
        <v>89</v>
      </c>
      <c r="K2" s="361"/>
      <c r="L2" s="361"/>
      <c r="M2" s="361"/>
      <c r="N2" s="361"/>
      <c r="O2" s="361"/>
      <c r="P2" s="361" t="s">
        <v>90</v>
      </c>
      <c r="Q2" s="361"/>
      <c r="R2" s="361"/>
      <c r="S2" s="361"/>
      <c r="T2" s="361"/>
      <c r="U2" s="361"/>
    </row>
    <row r="3" spans="1:22" ht="15.95" customHeight="1" x14ac:dyDescent="0.25">
      <c r="B3" s="63" t="s">
        <v>5</v>
      </c>
      <c r="C3" s="63" t="s">
        <v>7</v>
      </c>
      <c r="D3" s="63" t="s">
        <v>188</v>
      </c>
      <c r="E3" s="63" t="s">
        <v>30</v>
      </c>
      <c r="F3" s="63" t="s">
        <v>82</v>
      </c>
      <c r="G3" s="63" t="s">
        <v>32</v>
      </c>
      <c r="H3" s="63" t="s">
        <v>6</v>
      </c>
      <c r="I3" s="70" t="s">
        <v>83</v>
      </c>
      <c r="J3" s="63" t="s">
        <v>84</v>
      </c>
      <c r="K3" s="63" t="s">
        <v>85</v>
      </c>
      <c r="L3" s="63" t="s">
        <v>86</v>
      </c>
      <c r="M3" s="63" t="s">
        <v>85</v>
      </c>
      <c r="N3" s="63" t="s">
        <v>87</v>
      </c>
      <c r="O3" s="63" t="s">
        <v>85</v>
      </c>
      <c r="P3" s="63" t="s">
        <v>84</v>
      </c>
      <c r="Q3" s="63" t="s">
        <v>85</v>
      </c>
      <c r="R3" s="63" t="s">
        <v>86</v>
      </c>
      <c r="S3" s="63" t="s">
        <v>85</v>
      </c>
      <c r="T3" s="63" t="s">
        <v>87</v>
      </c>
      <c r="U3" s="63" t="s">
        <v>85</v>
      </c>
    </row>
    <row r="4" spans="1:22" ht="15.95" customHeight="1" x14ac:dyDescent="0.25">
      <c r="A4" s="1" t="s">
        <v>49</v>
      </c>
      <c r="B4" s="1" t="s">
        <v>319</v>
      </c>
      <c r="C4" s="3" t="s">
        <v>13</v>
      </c>
      <c r="D4" s="136">
        <v>1</v>
      </c>
      <c r="E4" s="136">
        <v>1</v>
      </c>
      <c r="F4" s="3">
        <f>C13</f>
        <v>25</v>
      </c>
      <c r="G4" s="137">
        <v>1</v>
      </c>
      <c r="H4" s="3" t="s">
        <v>12</v>
      </c>
      <c r="I4" s="1" t="s">
        <v>65</v>
      </c>
      <c r="J4" s="89">
        <f>D54+I85+I106</f>
        <v>5402146.7740310086</v>
      </c>
      <c r="K4" s="3">
        <v>0</v>
      </c>
      <c r="L4" s="3">
        <v>0</v>
      </c>
      <c r="M4" s="3">
        <v>0</v>
      </c>
      <c r="N4" s="3">
        <f>J4*0.01</f>
        <v>54021.467740310087</v>
      </c>
      <c r="O4" s="3">
        <f>I60</f>
        <v>0</v>
      </c>
      <c r="P4" s="138">
        <f>G24+H41+E52+H85+H106</f>
        <v>19830260.609505981</v>
      </c>
      <c r="Q4" s="3">
        <v>0</v>
      </c>
      <c r="R4" s="3">
        <f>H27+H29</f>
        <v>0</v>
      </c>
      <c r="S4" s="3">
        <v>0</v>
      </c>
      <c r="T4" s="139">
        <f>P4*0.01</f>
        <v>198302.6060950598</v>
      </c>
      <c r="U4" s="3">
        <f>H60</f>
        <v>0</v>
      </c>
    </row>
    <row r="5" spans="1:22" ht="15.95" customHeight="1" x14ac:dyDescent="0.25">
      <c r="A5" s="1" t="s">
        <v>53</v>
      </c>
      <c r="B5" s="1" t="s">
        <v>319</v>
      </c>
      <c r="C5" s="3" t="s">
        <v>13</v>
      </c>
      <c r="D5" s="136">
        <v>1</v>
      </c>
      <c r="E5" s="136">
        <v>1</v>
      </c>
      <c r="F5" s="3">
        <v>25</v>
      </c>
      <c r="G5" s="137">
        <v>1</v>
      </c>
      <c r="H5" s="3" t="s">
        <v>12</v>
      </c>
      <c r="I5" s="1" t="s">
        <v>69</v>
      </c>
      <c r="J5" s="89">
        <f>D55+I85+I106</f>
        <v>5323840.7740310086</v>
      </c>
      <c r="K5" s="3">
        <v>0</v>
      </c>
      <c r="L5" s="3">
        <v>0</v>
      </c>
      <c r="M5" s="3">
        <v>0</v>
      </c>
      <c r="N5" s="3">
        <f>J5*0.01</f>
        <v>53238.407740310089</v>
      </c>
      <c r="O5" s="3">
        <v>0</v>
      </c>
      <c r="P5" s="138">
        <f>G25+H41+E52+H85+H106</f>
        <v>19531431.14950598</v>
      </c>
      <c r="Q5" s="3">
        <v>0</v>
      </c>
      <c r="R5" s="3">
        <f>H28+H31</f>
        <v>0</v>
      </c>
      <c r="S5" s="3">
        <v>0</v>
      </c>
      <c r="T5" s="139">
        <f>P5*0.01</f>
        <v>195314.31149505981</v>
      </c>
      <c r="U5" s="3">
        <v>0</v>
      </c>
    </row>
    <row r="6" spans="1:22" ht="15.95" customHeight="1" x14ac:dyDescent="0.25">
      <c r="C6" s="8"/>
      <c r="D6" s="8"/>
      <c r="E6" s="8"/>
      <c r="F6" s="8"/>
      <c r="G6" s="140"/>
      <c r="H6" s="8"/>
      <c r="J6" s="141"/>
      <c r="K6" s="8"/>
      <c r="L6" s="8"/>
      <c r="M6" s="8"/>
      <c r="N6" s="8"/>
      <c r="O6" s="8"/>
      <c r="P6" s="142"/>
      <c r="Q6" s="8"/>
      <c r="R6" s="8"/>
      <c r="S6" s="8"/>
      <c r="T6" s="143"/>
      <c r="U6" s="8"/>
    </row>
    <row r="7" spans="1:22" ht="15.95" customHeight="1" x14ac:dyDescent="0.25">
      <c r="B7" s="8"/>
      <c r="C7" s="8"/>
      <c r="D7" s="8"/>
      <c r="E7" s="8"/>
      <c r="F7" s="8"/>
      <c r="G7" s="8"/>
      <c r="H7" s="140"/>
      <c r="I7" s="8"/>
      <c r="J7" s="8"/>
      <c r="K7" s="141"/>
      <c r="L7" s="8"/>
      <c r="M7" s="8"/>
      <c r="N7" s="8"/>
      <c r="O7" s="8"/>
      <c r="P7" s="8"/>
      <c r="Q7" s="142"/>
      <c r="R7" s="8"/>
      <c r="S7" s="8"/>
      <c r="T7" s="8"/>
      <c r="U7" s="143"/>
      <c r="V7" s="8"/>
    </row>
    <row r="8" spans="1:22" ht="15.95" customHeight="1" x14ac:dyDescent="0.25">
      <c r="B8" s="144" t="s">
        <v>328</v>
      </c>
      <c r="C8" s="8"/>
      <c r="D8" s="8"/>
      <c r="E8" s="8"/>
      <c r="F8" s="8"/>
      <c r="G8" s="8"/>
      <c r="H8" s="8"/>
      <c r="I8" s="8"/>
      <c r="J8" s="8"/>
      <c r="K8" s="8"/>
      <c r="L8" s="8"/>
      <c r="M8" s="8"/>
      <c r="N8" s="8"/>
      <c r="O8" s="8"/>
      <c r="P8" s="8"/>
      <c r="Q8" s="8"/>
      <c r="R8" s="8"/>
      <c r="S8" s="8"/>
      <c r="T8" s="8"/>
      <c r="U8" s="8"/>
      <c r="V8" s="8"/>
    </row>
    <row r="10" spans="1:22" ht="15.4" customHeight="1" x14ac:dyDescent="0.25">
      <c r="B10" t="s">
        <v>404</v>
      </c>
    </row>
    <row r="11" spans="1:22" ht="15.4" customHeight="1" x14ac:dyDescent="0.25"/>
    <row r="12" spans="1:22" ht="15.4" customHeight="1" x14ac:dyDescent="0.25">
      <c r="B12" s="1"/>
      <c r="C12" s="1" t="s">
        <v>288</v>
      </c>
      <c r="D12" s="1" t="s">
        <v>405</v>
      </c>
      <c r="E12" s="1" t="s">
        <v>212</v>
      </c>
    </row>
    <row r="13" spans="1:22" x14ac:dyDescent="0.25">
      <c r="B13" s="3" t="s">
        <v>406</v>
      </c>
      <c r="C13" s="1">
        <v>25</v>
      </c>
      <c r="D13" s="1" t="s">
        <v>407</v>
      </c>
      <c r="E13" s="1">
        <v>2</v>
      </c>
    </row>
    <row r="15" spans="1:22" ht="15.75" thickBot="1" x14ac:dyDescent="0.3"/>
    <row r="16" spans="1:22" x14ac:dyDescent="0.25">
      <c r="B16" s="145" t="s">
        <v>268</v>
      </c>
      <c r="C16" s="146"/>
      <c r="D16" s="146"/>
      <c r="E16" s="146"/>
      <c r="F16" s="146"/>
      <c r="G16" s="146"/>
      <c r="H16" s="146"/>
      <c r="I16" s="146"/>
      <c r="J16" s="146"/>
      <c r="K16" s="146"/>
      <c r="L16" s="146"/>
      <c r="M16" s="146"/>
      <c r="N16" s="146"/>
      <c r="O16" s="146"/>
      <c r="P16" s="146"/>
      <c r="Q16" s="146"/>
      <c r="R16" s="146"/>
      <c r="S16" s="146"/>
      <c r="T16" s="146"/>
      <c r="U16" s="146"/>
      <c r="V16" s="147"/>
    </row>
    <row r="17" spans="2:22" x14ac:dyDescent="0.25">
      <c r="B17" s="148"/>
      <c r="I17" t="s">
        <v>212</v>
      </c>
      <c r="V17" s="149"/>
    </row>
    <row r="18" spans="2:22" x14ac:dyDescent="0.25">
      <c r="B18" s="367" t="s">
        <v>408</v>
      </c>
      <c r="C18" s="368"/>
      <c r="D18" s="368"/>
      <c r="E18" s="368"/>
      <c r="F18" s="368"/>
      <c r="G18" s="368"/>
      <c r="H18" s="368"/>
      <c r="I18" s="368">
        <v>7</v>
      </c>
      <c r="K18" s="380"/>
      <c r="L18" s="380"/>
      <c r="M18" s="380"/>
      <c r="V18" s="149"/>
    </row>
    <row r="19" spans="2:22" ht="15" customHeight="1" x14ac:dyDescent="0.25">
      <c r="B19" s="367"/>
      <c r="C19" s="368"/>
      <c r="D19" s="368"/>
      <c r="E19" s="368"/>
      <c r="F19" s="368"/>
      <c r="G19" s="368"/>
      <c r="H19" s="368"/>
      <c r="I19" s="368"/>
      <c r="V19" s="149"/>
    </row>
    <row r="20" spans="2:22" x14ac:dyDescent="0.25">
      <c r="B20" s="148"/>
      <c r="V20" s="149"/>
    </row>
    <row r="21" spans="2:22" x14ac:dyDescent="0.25">
      <c r="B21" s="150" t="s">
        <v>409</v>
      </c>
      <c r="V21" s="149"/>
    </row>
    <row r="22" spans="2:22" x14ac:dyDescent="0.25">
      <c r="B22" s="150"/>
      <c r="V22" s="149"/>
    </row>
    <row r="23" spans="2:22" x14ac:dyDescent="0.25">
      <c r="B23" s="34"/>
      <c r="C23" s="1" t="s">
        <v>136</v>
      </c>
      <c r="D23" s="1" t="s">
        <v>410</v>
      </c>
      <c r="E23" s="1" t="s">
        <v>8</v>
      </c>
      <c r="F23" s="1" t="s">
        <v>167</v>
      </c>
      <c r="G23" s="1" t="s">
        <v>166</v>
      </c>
      <c r="H23" s="1" t="s">
        <v>8</v>
      </c>
      <c r="V23" s="149"/>
    </row>
    <row r="24" spans="2:22" ht="28.9" customHeight="1" x14ac:dyDescent="0.25">
      <c r="B24" s="34" t="s">
        <v>411</v>
      </c>
      <c r="C24" s="1">
        <v>144000</v>
      </c>
      <c r="D24" s="1">
        <f>C24/1000</f>
        <v>144</v>
      </c>
      <c r="E24" s="2" t="s">
        <v>412</v>
      </c>
      <c r="F24" s="3">
        <f>D24*1000*(0.216+2.31)</f>
        <v>363744.00000000006</v>
      </c>
      <c r="G24" s="151">
        <f>D24*1000*(31.8+2.9)*0.2778</f>
        <v>1388111.04</v>
      </c>
      <c r="H24" s="3">
        <v>24</v>
      </c>
      <c r="V24" s="149"/>
    </row>
    <row r="25" spans="2:22" ht="26.65" customHeight="1" x14ac:dyDescent="0.25">
      <c r="B25" s="34" t="s">
        <v>413</v>
      </c>
      <c r="C25" s="1">
        <f>113*1000</f>
        <v>113000</v>
      </c>
      <c r="D25" s="1">
        <f>C25/1000</f>
        <v>113</v>
      </c>
      <c r="E25" s="2" t="s">
        <v>412</v>
      </c>
      <c r="F25" s="3">
        <f>D25*1000*(0.216+2.31)</f>
        <v>285438</v>
      </c>
      <c r="G25" s="151">
        <f>D25*1000*(31.8+2.9)*0.2778</f>
        <v>1089281.58</v>
      </c>
      <c r="H25" s="3">
        <v>24</v>
      </c>
      <c r="V25" s="149"/>
    </row>
    <row r="26" spans="2:22" x14ac:dyDescent="0.25">
      <c r="B26" s="148"/>
      <c r="V26" s="149"/>
    </row>
    <row r="27" spans="2:22" ht="15" customHeight="1" x14ac:dyDescent="0.25">
      <c r="B27" s="150" t="s">
        <v>414</v>
      </c>
      <c r="V27" s="149"/>
    </row>
    <row r="28" spans="2:22" ht="15" customHeight="1" x14ac:dyDescent="0.25">
      <c r="B28" s="148"/>
      <c r="V28" s="149"/>
    </row>
    <row r="29" spans="2:22" x14ac:dyDescent="0.25">
      <c r="B29" s="148" t="s">
        <v>483</v>
      </c>
      <c r="V29" s="149"/>
    </row>
    <row r="30" spans="2:22" x14ac:dyDescent="0.25">
      <c r="B30" s="148"/>
      <c r="V30" s="149"/>
    </row>
    <row r="31" spans="2:22" x14ac:dyDescent="0.25">
      <c r="B31" s="34"/>
      <c r="C31" s="1" t="s">
        <v>410</v>
      </c>
      <c r="V31" s="149"/>
    </row>
    <row r="32" spans="2:22" x14ac:dyDescent="0.25">
      <c r="B32" s="34" t="s">
        <v>415</v>
      </c>
      <c r="C32" s="1">
        <v>292</v>
      </c>
      <c r="V32" s="149"/>
    </row>
    <row r="33" spans="2:22" x14ac:dyDescent="0.25">
      <c r="B33" s="34" t="s">
        <v>416</v>
      </c>
      <c r="C33" s="1">
        <v>350</v>
      </c>
      <c r="V33" s="149"/>
    </row>
    <row r="34" spans="2:22" x14ac:dyDescent="0.25">
      <c r="B34" s="34" t="s">
        <v>417</v>
      </c>
      <c r="C34" s="1">
        <f>3*26</f>
        <v>78</v>
      </c>
      <c r="V34" s="149"/>
    </row>
    <row r="35" spans="2:22" ht="15" customHeight="1" x14ac:dyDescent="0.25">
      <c r="B35" s="34"/>
      <c r="C35" s="1">
        <f>SUM(C32:C34)</f>
        <v>720</v>
      </c>
      <c r="D35" s="152"/>
      <c r="V35" s="149"/>
    </row>
    <row r="36" spans="2:22" ht="15" customHeight="1" x14ac:dyDescent="0.25">
      <c r="B36" s="148"/>
      <c r="V36" s="149"/>
    </row>
    <row r="37" spans="2:22" x14ac:dyDescent="0.25">
      <c r="B37" s="150" t="s">
        <v>418</v>
      </c>
      <c r="V37" s="149"/>
    </row>
    <row r="38" spans="2:22" x14ac:dyDescent="0.25">
      <c r="B38" s="34"/>
      <c r="C38" s="1"/>
      <c r="D38" s="1"/>
      <c r="E38" s="1"/>
      <c r="F38" s="1" t="s">
        <v>136</v>
      </c>
      <c r="G38" s="1" t="s">
        <v>167</v>
      </c>
      <c r="H38" s="1" t="s">
        <v>166</v>
      </c>
      <c r="I38" s="1" t="s">
        <v>9</v>
      </c>
      <c r="J38" s="1" t="s">
        <v>8</v>
      </c>
      <c r="V38" s="149"/>
    </row>
    <row r="39" spans="2:22" x14ac:dyDescent="0.25">
      <c r="B39" s="34" t="s">
        <v>177</v>
      </c>
      <c r="C39" s="1" t="s">
        <v>147</v>
      </c>
      <c r="D39" s="19">
        <f>140/84</f>
        <v>1.6666666666666667</v>
      </c>
      <c r="E39" s="1"/>
      <c r="F39" s="1"/>
      <c r="G39" s="1"/>
      <c r="H39" s="1"/>
      <c r="I39" s="1" t="s">
        <v>178</v>
      </c>
      <c r="J39" s="1">
        <v>52</v>
      </c>
      <c r="V39" s="149"/>
    </row>
    <row r="40" spans="2:22" x14ac:dyDescent="0.25">
      <c r="B40" s="34" t="s">
        <v>179</v>
      </c>
      <c r="C40" s="1" t="s">
        <v>180</v>
      </c>
      <c r="D40" s="1">
        <v>4</v>
      </c>
      <c r="E40" s="1" t="s">
        <v>181</v>
      </c>
      <c r="F40" s="1">
        <f>D40*25.4</f>
        <v>101.6</v>
      </c>
      <c r="G40" s="1"/>
      <c r="H40" s="1"/>
      <c r="I40" s="1"/>
      <c r="J40" s="1">
        <v>39</v>
      </c>
      <c r="V40" s="149"/>
    </row>
    <row r="41" spans="2:22" x14ac:dyDescent="0.25">
      <c r="B41" s="34" t="s">
        <v>182</v>
      </c>
      <c r="C41" s="1" t="s">
        <v>183</v>
      </c>
      <c r="D41" s="19">
        <v>16.033000000000001</v>
      </c>
      <c r="E41" s="1" t="s">
        <v>419</v>
      </c>
      <c r="F41" s="153">
        <f>D41*1000*D39</f>
        <v>26721.666666666672</v>
      </c>
      <c r="G41" s="151">
        <f>F41*(5.4+0.38)</f>
        <v>154451.23333333337</v>
      </c>
      <c r="H41" s="151">
        <f>F41*(31.8+2.9)*0.2778</f>
        <v>257587.78130000006</v>
      </c>
      <c r="I41" s="1" t="s">
        <v>420</v>
      </c>
      <c r="J41" s="154" t="s">
        <v>1139</v>
      </c>
      <c r="V41" s="149"/>
    </row>
    <row r="42" spans="2:22" x14ac:dyDescent="0.25">
      <c r="B42" s="148"/>
      <c r="V42" s="149"/>
    </row>
    <row r="43" spans="2:22" x14ac:dyDescent="0.25">
      <c r="B43" s="148"/>
      <c r="H43" s="8"/>
      <c r="I43" s="8"/>
      <c r="J43" s="8"/>
      <c r="V43" s="149"/>
    </row>
    <row r="44" spans="2:22" x14ac:dyDescent="0.25">
      <c r="B44" s="150" t="s">
        <v>421</v>
      </c>
      <c r="V44" s="149"/>
    </row>
    <row r="45" spans="2:22" x14ac:dyDescent="0.25">
      <c r="B45" s="148"/>
      <c r="V45" s="149"/>
    </row>
    <row r="46" spans="2:22" x14ac:dyDescent="0.25">
      <c r="B46" s="148" t="s">
        <v>422</v>
      </c>
      <c r="C46" t="s">
        <v>484</v>
      </c>
      <c r="V46" s="149"/>
    </row>
    <row r="47" spans="2:22" x14ac:dyDescent="0.25">
      <c r="B47" s="148"/>
      <c r="V47" s="149"/>
    </row>
    <row r="48" spans="2:22" x14ac:dyDescent="0.25">
      <c r="B48" s="148"/>
      <c r="V48" s="149"/>
    </row>
    <row r="49" spans="2:22" x14ac:dyDescent="0.25">
      <c r="B49" s="34" t="s">
        <v>91</v>
      </c>
      <c r="C49" s="1" t="s">
        <v>423</v>
      </c>
      <c r="D49" s="63" t="s">
        <v>228</v>
      </c>
      <c r="E49" s="63" t="s">
        <v>368</v>
      </c>
      <c r="F49" s="12" t="s">
        <v>8</v>
      </c>
      <c r="V49" s="149"/>
    </row>
    <row r="50" spans="2:22" x14ac:dyDescent="0.25">
      <c r="B50" s="34" t="s">
        <v>342</v>
      </c>
      <c r="C50" s="1">
        <f>4*50</f>
        <v>200</v>
      </c>
      <c r="D50" s="3">
        <f>C50*1000*(0.216+2.31)</f>
        <v>505200.00000000006</v>
      </c>
      <c r="E50" s="3">
        <f>C50*1000*(31.8+2.9)*0.2778</f>
        <v>1927932.0000000002</v>
      </c>
      <c r="F50" s="1" t="s">
        <v>1140</v>
      </c>
      <c r="V50" s="149"/>
    </row>
    <row r="51" spans="2:22" x14ac:dyDescent="0.25">
      <c r="B51" s="34" t="s">
        <v>341</v>
      </c>
      <c r="C51" s="1">
        <v>1000</v>
      </c>
      <c r="D51" s="3">
        <f t="shared" ref="D51" si="0">C51*1000*(0.216+2.31)</f>
        <v>2526000.0000000005</v>
      </c>
      <c r="E51" s="3">
        <f t="shared" ref="E51" si="1">C51*1000*(31.8+2.9)*0.2778</f>
        <v>9639660</v>
      </c>
      <c r="F51" s="1" t="s">
        <v>1140</v>
      </c>
      <c r="V51" s="149"/>
    </row>
    <row r="52" spans="2:22" x14ac:dyDescent="0.25">
      <c r="B52" s="34" t="s">
        <v>365</v>
      </c>
      <c r="C52" s="1">
        <f>C51+C50</f>
        <v>1200</v>
      </c>
      <c r="D52" s="155">
        <f>D51+D50</f>
        <v>3031200.0000000005</v>
      </c>
      <c r="E52" s="155">
        <f>E51+E50</f>
        <v>11567592</v>
      </c>
      <c r="F52" s="1"/>
      <c r="V52" s="149"/>
    </row>
    <row r="53" spans="2:22" x14ac:dyDescent="0.25">
      <c r="B53" s="148"/>
      <c r="V53" s="149"/>
    </row>
    <row r="54" spans="2:22" x14ac:dyDescent="0.25">
      <c r="B54" s="148"/>
      <c r="C54" s="12" t="s">
        <v>424</v>
      </c>
      <c r="D54" s="1">
        <f>F24+G41+D52</f>
        <v>3549395.2333333339</v>
      </c>
      <c r="E54" s="1">
        <f>G24+H41+E52</f>
        <v>13213290.8213</v>
      </c>
      <c r="V54" s="149"/>
    </row>
    <row r="55" spans="2:22" ht="15.75" thickBot="1" x14ac:dyDescent="0.3">
      <c r="B55" s="156"/>
      <c r="C55" s="12" t="s">
        <v>425</v>
      </c>
      <c r="D55" s="1">
        <f>D52+G41+F25</f>
        <v>3471089.2333333339</v>
      </c>
      <c r="E55" s="1">
        <f>E52+H41+G25</f>
        <v>12914461.361300001</v>
      </c>
      <c r="F55" s="157"/>
      <c r="G55" s="157"/>
      <c r="H55" s="157"/>
      <c r="I55" s="157"/>
      <c r="J55" s="157"/>
      <c r="K55" s="157"/>
      <c r="L55" s="157"/>
      <c r="M55" s="157"/>
      <c r="N55" s="157"/>
      <c r="O55" s="157"/>
      <c r="P55" s="157"/>
      <c r="Q55" s="157"/>
      <c r="R55" s="157"/>
      <c r="S55" s="157"/>
      <c r="T55" s="157"/>
      <c r="U55" s="157"/>
      <c r="V55" s="158"/>
    </row>
    <row r="57" spans="2:22" x14ac:dyDescent="0.25">
      <c r="B57" s="21" t="s">
        <v>426</v>
      </c>
    </row>
    <row r="59" spans="2:22" x14ac:dyDescent="0.25">
      <c r="B59" t="s">
        <v>427</v>
      </c>
      <c r="C59" t="s">
        <v>1141</v>
      </c>
    </row>
    <row r="62" spans="2:22" x14ac:dyDescent="0.25">
      <c r="B62" s="159" t="s">
        <v>428</v>
      </c>
      <c r="C62" s="159" t="s">
        <v>269</v>
      </c>
      <c r="D62" s="159" t="s">
        <v>429</v>
      </c>
      <c r="E62" s="159" t="s">
        <v>430</v>
      </c>
      <c r="F62" s="159" t="s">
        <v>431</v>
      </c>
      <c r="G62" s="159" t="s">
        <v>432</v>
      </c>
      <c r="H62" s="159" t="s">
        <v>433</v>
      </c>
      <c r="I62" s="160" t="s">
        <v>434</v>
      </c>
      <c r="J62" s="160" t="s">
        <v>435</v>
      </c>
      <c r="K62" s="161"/>
      <c r="L62" s="161"/>
    </row>
    <row r="63" spans="2:22" x14ac:dyDescent="0.25">
      <c r="B63" s="1" t="s">
        <v>436</v>
      </c>
      <c r="C63" s="37" t="s">
        <v>437</v>
      </c>
      <c r="D63" s="37" t="s">
        <v>438</v>
      </c>
      <c r="E63" s="37">
        <f>240</f>
        <v>240</v>
      </c>
      <c r="F63" s="37">
        <f>E63/84</f>
        <v>2.8571428571428572</v>
      </c>
      <c r="G63" s="37">
        <v>2000</v>
      </c>
      <c r="H63" s="37"/>
      <c r="I63" s="37"/>
      <c r="J63" s="37" t="s">
        <v>439</v>
      </c>
    </row>
    <row r="64" spans="2:22" x14ac:dyDescent="0.25">
      <c r="B64" s="1"/>
      <c r="C64" s="37" t="s">
        <v>440</v>
      </c>
      <c r="D64" s="37" t="s">
        <v>438</v>
      </c>
      <c r="E64" s="37">
        <v>180</v>
      </c>
      <c r="F64" s="37">
        <f t="shared" ref="F64:F84" si="2">E64/84</f>
        <v>2.1428571428571428</v>
      </c>
      <c r="G64" s="37">
        <v>2000</v>
      </c>
      <c r="H64" s="37"/>
      <c r="I64" s="37"/>
      <c r="J64" s="37" t="s">
        <v>439</v>
      </c>
    </row>
    <row r="65" spans="2:10" x14ac:dyDescent="0.25">
      <c r="B65" s="1"/>
      <c r="C65" s="1" t="s">
        <v>441</v>
      </c>
      <c r="D65" s="1" t="s">
        <v>442</v>
      </c>
      <c r="E65" s="1">
        <v>2016</v>
      </c>
      <c r="F65" s="1">
        <f t="shared" si="2"/>
        <v>24</v>
      </c>
      <c r="G65" s="1">
        <v>130000</v>
      </c>
      <c r="H65" s="1">
        <f t="shared" ref="H65:H72" si="3">F65*G65</f>
        <v>3120000</v>
      </c>
      <c r="I65" s="1">
        <f>H65*0.28</f>
        <v>873600.00000000012</v>
      </c>
      <c r="J65" s="1" t="s">
        <v>443</v>
      </c>
    </row>
    <row r="66" spans="2:10" x14ac:dyDescent="0.25">
      <c r="B66" s="1"/>
      <c r="C66" s="1" t="s">
        <v>444</v>
      </c>
      <c r="D66" s="1" t="s">
        <v>442</v>
      </c>
      <c r="E66" s="1">
        <v>1944</v>
      </c>
      <c r="F66" s="1">
        <f t="shared" si="2"/>
        <v>23.142857142857142</v>
      </c>
      <c r="G66" s="1">
        <v>130000</v>
      </c>
      <c r="H66" s="1">
        <f t="shared" si="3"/>
        <v>3008571.4285714286</v>
      </c>
      <c r="I66" s="1">
        <f t="shared" ref="I66:I82" si="4">H66*0.28</f>
        <v>842400.00000000012</v>
      </c>
      <c r="J66" s="1" t="s">
        <v>443</v>
      </c>
    </row>
    <row r="67" spans="2:10" x14ac:dyDescent="0.25">
      <c r="B67" s="1" t="s">
        <v>445</v>
      </c>
      <c r="C67" s="1" t="s">
        <v>446</v>
      </c>
      <c r="D67" s="1" t="s">
        <v>447</v>
      </c>
      <c r="E67" s="1">
        <v>462</v>
      </c>
      <c r="F67" s="1">
        <f>E67/(86)</f>
        <v>5.3720930232558137</v>
      </c>
      <c r="G67" s="1">
        <v>2750</v>
      </c>
      <c r="H67" s="1">
        <f t="shared" si="3"/>
        <v>14773.255813953489</v>
      </c>
      <c r="I67" s="1">
        <f>H67*0.28</f>
        <v>4136.5116279069771</v>
      </c>
      <c r="J67" s="1" t="s">
        <v>448</v>
      </c>
    </row>
    <row r="68" spans="2:10" x14ac:dyDescent="0.25">
      <c r="B68" s="1"/>
      <c r="C68" s="1" t="s">
        <v>449</v>
      </c>
      <c r="D68" s="1" t="s">
        <v>447</v>
      </c>
      <c r="E68" s="1">
        <v>2352</v>
      </c>
      <c r="F68" s="1">
        <f t="shared" ref="F68:F72" si="5">E68/(86)</f>
        <v>27.348837209302324</v>
      </c>
      <c r="G68" s="1">
        <v>2750</v>
      </c>
      <c r="H68" s="1">
        <f t="shared" si="3"/>
        <v>75209.30232558139</v>
      </c>
      <c r="I68" s="1">
        <f t="shared" si="4"/>
        <v>21058.60465116279</v>
      </c>
      <c r="J68" s="1" t="s">
        <v>448</v>
      </c>
    </row>
    <row r="69" spans="2:10" x14ac:dyDescent="0.25">
      <c r="B69" s="1"/>
      <c r="C69" s="1" t="s">
        <v>450</v>
      </c>
      <c r="D69" s="1" t="s">
        <v>447</v>
      </c>
      <c r="E69" s="1">
        <v>6678</v>
      </c>
      <c r="F69" s="1">
        <f t="shared" si="5"/>
        <v>77.651162790697668</v>
      </c>
      <c r="G69" s="1">
        <v>2750</v>
      </c>
      <c r="H69" s="1">
        <f t="shared" si="3"/>
        <v>213540.6976744186</v>
      </c>
      <c r="I69" s="1">
        <f t="shared" si="4"/>
        <v>59791.395348837214</v>
      </c>
      <c r="J69" s="1" t="s">
        <v>448</v>
      </c>
    </row>
    <row r="70" spans="2:10" x14ac:dyDescent="0.25">
      <c r="B70" s="1" t="s">
        <v>451</v>
      </c>
      <c r="C70" s="1" t="s">
        <v>452</v>
      </c>
      <c r="D70" s="1" t="s">
        <v>447</v>
      </c>
      <c r="E70" s="1">
        <v>1118</v>
      </c>
      <c r="F70" s="1">
        <f t="shared" si="5"/>
        <v>13</v>
      </c>
      <c r="G70" s="1">
        <v>2750</v>
      </c>
      <c r="H70" s="1">
        <f t="shared" si="3"/>
        <v>35750</v>
      </c>
      <c r="I70" s="1">
        <f t="shared" si="4"/>
        <v>10010.000000000002</v>
      </c>
      <c r="J70" s="1" t="s">
        <v>448</v>
      </c>
    </row>
    <row r="71" spans="2:10" x14ac:dyDescent="0.25">
      <c r="B71" s="1"/>
      <c r="C71" s="1" t="s">
        <v>453</v>
      </c>
      <c r="D71" s="1" t="s">
        <v>447</v>
      </c>
      <c r="E71" s="1">
        <v>2752</v>
      </c>
      <c r="F71" s="1">
        <f t="shared" si="5"/>
        <v>32</v>
      </c>
      <c r="G71" s="1">
        <v>2750</v>
      </c>
      <c r="H71" s="1">
        <f t="shared" si="3"/>
        <v>88000</v>
      </c>
      <c r="I71" s="1">
        <f t="shared" si="4"/>
        <v>24640.000000000004</v>
      </c>
      <c r="J71" s="1" t="s">
        <v>448</v>
      </c>
    </row>
    <row r="72" spans="2:10" x14ac:dyDescent="0.25">
      <c r="B72" s="1"/>
      <c r="C72" s="1" t="s">
        <v>454</v>
      </c>
      <c r="D72" s="1" t="s">
        <v>447</v>
      </c>
      <c r="E72" s="1">
        <v>236.5</v>
      </c>
      <c r="F72" s="1">
        <f t="shared" si="5"/>
        <v>2.75</v>
      </c>
      <c r="G72" s="1">
        <v>2750</v>
      </c>
      <c r="H72" s="1">
        <f t="shared" si="3"/>
        <v>7562.5</v>
      </c>
      <c r="I72" s="1">
        <f t="shared" si="4"/>
        <v>2117.5</v>
      </c>
      <c r="J72" s="1" t="s">
        <v>448</v>
      </c>
    </row>
    <row r="73" spans="2:10" x14ac:dyDescent="0.25">
      <c r="B73" s="162" t="s">
        <v>455</v>
      </c>
      <c r="C73" s="162" t="s">
        <v>456</v>
      </c>
      <c r="D73" s="162" t="s">
        <v>457</v>
      </c>
      <c r="E73" s="162">
        <v>103.2</v>
      </c>
      <c r="F73" s="162">
        <f t="shared" si="2"/>
        <v>1.2285714285714286</v>
      </c>
      <c r="G73" s="162">
        <v>1500</v>
      </c>
      <c r="H73" s="162"/>
      <c r="I73" s="162"/>
      <c r="J73" s="37" t="s">
        <v>458</v>
      </c>
    </row>
    <row r="74" spans="2:10" x14ac:dyDescent="0.25">
      <c r="B74" s="37"/>
      <c r="C74" s="37" t="s">
        <v>459</v>
      </c>
      <c r="D74" s="37" t="s">
        <v>457</v>
      </c>
      <c r="E74" s="37">
        <v>1083.5999999999999</v>
      </c>
      <c r="F74" s="37">
        <f t="shared" si="2"/>
        <v>12.899999999999999</v>
      </c>
      <c r="G74" s="37">
        <v>1500</v>
      </c>
      <c r="H74" s="37"/>
      <c r="I74" s="37"/>
      <c r="J74" s="37" t="s">
        <v>458</v>
      </c>
    </row>
    <row r="75" spans="2:10" x14ac:dyDescent="0.25">
      <c r="B75" s="162"/>
      <c r="C75" s="162" t="s">
        <v>460</v>
      </c>
      <c r="D75" s="162" t="s">
        <v>457</v>
      </c>
      <c r="E75" s="162">
        <v>602</v>
      </c>
      <c r="F75" s="162">
        <f t="shared" si="2"/>
        <v>7.166666666666667</v>
      </c>
      <c r="G75" s="162">
        <v>1500</v>
      </c>
      <c r="H75" s="1">
        <f>F75*G75</f>
        <v>10750</v>
      </c>
      <c r="I75" s="1">
        <f t="shared" si="4"/>
        <v>3010.0000000000005</v>
      </c>
      <c r="J75" s="162" t="s">
        <v>461</v>
      </c>
    </row>
    <row r="76" spans="2:10" x14ac:dyDescent="0.25">
      <c r="B76" s="37"/>
      <c r="C76" s="37" t="s">
        <v>462</v>
      </c>
      <c r="D76" s="37" t="s">
        <v>457</v>
      </c>
      <c r="E76" s="37">
        <v>504</v>
      </c>
      <c r="F76" s="37">
        <f t="shared" si="2"/>
        <v>6</v>
      </c>
      <c r="G76" s="37">
        <v>1500</v>
      </c>
      <c r="H76" s="37"/>
      <c r="I76" s="37"/>
      <c r="J76" s="37" t="s">
        <v>458</v>
      </c>
    </row>
    <row r="77" spans="2:10" x14ac:dyDescent="0.25">
      <c r="B77" s="37"/>
      <c r="C77" s="37" t="s">
        <v>463</v>
      </c>
      <c r="D77" s="37" t="s">
        <v>457</v>
      </c>
      <c r="E77" s="37">
        <v>672</v>
      </c>
      <c r="F77" s="37">
        <f t="shared" si="2"/>
        <v>8</v>
      </c>
      <c r="G77" s="37">
        <v>1500</v>
      </c>
      <c r="H77" s="37"/>
      <c r="I77" s="37"/>
      <c r="J77" s="37" t="s">
        <v>458</v>
      </c>
    </row>
    <row r="78" spans="2:10" x14ac:dyDescent="0.25">
      <c r="B78" s="37"/>
      <c r="C78" s="37" t="s">
        <v>464</v>
      </c>
      <c r="D78" s="37" t="s">
        <v>457</v>
      </c>
      <c r="E78" s="37">
        <v>932.4</v>
      </c>
      <c r="F78" s="37">
        <f t="shared" si="2"/>
        <v>11.1</v>
      </c>
      <c r="G78" s="37">
        <v>1500</v>
      </c>
      <c r="H78" s="37"/>
      <c r="I78" s="37"/>
      <c r="J78" s="37" t="s">
        <v>458</v>
      </c>
    </row>
    <row r="79" spans="2:10" x14ac:dyDescent="0.25">
      <c r="B79" s="37"/>
      <c r="C79" s="37" t="s">
        <v>465</v>
      </c>
      <c r="D79" s="37" t="s">
        <v>457</v>
      </c>
      <c r="E79" s="37">
        <v>100.8</v>
      </c>
      <c r="F79" s="37">
        <f t="shared" si="2"/>
        <v>1.2</v>
      </c>
      <c r="G79" s="37">
        <v>1500</v>
      </c>
      <c r="H79" s="37"/>
      <c r="I79" s="37"/>
      <c r="J79" s="37" t="s">
        <v>458</v>
      </c>
    </row>
    <row r="80" spans="2:10" x14ac:dyDescent="0.25">
      <c r="B80" s="1" t="s">
        <v>466</v>
      </c>
      <c r="C80" s="37" t="s">
        <v>467</v>
      </c>
      <c r="D80" s="37" t="s">
        <v>438</v>
      </c>
      <c r="E80" s="37">
        <v>72</v>
      </c>
      <c r="F80" s="37">
        <f t="shared" si="2"/>
        <v>0.8571428571428571</v>
      </c>
      <c r="G80" s="37">
        <v>2000</v>
      </c>
      <c r="H80" s="37"/>
      <c r="I80" s="37"/>
      <c r="J80" s="37" t="s">
        <v>458</v>
      </c>
    </row>
    <row r="81" spans="2:13" x14ac:dyDescent="0.25">
      <c r="B81" s="1"/>
      <c r="C81" s="1" t="s">
        <v>468</v>
      </c>
      <c r="D81" s="1" t="s">
        <v>469</v>
      </c>
      <c r="E81" s="1">
        <v>48</v>
      </c>
      <c r="F81" s="1">
        <f>E81/(84*2)</f>
        <v>0.2857142857142857</v>
      </c>
      <c r="G81" s="1">
        <v>2750</v>
      </c>
      <c r="H81" s="1">
        <f>F81*G81</f>
        <v>785.71428571428567</v>
      </c>
      <c r="I81" s="1">
        <f t="shared" si="4"/>
        <v>220</v>
      </c>
      <c r="J81" s="1" t="s">
        <v>470</v>
      </c>
    </row>
    <row r="82" spans="2:13" x14ac:dyDescent="0.25">
      <c r="B82" s="1"/>
      <c r="C82" s="1" t="s">
        <v>471</v>
      </c>
      <c r="D82" s="1" t="s">
        <v>438</v>
      </c>
      <c r="E82" s="1">
        <v>748</v>
      </c>
      <c r="F82" s="1">
        <f>E82/(84*2)</f>
        <v>4.4523809523809526</v>
      </c>
      <c r="G82" s="1">
        <v>2000</v>
      </c>
      <c r="H82" s="1">
        <f>F82*G82</f>
        <v>8904.7619047619046</v>
      </c>
      <c r="I82" s="1">
        <f t="shared" si="4"/>
        <v>2493.3333333333335</v>
      </c>
      <c r="J82" s="1" t="s">
        <v>472</v>
      </c>
    </row>
    <row r="83" spans="2:13" x14ac:dyDescent="0.25">
      <c r="B83" s="37" t="s">
        <v>473</v>
      </c>
      <c r="C83" s="37"/>
      <c r="D83" s="37" t="s">
        <v>474</v>
      </c>
      <c r="E83" s="37">
        <v>23012.5</v>
      </c>
      <c r="F83" s="37">
        <f t="shared" si="2"/>
        <v>273.95833333333331</v>
      </c>
      <c r="G83" s="37">
        <v>2000</v>
      </c>
      <c r="H83" s="37"/>
      <c r="I83" s="37"/>
      <c r="J83" s="37" t="s">
        <v>458</v>
      </c>
    </row>
    <row r="84" spans="2:13" x14ac:dyDescent="0.25">
      <c r="B84" s="37"/>
      <c r="C84" s="37"/>
      <c r="D84" s="37" t="s">
        <v>475</v>
      </c>
      <c r="E84" s="37">
        <v>23012.5</v>
      </c>
      <c r="F84" s="37">
        <f t="shared" si="2"/>
        <v>273.95833333333331</v>
      </c>
      <c r="G84" s="37">
        <v>5000</v>
      </c>
      <c r="H84" s="37"/>
      <c r="I84" s="37"/>
      <c r="J84" s="37" t="s">
        <v>458</v>
      </c>
    </row>
    <row r="85" spans="2:13" x14ac:dyDescent="0.25">
      <c r="B85" s="12" t="s">
        <v>476</v>
      </c>
      <c r="C85" s="1"/>
      <c r="D85" s="1"/>
      <c r="E85" s="1"/>
      <c r="F85" s="1"/>
      <c r="G85" s="1"/>
      <c r="H85" s="163">
        <f>SUM(H63:H84)</f>
        <v>6583847.6605758592</v>
      </c>
      <c r="I85" s="163">
        <f>SUM(I63:I84)</f>
        <v>1843477.3449612404</v>
      </c>
      <c r="J85" s="1"/>
      <c r="L85" s="21"/>
      <c r="M85" s="21"/>
    </row>
    <row r="88" spans="2:13" x14ac:dyDescent="0.25">
      <c r="B88" s="21" t="s">
        <v>370</v>
      </c>
    </row>
    <row r="90" spans="2:13" x14ac:dyDescent="0.25">
      <c r="B90" s="159" t="s">
        <v>428</v>
      </c>
      <c r="C90" s="159" t="s">
        <v>269</v>
      </c>
      <c r="D90" s="159" t="s">
        <v>429</v>
      </c>
      <c r="E90" s="159" t="s">
        <v>430</v>
      </c>
      <c r="F90" s="159" t="s">
        <v>431</v>
      </c>
      <c r="G90" s="159" t="s">
        <v>432</v>
      </c>
      <c r="H90" s="159" t="s">
        <v>433</v>
      </c>
      <c r="I90" s="159" t="s">
        <v>434</v>
      </c>
      <c r="J90" s="32"/>
    </row>
    <row r="91" spans="2:13" x14ac:dyDescent="0.25">
      <c r="B91" s="1" t="s">
        <v>477</v>
      </c>
      <c r="C91" s="1" t="s">
        <v>452</v>
      </c>
      <c r="D91" s="1" t="s">
        <v>447</v>
      </c>
      <c r="E91" s="1">
        <f>13*84</f>
        <v>1092</v>
      </c>
      <c r="F91" s="1">
        <f>E91/(84*86)</f>
        <v>0.15116279069767441</v>
      </c>
      <c r="G91" s="1">
        <v>2750</v>
      </c>
      <c r="H91" s="1">
        <f>F91*G91</f>
        <v>415.69767441860461</v>
      </c>
      <c r="I91" s="1">
        <f>H91*0.28</f>
        <v>116.3953488372093</v>
      </c>
      <c r="J91" s="1" t="s">
        <v>478</v>
      </c>
    </row>
    <row r="92" spans="2:13" x14ac:dyDescent="0.25">
      <c r="B92" s="1"/>
      <c r="C92" s="1" t="s">
        <v>453</v>
      </c>
      <c r="D92" s="1" t="s">
        <v>447</v>
      </c>
      <c r="E92" s="1">
        <f>8*4*84</f>
        <v>2688</v>
      </c>
      <c r="F92" s="1">
        <f t="shared" ref="F92:F93" si="6">E92/(84*86)</f>
        <v>0.37209302325581395</v>
      </c>
      <c r="G92" s="1">
        <v>2750</v>
      </c>
      <c r="H92" s="1">
        <f>F92*G92</f>
        <v>1023.2558139534883</v>
      </c>
      <c r="I92" s="1">
        <f t="shared" ref="I92:I103" si="7">H92*0.28</f>
        <v>286.51162790697674</v>
      </c>
      <c r="J92" s="1" t="s">
        <v>478</v>
      </c>
    </row>
    <row r="93" spans="2:13" x14ac:dyDescent="0.25">
      <c r="B93" s="1"/>
      <c r="C93" s="1" t="s">
        <v>454</v>
      </c>
      <c r="D93" s="1" t="s">
        <v>447</v>
      </c>
      <c r="E93" s="1">
        <f>5.5*84/2</f>
        <v>231</v>
      </c>
      <c r="F93" s="1">
        <f t="shared" si="6"/>
        <v>3.1976744186046513E-2</v>
      </c>
      <c r="G93" s="1">
        <v>2750</v>
      </c>
      <c r="H93" s="1">
        <f>F93*G93</f>
        <v>87.936046511627907</v>
      </c>
      <c r="I93" s="1">
        <f t="shared" si="7"/>
        <v>24.622093023255815</v>
      </c>
      <c r="J93" s="1" t="s">
        <v>478</v>
      </c>
    </row>
    <row r="94" spans="2:13" x14ac:dyDescent="0.25">
      <c r="B94" s="37" t="s">
        <v>479</v>
      </c>
      <c r="C94" s="37" t="s">
        <v>480</v>
      </c>
      <c r="D94" s="37" t="s">
        <v>457</v>
      </c>
      <c r="E94" s="37">
        <f>6*84/5</f>
        <v>100.8</v>
      </c>
      <c r="F94" s="37">
        <f t="shared" ref="F94:F104" si="8">E94/84</f>
        <v>1.2</v>
      </c>
      <c r="G94" s="37">
        <v>1500</v>
      </c>
      <c r="H94" s="37"/>
      <c r="I94" s="37"/>
      <c r="J94" s="37"/>
    </row>
    <row r="95" spans="2:13" x14ac:dyDescent="0.25">
      <c r="B95" s="164"/>
      <c r="C95" s="164" t="s">
        <v>459</v>
      </c>
      <c r="D95" s="164" t="s">
        <v>457</v>
      </c>
      <c r="E95" s="164">
        <f>63*84/5</f>
        <v>1058.4000000000001</v>
      </c>
      <c r="F95" s="37">
        <f t="shared" si="8"/>
        <v>12.600000000000001</v>
      </c>
      <c r="G95" s="164">
        <v>1500</v>
      </c>
      <c r="H95" s="37"/>
      <c r="I95" s="37"/>
      <c r="J95" s="37"/>
    </row>
    <row r="96" spans="2:13" x14ac:dyDescent="0.25">
      <c r="B96" s="162"/>
      <c r="C96" s="162" t="s">
        <v>460</v>
      </c>
      <c r="D96" s="162" t="s">
        <v>457</v>
      </c>
      <c r="E96" s="162">
        <f>7*84</f>
        <v>588</v>
      </c>
      <c r="F96" s="162">
        <f t="shared" si="8"/>
        <v>7</v>
      </c>
      <c r="G96" s="162">
        <v>1500</v>
      </c>
      <c r="H96" s="1">
        <f t="shared" ref="H96:H103" si="9">F96*G96</f>
        <v>10500</v>
      </c>
      <c r="I96" s="1">
        <f t="shared" si="7"/>
        <v>2940.0000000000005</v>
      </c>
      <c r="J96" s="37"/>
    </row>
    <row r="97" spans="2:10" x14ac:dyDescent="0.25">
      <c r="B97" s="164"/>
      <c r="C97" s="164" t="s">
        <v>462</v>
      </c>
      <c r="D97" s="164" t="s">
        <v>457</v>
      </c>
      <c r="E97" s="164">
        <f>6*84</f>
        <v>504</v>
      </c>
      <c r="F97" s="37">
        <f t="shared" si="8"/>
        <v>6</v>
      </c>
      <c r="G97" s="164">
        <v>1500</v>
      </c>
      <c r="H97" s="37"/>
      <c r="I97" s="37"/>
      <c r="J97" s="37"/>
    </row>
    <row r="98" spans="2:10" x14ac:dyDescent="0.25">
      <c r="B98" s="37"/>
      <c r="C98" s="37" t="s">
        <v>463</v>
      </c>
      <c r="D98" s="37" t="s">
        <v>457</v>
      </c>
      <c r="E98" s="37">
        <f>8*84</f>
        <v>672</v>
      </c>
      <c r="F98" s="37">
        <f t="shared" si="8"/>
        <v>8</v>
      </c>
      <c r="G98" s="37">
        <v>1500</v>
      </c>
      <c r="H98" s="37"/>
      <c r="I98" s="37"/>
      <c r="J98" s="37"/>
    </row>
    <row r="99" spans="2:10" x14ac:dyDescent="0.25">
      <c r="B99" s="164"/>
      <c r="C99" s="164" t="s">
        <v>464</v>
      </c>
      <c r="D99" s="164" t="s">
        <v>457</v>
      </c>
      <c r="E99" s="164">
        <f>18.5*3*84/5</f>
        <v>932.4</v>
      </c>
      <c r="F99" s="37">
        <f t="shared" si="8"/>
        <v>11.1</v>
      </c>
      <c r="G99" s="164">
        <v>1500</v>
      </c>
      <c r="H99" s="37"/>
      <c r="I99" s="37"/>
      <c r="J99" s="37"/>
    </row>
    <row r="100" spans="2:10" x14ac:dyDescent="0.25">
      <c r="B100" s="37"/>
      <c r="C100" s="37" t="s">
        <v>465</v>
      </c>
      <c r="D100" s="37" t="s">
        <v>457</v>
      </c>
      <c r="E100" s="37">
        <f>6*84/5</f>
        <v>100.8</v>
      </c>
      <c r="F100" s="37">
        <f t="shared" si="8"/>
        <v>1.2</v>
      </c>
      <c r="G100" s="37">
        <v>1500</v>
      </c>
      <c r="H100" s="37"/>
      <c r="I100" s="37"/>
      <c r="J100" s="37"/>
    </row>
    <row r="101" spans="2:10" x14ac:dyDescent="0.25">
      <c r="B101" s="1" t="s">
        <v>481</v>
      </c>
      <c r="C101" s="1" t="s">
        <v>467</v>
      </c>
      <c r="D101" s="1" t="s">
        <v>438</v>
      </c>
      <c r="E101" s="1">
        <f>12*3*2</f>
        <v>72</v>
      </c>
      <c r="F101" s="1">
        <f t="shared" si="8"/>
        <v>0.8571428571428571</v>
      </c>
      <c r="G101" s="1">
        <v>2000</v>
      </c>
      <c r="H101" s="1">
        <f t="shared" si="9"/>
        <v>1714.2857142857142</v>
      </c>
      <c r="I101" s="1">
        <f t="shared" si="7"/>
        <v>480</v>
      </c>
      <c r="J101" s="1"/>
    </row>
    <row r="102" spans="2:10" x14ac:dyDescent="0.25">
      <c r="B102" s="1"/>
      <c r="C102" s="1" t="s">
        <v>468</v>
      </c>
      <c r="D102" s="1" t="s">
        <v>469</v>
      </c>
      <c r="E102" s="1">
        <f>12*2*2</f>
        <v>48</v>
      </c>
      <c r="F102" s="1">
        <f t="shared" si="8"/>
        <v>0.5714285714285714</v>
      </c>
      <c r="G102" s="1">
        <v>2750</v>
      </c>
      <c r="H102" s="1">
        <f t="shared" si="9"/>
        <v>1571.4285714285713</v>
      </c>
      <c r="I102" s="1">
        <f t="shared" si="7"/>
        <v>440</v>
      </c>
      <c r="J102" s="1"/>
    </row>
    <row r="103" spans="2:10" x14ac:dyDescent="0.25">
      <c r="B103" s="1"/>
      <c r="C103" s="1" t="s">
        <v>471</v>
      </c>
      <c r="D103" s="1" t="s">
        <v>438</v>
      </c>
      <c r="E103" s="1">
        <f>30*12*2+7*2*2</f>
        <v>748</v>
      </c>
      <c r="F103" s="1">
        <f t="shared" si="8"/>
        <v>8.9047619047619051</v>
      </c>
      <c r="G103" s="1">
        <v>2000</v>
      </c>
      <c r="H103" s="1">
        <f t="shared" si="9"/>
        <v>17809.523809523809</v>
      </c>
      <c r="I103" s="1">
        <f t="shared" si="7"/>
        <v>4986.666666666667</v>
      </c>
      <c r="J103" s="1"/>
    </row>
    <row r="104" spans="2:10" x14ac:dyDescent="0.25">
      <c r="B104" s="37" t="s">
        <v>473</v>
      </c>
      <c r="C104" s="37"/>
      <c r="D104" s="37" t="s">
        <v>474</v>
      </c>
      <c r="E104" s="37">
        <f>SUM(E91:E103)</f>
        <v>8835.4000000000015</v>
      </c>
      <c r="F104" s="37">
        <f t="shared" si="8"/>
        <v>105.18333333333335</v>
      </c>
      <c r="G104" s="37">
        <v>2000</v>
      </c>
      <c r="H104" s="37"/>
      <c r="I104" s="37"/>
      <c r="J104" s="37"/>
    </row>
    <row r="105" spans="2:10" x14ac:dyDescent="0.25">
      <c r="B105" s="164"/>
      <c r="C105" s="164"/>
      <c r="D105" s="164" t="s">
        <v>475</v>
      </c>
      <c r="E105" s="164">
        <f>SUM(E91:E103)</f>
        <v>8835.4000000000015</v>
      </c>
      <c r="F105" s="37">
        <f>E105/84</f>
        <v>105.18333333333335</v>
      </c>
      <c r="G105" s="164">
        <v>5000</v>
      </c>
      <c r="H105" s="37"/>
      <c r="I105" s="37"/>
      <c r="J105" s="37"/>
    </row>
    <row r="106" spans="2:10" x14ac:dyDescent="0.25">
      <c r="B106" s="12" t="s">
        <v>476</v>
      </c>
      <c r="C106" s="1"/>
      <c r="D106" s="1"/>
      <c r="E106" s="1"/>
      <c r="F106" s="1"/>
      <c r="G106" s="1"/>
      <c r="H106" s="163">
        <f>SUM(H91:H105)</f>
        <v>33122.127630121817</v>
      </c>
      <c r="I106" s="163">
        <f>SUM(I91:I105)</f>
        <v>9274.1957364341106</v>
      </c>
      <c r="J106" s="1"/>
    </row>
    <row r="109" spans="2:10" x14ac:dyDescent="0.25">
      <c r="B109" s="133" t="s">
        <v>87</v>
      </c>
      <c r="C109" s="8"/>
      <c r="D109" s="8"/>
      <c r="E109" s="8"/>
      <c r="F109" s="8"/>
    </row>
    <row r="110" spans="2:10" x14ac:dyDescent="0.25">
      <c r="B110" s="98"/>
      <c r="C110" s="8"/>
      <c r="D110" s="8"/>
      <c r="E110" s="8"/>
      <c r="F110" s="8"/>
    </row>
    <row r="111" spans="2:10" x14ac:dyDescent="0.25">
      <c r="B111" s="367" t="s">
        <v>402</v>
      </c>
      <c r="C111" s="368"/>
      <c r="D111" s="368"/>
      <c r="E111" s="8"/>
      <c r="F111" s="8"/>
    </row>
    <row r="112" spans="2:10" x14ac:dyDescent="0.25">
      <c r="B112" s="106"/>
      <c r="C112" s="92"/>
      <c r="D112" s="92"/>
      <c r="E112" s="8"/>
      <c r="F112" s="8"/>
    </row>
    <row r="113" spans="2:6" ht="14.65" customHeight="1" x14ac:dyDescent="0.25">
      <c r="B113" s="12" t="s">
        <v>268</v>
      </c>
      <c r="C113" s="12" t="s">
        <v>269</v>
      </c>
      <c r="D113" s="12" t="s">
        <v>8</v>
      </c>
      <c r="E113" s="8"/>
      <c r="F113" s="8"/>
    </row>
    <row r="114" spans="2:6" x14ac:dyDescent="0.25">
      <c r="B114" s="1" t="s">
        <v>270</v>
      </c>
      <c r="C114" s="1" t="s">
        <v>271</v>
      </c>
      <c r="D114" s="1">
        <v>33</v>
      </c>
      <c r="E114" s="8"/>
      <c r="F114" s="8"/>
    </row>
    <row r="115" spans="2:6" ht="37.15" customHeight="1" x14ac:dyDescent="0.25">
      <c r="B115" s="8"/>
      <c r="C115" s="165"/>
      <c r="D115" s="8"/>
      <c r="F115" s="8"/>
    </row>
  </sheetData>
  <mergeCells count="6">
    <mergeCell ref="B111:D111"/>
    <mergeCell ref="J2:O2"/>
    <mergeCell ref="P2:U2"/>
    <mergeCell ref="B18:H19"/>
    <mergeCell ref="I18:I19"/>
    <mergeCell ref="K18:M18"/>
  </mergeCells>
  <phoneticPr fontId="10" type="noConversion"/>
  <hyperlinks>
    <hyperlink ref="E24" location="'2.2.'!E19" display="Taken from Production Method Definition" xr:uid="{091325BB-8020-4B25-8CAB-7E5EF5E6C22C}"/>
    <hyperlink ref="E25" location="'2.4'!E19" display="Taken from Production Method Definition" xr:uid="{ACF0A9E8-C594-4D74-A32E-70AEBC808358}"/>
    <hyperlink ref="A1" location="Contents!A1" display="contents" xr:uid="{27EDB561-6C1F-4AA2-B911-B6E15AECC172}"/>
    <hyperlink ref="B1" location="'3. H2 Production Infrastructure'!A1" display="production infrastructure" xr:uid="{9747AC0E-B2D5-477B-B576-16D61B41ADBF}"/>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35D2-1D14-419C-923B-A048E61DC473}">
  <dimension ref="A1:U91"/>
  <sheetViews>
    <sheetView topLeftCell="A9" zoomScale="70" zoomScaleNormal="70" workbookViewId="0">
      <selection activeCell="H15" sqref="H15"/>
    </sheetView>
  </sheetViews>
  <sheetFormatPr defaultRowHeight="15" x14ac:dyDescent="0.25"/>
  <cols>
    <col min="1" max="1" width="10.7109375" customWidth="1"/>
    <col min="2" max="2" width="23" customWidth="1"/>
    <col min="3" max="3" width="18.28515625" customWidth="1"/>
    <col min="4" max="4" width="10.7109375" bestFit="1" customWidth="1"/>
    <col min="7" max="7" width="11.7109375" bestFit="1" customWidth="1"/>
    <col min="8" max="8" width="16.140625" customWidth="1"/>
    <col min="9" max="9" width="13.42578125" bestFit="1" customWidth="1"/>
    <col min="10" max="10" width="37" bestFit="1" customWidth="1"/>
    <col min="11" max="11" width="9.7109375" bestFit="1" customWidth="1"/>
    <col min="15" max="15" width="11.85546875" bestFit="1" customWidth="1"/>
    <col min="16" max="16" width="11.28515625" bestFit="1" customWidth="1"/>
    <col min="17" max="17" width="18.28515625" bestFit="1" customWidth="1"/>
    <col min="22" max="22" width="9.7109375" bestFit="1" customWidth="1"/>
  </cols>
  <sheetData>
    <row r="1" spans="1:21" x14ac:dyDescent="0.25">
      <c r="A1" s="74" t="s">
        <v>322</v>
      </c>
      <c r="B1" s="74" t="s">
        <v>518</v>
      </c>
    </row>
    <row r="2" spans="1:21" x14ac:dyDescent="0.25">
      <c r="I2" s="361" t="s">
        <v>89</v>
      </c>
      <c r="J2" s="361"/>
      <c r="K2" s="361"/>
      <c r="L2" s="361"/>
      <c r="M2" s="361"/>
      <c r="N2" s="361"/>
      <c r="O2" s="361" t="s">
        <v>90</v>
      </c>
      <c r="P2" s="361"/>
      <c r="Q2" s="361"/>
      <c r="R2" s="361"/>
      <c r="S2" s="361"/>
      <c r="T2" s="361"/>
    </row>
    <row r="3" spans="1:21" x14ac:dyDescent="0.25">
      <c r="A3" s="1" t="s">
        <v>5</v>
      </c>
      <c r="B3" s="1" t="s">
        <v>7</v>
      </c>
      <c r="C3" s="1" t="s">
        <v>188</v>
      </c>
      <c r="D3" s="1" t="s">
        <v>30</v>
      </c>
      <c r="E3" s="1" t="s">
        <v>82</v>
      </c>
      <c r="F3" s="1" t="s">
        <v>32</v>
      </c>
      <c r="G3" s="1" t="s">
        <v>6</v>
      </c>
      <c r="H3" s="1" t="s">
        <v>83</v>
      </c>
      <c r="I3" s="1" t="s">
        <v>84</v>
      </c>
      <c r="J3" s="1" t="s">
        <v>85</v>
      </c>
      <c r="K3" s="1" t="s">
        <v>86</v>
      </c>
      <c r="L3" s="1" t="s">
        <v>85</v>
      </c>
      <c r="M3" s="1" t="s">
        <v>87</v>
      </c>
      <c r="N3" s="1" t="s">
        <v>85</v>
      </c>
      <c r="O3" s="1" t="s">
        <v>84</v>
      </c>
      <c r="P3" s="1" t="s">
        <v>85</v>
      </c>
      <c r="Q3" s="1" t="s">
        <v>86</v>
      </c>
      <c r="R3" s="1" t="s">
        <v>85</v>
      </c>
      <c r="S3" s="1" t="s">
        <v>87</v>
      </c>
      <c r="T3" s="1" t="s">
        <v>85</v>
      </c>
      <c r="U3" s="20" t="s">
        <v>46</v>
      </c>
    </row>
    <row r="4" spans="1:21" x14ac:dyDescent="0.25">
      <c r="A4" s="1" t="s">
        <v>62</v>
      </c>
      <c r="B4" s="1" t="s">
        <v>13</v>
      </c>
      <c r="C4" s="1">
        <v>1</v>
      </c>
      <c r="D4" s="1">
        <v>1</v>
      </c>
      <c r="E4" s="1">
        <f>C$11</f>
        <v>40</v>
      </c>
      <c r="F4" s="1">
        <v>1</v>
      </c>
      <c r="G4" s="1" t="s">
        <v>16</v>
      </c>
      <c r="H4" s="1" t="s">
        <v>63</v>
      </c>
      <c r="I4" s="1">
        <f>I26*10^6</f>
        <v>1887750</v>
      </c>
      <c r="J4" s="1">
        <v>0</v>
      </c>
      <c r="K4" s="1">
        <v>0</v>
      </c>
      <c r="L4" s="1">
        <v>0</v>
      </c>
      <c r="M4" s="5">
        <f>I4*0.01</f>
        <v>18877.5</v>
      </c>
      <c r="N4" s="1">
        <v>0</v>
      </c>
      <c r="O4" s="5">
        <f>J26</f>
        <v>7096198.6898734178</v>
      </c>
      <c r="P4" s="1">
        <v>0</v>
      </c>
      <c r="Q4" s="1">
        <v>0</v>
      </c>
      <c r="R4" s="1">
        <v>0</v>
      </c>
      <c r="S4" s="5">
        <f>O4*0.01</f>
        <v>70961.986898734176</v>
      </c>
      <c r="T4" s="1">
        <v>0</v>
      </c>
      <c r="U4">
        <v>0</v>
      </c>
    </row>
    <row r="5" spans="1:21" x14ac:dyDescent="0.25">
      <c r="A5" s="32" t="s">
        <v>62</v>
      </c>
      <c r="B5" s="32" t="s">
        <v>13</v>
      </c>
      <c r="C5" s="32">
        <v>1</v>
      </c>
      <c r="D5" s="32">
        <v>1</v>
      </c>
      <c r="E5" s="1">
        <f t="shared" ref="E5:E8" si="0">C$11</f>
        <v>40</v>
      </c>
      <c r="F5" s="32">
        <v>1</v>
      </c>
      <c r="G5" s="32" t="s">
        <v>16</v>
      </c>
      <c r="H5" s="32" t="s">
        <v>67</v>
      </c>
      <c r="I5" s="32">
        <f>I27*10^6</f>
        <v>3481850</v>
      </c>
      <c r="J5" s="32">
        <v>0</v>
      </c>
      <c r="K5" s="32">
        <v>0</v>
      </c>
      <c r="L5" s="32">
        <v>0</v>
      </c>
      <c r="M5" s="5">
        <f t="shared" ref="M5:M8" si="1">I5*0.01</f>
        <v>34818.5</v>
      </c>
      <c r="N5" s="32">
        <v>0</v>
      </c>
      <c r="O5" s="166">
        <f>J27</f>
        <v>13088544.250210971</v>
      </c>
      <c r="P5" s="32">
        <v>0</v>
      </c>
      <c r="Q5" s="32">
        <v>0</v>
      </c>
      <c r="R5" s="32">
        <v>0</v>
      </c>
      <c r="S5" s="5">
        <f t="shared" ref="S5:S8" si="2">O5*0.01</f>
        <v>130885.44250210971</v>
      </c>
      <c r="T5" s="32">
        <v>0</v>
      </c>
      <c r="U5">
        <v>0</v>
      </c>
    </row>
    <row r="6" spans="1:21" x14ac:dyDescent="0.25">
      <c r="A6" s="1" t="s">
        <v>320</v>
      </c>
      <c r="B6" s="1" t="s">
        <v>13</v>
      </c>
      <c r="C6" s="1">
        <v>1</v>
      </c>
      <c r="D6" s="1">
        <v>1</v>
      </c>
      <c r="E6" s="1">
        <f t="shared" si="0"/>
        <v>40</v>
      </c>
      <c r="F6" s="1">
        <v>1</v>
      </c>
      <c r="G6" s="1" t="s">
        <v>16</v>
      </c>
      <c r="H6" s="1" t="s">
        <v>65</v>
      </c>
      <c r="I6" s="1">
        <f>I28*10^6</f>
        <v>88934</v>
      </c>
      <c r="J6" s="1">
        <v>0</v>
      </c>
      <c r="K6" s="1">
        <v>0</v>
      </c>
      <c r="L6" s="1">
        <v>0</v>
      </c>
      <c r="M6" s="5">
        <f t="shared" si="1"/>
        <v>889.34</v>
      </c>
      <c r="N6" s="1">
        <v>0</v>
      </c>
      <c r="O6" s="5">
        <f>J28</f>
        <v>334309.80494514771</v>
      </c>
      <c r="P6" s="1">
        <v>0</v>
      </c>
      <c r="Q6" s="1">
        <v>0</v>
      </c>
      <c r="R6" s="1">
        <v>0</v>
      </c>
      <c r="S6" s="5">
        <f t="shared" si="2"/>
        <v>3343.098049451477</v>
      </c>
      <c r="T6" s="1">
        <v>0</v>
      </c>
      <c r="U6">
        <v>0</v>
      </c>
    </row>
    <row r="7" spans="1:21" x14ac:dyDescent="0.25">
      <c r="A7" s="1" t="s">
        <v>320</v>
      </c>
      <c r="B7" s="1" t="s">
        <v>13</v>
      </c>
      <c r="C7" s="1">
        <v>1</v>
      </c>
      <c r="D7" s="1">
        <v>1</v>
      </c>
      <c r="E7" s="1">
        <f t="shared" si="0"/>
        <v>40</v>
      </c>
      <c r="F7" s="1">
        <v>1</v>
      </c>
      <c r="G7" s="1" t="s">
        <v>16</v>
      </c>
      <c r="H7" s="1" t="s">
        <v>69</v>
      </c>
      <c r="I7" s="1">
        <f>I29*10^6</f>
        <v>174092.5</v>
      </c>
      <c r="J7" s="1">
        <v>0</v>
      </c>
      <c r="K7" s="1">
        <v>0</v>
      </c>
      <c r="L7" s="1">
        <v>0</v>
      </c>
      <c r="M7" s="5">
        <f t="shared" si="1"/>
        <v>1740.925</v>
      </c>
      <c r="N7" s="1">
        <v>0</v>
      </c>
      <c r="O7" s="5">
        <f>J29</f>
        <v>654427.21251054853</v>
      </c>
      <c r="P7" s="1">
        <v>0</v>
      </c>
      <c r="Q7" s="1">
        <v>0</v>
      </c>
      <c r="R7" s="1">
        <v>0</v>
      </c>
      <c r="S7" s="5">
        <f t="shared" si="2"/>
        <v>6544.2721251054854</v>
      </c>
      <c r="T7" s="1">
        <v>0</v>
      </c>
      <c r="U7">
        <v>0</v>
      </c>
    </row>
    <row r="8" spans="1:21" x14ac:dyDescent="0.25">
      <c r="A8" s="1" t="s">
        <v>321</v>
      </c>
      <c r="B8" s="1" t="s">
        <v>23</v>
      </c>
      <c r="C8" s="1">
        <f>7377781500/33.3</f>
        <v>221555000.00000003</v>
      </c>
      <c r="D8" s="1">
        <v>1</v>
      </c>
      <c r="E8" s="1">
        <f t="shared" si="0"/>
        <v>40</v>
      </c>
      <c r="F8" s="1">
        <v>1</v>
      </c>
      <c r="G8" s="1" t="s">
        <v>16</v>
      </c>
      <c r="H8" s="1" t="s">
        <v>486</v>
      </c>
      <c r="I8" s="1">
        <f>I30*10^6</f>
        <v>9842938.25</v>
      </c>
      <c r="J8" s="1">
        <v>0</v>
      </c>
      <c r="K8" s="1">
        <v>0</v>
      </c>
      <c r="L8" s="1">
        <v>0</v>
      </c>
      <c r="M8" s="5">
        <f t="shared" si="1"/>
        <v>98429.382500000007</v>
      </c>
      <c r="N8" s="1">
        <v>0</v>
      </c>
      <c r="O8" s="5">
        <f>I30</f>
        <v>9.8429382499999996</v>
      </c>
      <c r="P8" s="1">
        <v>0</v>
      </c>
      <c r="Q8" s="1">
        <v>0</v>
      </c>
      <c r="R8" s="1">
        <v>0</v>
      </c>
      <c r="S8" s="5">
        <f t="shared" si="2"/>
        <v>9.8429382499999996E-2</v>
      </c>
      <c r="T8" s="1">
        <v>0</v>
      </c>
      <c r="U8">
        <v>0</v>
      </c>
    </row>
    <row r="11" spans="1:21" x14ac:dyDescent="0.25">
      <c r="A11" s="1" t="s">
        <v>287</v>
      </c>
      <c r="B11" s="1" t="s">
        <v>288</v>
      </c>
      <c r="C11" s="1">
        <v>40</v>
      </c>
      <c r="D11" s="1" t="s">
        <v>487</v>
      </c>
      <c r="E11" s="1" t="s">
        <v>1143</v>
      </c>
      <c r="F11" s="1"/>
    </row>
    <row r="13" spans="1:21" x14ac:dyDescent="0.25">
      <c r="A13" s="93" t="s">
        <v>86</v>
      </c>
      <c r="B13" s="8"/>
      <c r="C13" s="8"/>
      <c r="D13" s="8"/>
      <c r="E13" s="8"/>
      <c r="F13" s="8"/>
      <c r="G13" s="8"/>
      <c r="H13" s="8"/>
      <c r="I13" s="8"/>
    </row>
    <row r="14" spans="1:21" x14ac:dyDescent="0.25">
      <c r="A14" s="98"/>
      <c r="B14" s="8"/>
      <c r="C14" s="8"/>
      <c r="D14" s="8"/>
      <c r="E14" s="8"/>
      <c r="F14" s="8"/>
      <c r="G14" s="8"/>
      <c r="H14" s="8"/>
      <c r="I14" s="8"/>
    </row>
    <row r="15" spans="1:21" x14ac:dyDescent="0.25">
      <c r="A15" t="s">
        <v>488</v>
      </c>
    </row>
    <row r="17" spans="1:17" x14ac:dyDescent="0.25">
      <c r="A17" s="21" t="s">
        <v>489</v>
      </c>
    </row>
    <row r="19" spans="1:17" x14ac:dyDescent="0.25">
      <c r="A19" t="s">
        <v>490</v>
      </c>
      <c r="C19" t="s">
        <v>1146</v>
      </c>
    </row>
    <row r="21" spans="1:17" x14ac:dyDescent="0.25">
      <c r="A21" s="1"/>
      <c r="B21" s="1" t="s">
        <v>1144</v>
      </c>
      <c r="C21" s="1" t="s">
        <v>1145</v>
      </c>
      <c r="D21" s="1" t="s">
        <v>517</v>
      </c>
    </row>
    <row r="22" spans="1:17" x14ac:dyDescent="0.25">
      <c r="A22" s="1" t="s">
        <v>491</v>
      </c>
      <c r="B22" s="1">
        <v>0.44</v>
      </c>
      <c r="C22" s="1">
        <f>399/1000</f>
        <v>0.39900000000000002</v>
      </c>
      <c r="D22" s="1">
        <f>AVERAGE(B22,C22)</f>
        <v>0.41949999999999998</v>
      </c>
    </row>
    <row r="23" spans="1:17" x14ac:dyDescent="0.25">
      <c r="A23" s="1" t="s">
        <v>492</v>
      </c>
      <c r="B23" s="1">
        <f>B22*10^3/0.237</f>
        <v>1856.5400843881857</v>
      </c>
      <c r="C23" s="1">
        <f>4670*0.2778</f>
        <v>1297.326</v>
      </c>
      <c r="D23" s="1">
        <f>AVERAGE(B23,C23)</f>
        <v>1576.9330421940929</v>
      </c>
    </row>
    <row r="24" spans="1:17" ht="15.75" thickBot="1" x14ac:dyDescent="0.3">
      <c r="K24" s="327"/>
      <c r="L24" s="327"/>
      <c r="M24" s="327"/>
      <c r="N24" s="327"/>
      <c r="O24" s="327"/>
      <c r="P24" s="327"/>
      <c r="Q24" s="327"/>
    </row>
    <row r="25" spans="1:17" ht="15.75" thickBot="1" x14ac:dyDescent="0.3">
      <c r="A25" s="167" t="s">
        <v>493</v>
      </c>
      <c r="B25" s="167" t="s">
        <v>494</v>
      </c>
      <c r="C25" s="76" t="s">
        <v>8</v>
      </c>
      <c r="D25" s="168" t="s">
        <v>495</v>
      </c>
      <c r="E25" s="169" t="s">
        <v>8</v>
      </c>
      <c r="F25" s="170" t="s">
        <v>496</v>
      </c>
      <c r="G25" s="171"/>
      <c r="H25" s="172" t="s">
        <v>497</v>
      </c>
      <c r="I25" s="173" t="s">
        <v>498</v>
      </c>
      <c r="J25" s="167" t="s">
        <v>368</v>
      </c>
      <c r="K25" s="174" t="s">
        <v>499</v>
      </c>
      <c r="L25" s="21"/>
      <c r="M25" s="21"/>
      <c r="N25" s="21"/>
      <c r="O25" s="21"/>
      <c r="P25" s="21"/>
      <c r="Q25" s="21"/>
    </row>
    <row r="26" spans="1:17" x14ac:dyDescent="0.25">
      <c r="A26" s="148" t="s">
        <v>411</v>
      </c>
      <c r="B26" s="175">
        <v>4500</v>
      </c>
      <c r="C26" s="192" t="s">
        <v>500</v>
      </c>
      <c r="D26" s="168">
        <v>7.3700000000000002E-2</v>
      </c>
      <c r="E26" s="176" t="s">
        <v>501</v>
      </c>
      <c r="F26" s="177">
        <f>D26*100*0.44*142/120*1000</f>
        <v>3837.3133333333335</v>
      </c>
      <c r="G26" s="178">
        <f>F26*0.444</f>
        <v>1703.7671200000002</v>
      </c>
      <c r="H26" s="179">
        <f t="shared" ref="H26:H31" si="3">B26*D$22</f>
        <v>1887.75</v>
      </c>
      <c r="I26" s="179">
        <f>H26/1000</f>
        <v>1.88775</v>
      </c>
      <c r="J26" s="189">
        <f t="shared" ref="J26:J31" si="4">B26*D$23</f>
        <v>7096198.6898734178</v>
      </c>
      <c r="K26" s="180">
        <f>(H26-G26)/H26</f>
        <v>9.7461464706661255E-2</v>
      </c>
    </row>
    <row r="27" spans="1:17" x14ac:dyDescent="0.25">
      <c r="A27" s="148" t="s">
        <v>413</v>
      </c>
      <c r="B27" s="148">
        <v>8300</v>
      </c>
      <c r="C27" s="193" t="s">
        <v>500</v>
      </c>
      <c r="D27" s="181">
        <v>0.13600000000000001</v>
      </c>
      <c r="E27" s="176" t="s">
        <v>501</v>
      </c>
      <c r="F27" s="177">
        <f>D27*60*0.44*142/120*1000</f>
        <v>4248.6400000000003</v>
      </c>
      <c r="G27" s="178">
        <f>F27*0.444</f>
        <v>1886.3961600000002</v>
      </c>
      <c r="H27" s="182">
        <f t="shared" si="3"/>
        <v>3481.85</v>
      </c>
      <c r="I27" s="182">
        <f t="shared" ref="I27:I31" si="5">H27/1000</f>
        <v>3.4818500000000001</v>
      </c>
      <c r="J27" s="190">
        <f t="shared" si="4"/>
        <v>13088544.250210971</v>
      </c>
      <c r="K27" s="180">
        <f t="shared" ref="K27:K31" si="6">(H27-G27)/H27</f>
        <v>0.45822015307954095</v>
      </c>
    </row>
    <row r="28" spans="1:17" x14ac:dyDescent="0.25">
      <c r="A28" s="148" t="s">
        <v>502</v>
      </c>
      <c r="B28" s="148">
        <v>212</v>
      </c>
      <c r="C28" s="193" t="s">
        <v>500</v>
      </c>
      <c r="D28" s="181">
        <v>7.3700000000000002E-2</v>
      </c>
      <c r="E28" s="176" t="s">
        <v>501</v>
      </c>
      <c r="F28" s="177">
        <f>D28*4*0.44*142/120*1000</f>
        <v>153.49253333333334</v>
      </c>
      <c r="G28" s="178">
        <f t="shared" ref="G28:G31" si="7">F28*0.444</f>
        <v>68.150684800000008</v>
      </c>
      <c r="H28" s="182">
        <f t="shared" si="3"/>
        <v>88.933999999999997</v>
      </c>
      <c r="I28" s="182">
        <f t="shared" si="5"/>
        <v>8.8933999999999999E-2</v>
      </c>
      <c r="J28" s="190">
        <f t="shared" si="4"/>
        <v>334309.80494514771</v>
      </c>
      <c r="K28" s="180">
        <f t="shared" si="6"/>
        <v>0.233693696449052</v>
      </c>
    </row>
    <row r="29" spans="1:17" x14ac:dyDescent="0.25">
      <c r="A29" s="148" t="s">
        <v>503</v>
      </c>
      <c r="B29" s="148">
        <v>415</v>
      </c>
      <c r="C29" s="193" t="s">
        <v>500</v>
      </c>
      <c r="D29" s="181">
        <v>0.13600000000000001</v>
      </c>
      <c r="E29" s="176" t="s">
        <v>501</v>
      </c>
      <c r="F29" s="177">
        <f>D29*3*0.44*142/120*1000</f>
        <v>212.43200000000004</v>
      </c>
      <c r="G29" s="178">
        <f t="shared" si="7"/>
        <v>94.319808000000023</v>
      </c>
      <c r="H29" s="182">
        <f t="shared" si="3"/>
        <v>174.0925</v>
      </c>
      <c r="I29" s="182">
        <f t="shared" si="5"/>
        <v>0.17409250000000001</v>
      </c>
      <c r="J29" s="190">
        <f t="shared" si="4"/>
        <v>654427.21251054853</v>
      </c>
      <c r="K29" s="180">
        <f t="shared" si="6"/>
        <v>0.45822015307954089</v>
      </c>
    </row>
    <row r="30" spans="1:17" x14ac:dyDescent="0.25">
      <c r="A30" s="148" t="s">
        <v>504</v>
      </c>
      <c r="B30" s="148">
        <f>C43</f>
        <v>23463.5</v>
      </c>
      <c r="C30" s="149" t="s">
        <v>505</v>
      </c>
      <c r="D30" s="181">
        <v>0.107</v>
      </c>
      <c r="E30" s="176" t="s">
        <v>501</v>
      </c>
      <c r="F30" s="177">
        <f>D30*281*0.44*142/120*1000</f>
        <v>15654.884666666667</v>
      </c>
      <c r="G30" s="178">
        <f t="shared" si="7"/>
        <v>6950.7687919999998</v>
      </c>
      <c r="H30" s="182">
        <f t="shared" si="3"/>
        <v>9842.9382499999992</v>
      </c>
      <c r="I30" s="182">
        <f t="shared" si="5"/>
        <v>9.8429382499999996</v>
      </c>
      <c r="J30" s="190">
        <f t="shared" si="4"/>
        <v>37000368.435521096</v>
      </c>
      <c r="K30" s="180">
        <f t="shared" si="6"/>
        <v>0.29383192137774505</v>
      </c>
    </row>
    <row r="31" spans="1:17" ht="15.75" thickBot="1" x14ac:dyDescent="0.3">
      <c r="A31" s="156" t="s">
        <v>506</v>
      </c>
      <c r="B31" s="156">
        <f>C43</f>
        <v>23463.5</v>
      </c>
      <c r="C31" s="158" t="s">
        <v>507</v>
      </c>
      <c r="D31" s="69">
        <v>5.5E-2</v>
      </c>
      <c r="E31" s="183" t="s">
        <v>501</v>
      </c>
      <c r="F31" s="184">
        <f>D31*281*0.44*142/120*1000</f>
        <v>8046.9033333333346</v>
      </c>
      <c r="G31" s="185">
        <f t="shared" si="7"/>
        <v>3572.8250800000005</v>
      </c>
      <c r="H31" s="186">
        <f t="shared" si="3"/>
        <v>9842.9382499999992</v>
      </c>
      <c r="I31" s="186">
        <f t="shared" si="5"/>
        <v>9.8429382499999996</v>
      </c>
      <c r="J31" s="191">
        <f t="shared" si="4"/>
        <v>37000368.435521096</v>
      </c>
      <c r="K31" s="187">
        <f t="shared" si="6"/>
        <v>0.63701640818482219</v>
      </c>
    </row>
    <row r="33" spans="1:4" x14ac:dyDescent="0.25">
      <c r="A33" s="21" t="s">
        <v>508</v>
      </c>
    </row>
    <row r="35" spans="1:4" x14ac:dyDescent="0.25">
      <c r="A35" s="1"/>
      <c r="B35" s="1" t="s">
        <v>1142</v>
      </c>
      <c r="C35" s="1" t="s">
        <v>509</v>
      </c>
    </row>
    <row r="36" spans="1:4" x14ac:dyDescent="0.25">
      <c r="A36" s="1" t="s">
        <v>510</v>
      </c>
      <c r="B36" s="1">
        <v>950</v>
      </c>
      <c r="C36" s="1">
        <f>B36*281/100</f>
        <v>2669.5</v>
      </c>
    </row>
    <row r="37" spans="1:4" x14ac:dyDescent="0.25">
      <c r="A37" s="1" t="s">
        <v>511</v>
      </c>
      <c r="B37" s="1">
        <v>1000</v>
      </c>
      <c r="C37" s="1">
        <f t="shared" ref="C37:C42" si="8">B37*281/100</f>
        <v>2810</v>
      </c>
    </row>
    <row r="38" spans="1:4" x14ac:dyDescent="0.25">
      <c r="A38" s="1" t="s">
        <v>512</v>
      </c>
      <c r="B38" s="1">
        <v>1700</v>
      </c>
      <c r="C38" s="1">
        <f t="shared" si="8"/>
        <v>4777</v>
      </c>
    </row>
    <row r="39" spans="1:4" x14ac:dyDescent="0.25">
      <c r="A39" s="1" t="s">
        <v>513</v>
      </c>
      <c r="B39" s="1">
        <v>2000</v>
      </c>
      <c r="C39" s="1">
        <f t="shared" si="8"/>
        <v>5620</v>
      </c>
    </row>
    <row r="40" spans="1:4" x14ac:dyDescent="0.25">
      <c r="A40" s="1" t="s">
        <v>514</v>
      </c>
      <c r="B40" s="1">
        <v>1800</v>
      </c>
      <c r="C40" s="1">
        <f t="shared" si="8"/>
        <v>5058</v>
      </c>
    </row>
    <row r="41" spans="1:4" x14ac:dyDescent="0.25">
      <c r="A41" s="1" t="s">
        <v>515</v>
      </c>
      <c r="B41" s="1">
        <v>250</v>
      </c>
      <c r="C41" s="1">
        <f t="shared" si="8"/>
        <v>702.5</v>
      </c>
    </row>
    <row r="42" spans="1:4" x14ac:dyDescent="0.25">
      <c r="A42" s="1" t="s">
        <v>516</v>
      </c>
      <c r="B42" s="1">
        <v>650</v>
      </c>
      <c r="C42" s="1">
        <f t="shared" si="8"/>
        <v>1826.5</v>
      </c>
    </row>
    <row r="43" spans="1:4" x14ac:dyDescent="0.25">
      <c r="A43" s="12" t="s">
        <v>365</v>
      </c>
      <c r="B43" s="12">
        <f>SUM(B36:B42)</f>
        <v>8350</v>
      </c>
      <c r="C43" s="12">
        <f>SUM(C36:C42)</f>
        <v>23463.5</v>
      </c>
    </row>
    <row r="45" spans="1:4" ht="30" x14ac:dyDescent="0.25">
      <c r="A45" s="133" t="s">
        <v>87</v>
      </c>
      <c r="B45" s="8"/>
      <c r="C45" s="8"/>
      <c r="D45" s="8"/>
    </row>
    <row r="46" spans="1:4" x14ac:dyDescent="0.25">
      <c r="A46" s="98"/>
      <c r="B46" s="8"/>
      <c r="C46" s="8"/>
      <c r="D46" s="8"/>
    </row>
    <row r="47" spans="1:4" x14ac:dyDescent="0.25">
      <c r="A47" s="367" t="s">
        <v>402</v>
      </c>
      <c r="B47" s="368"/>
      <c r="C47" s="368"/>
      <c r="D47" s="8"/>
    </row>
    <row r="48" spans="1:4" x14ac:dyDescent="0.25">
      <c r="A48" s="106"/>
      <c r="B48" s="92"/>
      <c r="C48" s="92"/>
      <c r="D48" s="8"/>
    </row>
    <row r="49" spans="1:4" x14ac:dyDescent="0.25">
      <c r="A49" s="12" t="s">
        <v>268</v>
      </c>
      <c r="B49" s="12" t="s">
        <v>269</v>
      </c>
      <c r="C49" s="12" t="s">
        <v>8</v>
      </c>
      <c r="D49" s="8"/>
    </row>
    <row r="50" spans="1:4" x14ac:dyDescent="0.25">
      <c r="A50" s="1" t="s">
        <v>270</v>
      </c>
      <c r="B50" s="1" t="s">
        <v>271</v>
      </c>
      <c r="C50" s="1">
        <v>33</v>
      </c>
      <c r="D50" s="8"/>
    </row>
    <row r="89" spans="2:3" x14ac:dyDescent="0.25">
      <c r="B89" s="188"/>
    </row>
    <row r="91" spans="2:3" x14ac:dyDescent="0.25">
      <c r="C91" s="1"/>
    </row>
  </sheetData>
  <mergeCells count="4">
    <mergeCell ref="I2:N2"/>
    <mergeCell ref="O2:T2"/>
    <mergeCell ref="K24:Q24"/>
    <mergeCell ref="A47:C47"/>
  </mergeCells>
  <hyperlinks>
    <hyperlink ref="C26" location="'2.1'!C18" display="Quoted in Production method" xr:uid="{FE89BA54-BDD5-460C-A4F9-D265DF1D6751}"/>
    <hyperlink ref="C27" location="'2.3'!C18" display="Quoted in Production method" xr:uid="{5E745461-C6F1-4A2A-84DB-2073A72BDB23}"/>
    <hyperlink ref="C28" location="'2.2.'!C18" display="Quoted in Production method" xr:uid="{F9CE890F-8B0F-421E-BD49-A3FBCB1C4C9C}"/>
    <hyperlink ref="C29" location="'2.4'!C18" display="Quoted in Production method" xr:uid="{5900ABAA-7737-4DC8-982B-6BCE1D8962D7}"/>
    <hyperlink ref="A1" location="Contents!A1" display="contents" xr:uid="{91318BA0-6E76-4807-807C-5C94118D455A}"/>
    <hyperlink ref="B1" location="'3. H2 Production Infrastructure'!A1" display="production infrastructure" xr:uid="{B14649C9-D0E6-4E85-9A65-503A0E409000}"/>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29DB-80CE-4C91-B87D-5ABCF4A9AF97}">
  <dimension ref="A2:V50"/>
  <sheetViews>
    <sheetView workbookViewId="0">
      <selection activeCell="L23" sqref="L23"/>
    </sheetView>
  </sheetViews>
  <sheetFormatPr defaultRowHeight="15" x14ac:dyDescent="0.25"/>
  <cols>
    <col min="1" max="1" width="12.85546875" bestFit="1" customWidth="1"/>
    <col min="3" max="3" width="12" bestFit="1" customWidth="1"/>
    <col min="4" max="4" width="11" bestFit="1" customWidth="1"/>
    <col min="5" max="5" width="10" bestFit="1" customWidth="1"/>
    <col min="6" max="7" width="12" bestFit="1" customWidth="1"/>
    <col min="12" max="12" width="12" bestFit="1" customWidth="1"/>
    <col min="17" max="18" width="12" bestFit="1" customWidth="1"/>
    <col min="21" max="21" width="10.28515625" customWidth="1"/>
  </cols>
  <sheetData>
    <row r="2" spans="1:22" x14ac:dyDescent="0.25">
      <c r="H2" s="381" t="s">
        <v>138</v>
      </c>
      <c r="I2" s="381"/>
      <c r="J2" s="381"/>
      <c r="K2" s="381"/>
      <c r="L2" s="381"/>
      <c r="M2" s="381"/>
      <c r="N2" s="381" t="s">
        <v>139</v>
      </c>
      <c r="O2" s="381"/>
      <c r="P2" s="381"/>
      <c r="Q2" s="381"/>
      <c r="R2" s="381"/>
      <c r="S2" s="381"/>
      <c r="T2" s="381"/>
      <c r="U2" s="382" t="s">
        <v>46</v>
      </c>
    </row>
    <row r="3" spans="1:22" x14ac:dyDescent="0.25">
      <c r="A3" s="12" t="s">
        <v>5</v>
      </c>
      <c r="B3" s="12" t="s">
        <v>7</v>
      </c>
      <c r="C3" s="12" t="s">
        <v>188</v>
      </c>
      <c r="D3" s="12" t="s">
        <v>30</v>
      </c>
      <c r="E3" s="12" t="s">
        <v>82</v>
      </c>
      <c r="F3" s="12" t="s">
        <v>32</v>
      </c>
      <c r="G3" s="12" t="s">
        <v>1</v>
      </c>
      <c r="H3" s="12" t="s">
        <v>84</v>
      </c>
      <c r="I3" s="12" t="s">
        <v>85</v>
      </c>
      <c r="J3" s="12" t="s">
        <v>86</v>
      </c>
      <c r="K3" s="12" t="s">
        <v>85</v>
      </c>
      <c r="L3" s="12" t="s">
        <v>87</v>
      </c>
      <c r="M3" s="12" t="s">
        <v>85</v>
      </c>
      <c r="N3" s="12" t="s">
        <v>84</v>
      </c>
      <c r="O3" s="12" t="s">
        <v>85</v>
      </c>
      <c r="P3" s="12" t="s">
        <v>86</v>
      </c>
      <c r="Q3" s="12" t="s">
        <v>85</v>
      </c>
      <c r="R3" s="12" t="s">
        <v>87</v>
      </c>
      <c r="S3" s="12" t="s">
        <v>85</v>
      </c>
      <c r="T3" s="12" t="s">
        <v>519</v>
      </c>
      <c r="U3" s="383"/>
    </row>
    <row r="4" spans="1:22" x14ac:dyDescent="0.25">
      <c r="A4" s="1" t="s">
        <v>520</v>
      </c>
      <c r="B4" s="1" t="s">
        <v>13</v>
      </c>
      <c r="C4" s="1">
        <f>C5</f>
        <v>2312312312.3123126</v>
      </c>
      <c r="D4" s="1">
        <v>1</v>
      </c>
      <c r="E4" s="1">
        <v>20</v>
      </c>
      <c r="F4" s="1">
        <f>F14</f>
        <v>0.98799999999999999</v>
      </c>
      <c r="G4" s="1" t="s">
        <v>12</v>
      </c>
      <c r="H4" s="1">
        <f>0</f>
        <v>0</v>
      </c>
      <c r="I4" s="1">
        <f>D30</f>
        <v>983273.1</v>
      </c>
      <c r="J4" s="1">
        <v>0</v>
      </c>
      <c r="K4" s="1">
        <f>F12</f>
        <v>1.4248971193415639E-4</v>
      </c>
      <c r="L4" s="1">
        <v>0</v>
      </c>
      <c r="M4" s="194">
        <f>I4*0.001</f>
        <v>983.2731</v>
      </c>
      <c r="N4" s="194">
        <v>0</v>
      </c>
      <c r="O4" s="1">
        <v>249850</v>
      </c>
      <c r="P4" s="1">
        <v>0</v>
      </c>
      <c r="Q4" s="1">
        <f>G12</f>
        <v>0</v>
      </c>
      <c r="R4" s="1">
        <v>0</v>
      </c>
      <c r="S4" s="194">
        <f>O4*0.001</f>
        <v>249.85</v>
      </c>
      <c r="T4" s="1" t="s">
        <v>521</v>
      </c>
      <c r="U4" s="1">
        <f>F17</f>
        <v>2.0000000000000004E-4</v>
      </c>
      <c r="V4" t="s">
        <v>690</v>
      </c>
    </row>
    <row r="5" spans="1:22" x14ac:dyDescent="0.25">
      <c r="A5" s="1" t="s">
        <v>520</v>
      </c>
      <c r="B5" s="1" t="s">
        <v>23</v>
      </c>
      <c r="C5" s="1">
        <f>C8</f>
        <v>2312312312.3123126</v>
      </c>
      <c r="D5" s="1">
        <v>1</v>
      </c>
      <c r="E5" s="1">
        <v>20</v>
      </c>
      <c r="F5" s="1">
        <f>F14</f>
        <v>0.98799999999999999</v>
      </c>
      <c r="G5" s="1" t="s">
        <v>12</v>
      </c>
      <c r="H5" s="1">
        <f>0</f>
        <v>0</v>
      </c>
      <c r="I5" s="1">
        <f>D30</f>
        <v>983273.1</v>
      </c>
      <c r="J5" s="1">
        <f>H53+H54</f>
        <v>0</v>
      </c>
      <c r="K5" s="1">
        <f>F13</f>
        <v>3.166438042981253E-4</v>
      </c>
      <c r="L5" s="1">
        <v>0</v>
      </c>
      <c r="M5" s="194">
        <f>I5*0.001</f>
        <v>983.2731</v>
      </c>
      <c r="N5" s="194">
        <v>0</v>
      </c>
      <c r="O5" s="1">
        <v>249850</v>
      </c>
      <c r="P5" s="1">
        <v>0</v>
      </c>
      <c r="Q5" s="1">
        <v>0</v>
      </c>
      <c r="R5" s="1">
        <v>0</v>
      </c>
      <c r="S5" s="194">
        <f>O5*0.001</f>
        <v>249.85</v>
      </c>
      <c r="T5" s="1" t="s">
        <v>521</v>
      </c>
      <c r="U5" s="1">
        <f>U4</f>
        <v>2.0000000000000004E-4</v>
      </c>
      <c r="V5" t="s">
        <v>690</v>
      </c>
    </row>
    <row r="6" spans="1:22" x14ac:dyDescent="0.25">
      <c r="A6" s="1" t="s">
        <v>522</v>
      </c>
      <c r="B6" s="1" t="s">
        <v>13</v>
      </c>
      <c r="C6" s="1">
        <f>F15</f>
        <v>2312312312.3123126</v>
      </c>
      <c r="D6" s="1">
        <v>1</v>
      </c>
      <c r="E6" s="1">
        <f>F16</f>
        <v>40</v>
      </c>
      <c r="F6" s="1">
        <f>F14</f>
        <v>0.98799999999999999</v>
      </c>
      <c r="G6" s="1" t="s">
        <v>12</v>
      </c>
      <c r="H6" s="1">
        <f>F55+F56</f>
        <v>0</v>
      </c>
      <c r="I6" s="194">
        <f>E24+D30</f>
        <v>14063283.028199999</v>
      </c>
      <c r="J6" s="1">
        <f>H55+H56</f>
        <v>0</v>
      </c>
      <c r="K6" s="1">
        <f>F12</f>
        <v>1.4248971193415639E-4</v>
      </c>
      <c r="L6" s="1">
        <v>0</v>
      </c>
      <c r="M6" s="194">
        <f>I6*0.001</f>
        <v>14063.2830282</v>
      </c>
      <c r="N6" s="1">
        <v>0</v>
      </c>
      <c r="O6" s="194">
        <f>D24+E30</f>
        <v>3645879.5</v>
      </c>
      <c r="P6" s="1">
        <v>0</v>
      </c>
      <c r="Q6" s="1">
        <f>G13</f>
        <v>6.6811842706904442E-5</v>
      </c>
      <c r="R6" s="1">
        <v>0</v>
      </c>
      <c r="S6" s="194">
        <f>O6*0.001</f>
        <v>3645.8795</v>
      </c>
      <c r="T6" s="1" t="s">
        <v>521</v>
      </c>
      <c r="U6" s="1">
        <f>F17</f>
        <v>2.0000000000000004E-4</v>
      </c>
      <c r="V6" t="s">
        <v>690</v>
      </c>
    </row>
    <row r="7" spans="1:22" x14ac:dyDescent="0.25">
      <c r="A7" s="1" t="s">
        <v>522</v>
      </c>
      <c r="B7" s="1" t="s">
        <v>23</v>
      </c>
      <c r="C7" s="1">
        <f>F15</f>
        <v>2312312312.3123126</v>
      </c>
      <c r="D7" s="1">
        <v>1</v>
      </c>
      <c r="E7" s="1">
        <f>F16</f>
        <v>40</v>
      </c>
      <c r="F7" s="1">
        <f>F14</f>
        <v>0.98799999999999999</v>
      </c>
      <c r="G7" s="1" t="s">
        <v>12</v>
      </c>
      <c r="H7" s="1">
        <f>F56+F57</f>
        <v>0</v>
      </c>
      <c r="I7" s="194">
        <f>E24+D30</f>
        <v>14063283.028199999</v>
      </c>
      <c r="J7" s="1">
        <f>H56+H57</f>
        <v>0</v>
      </c>
      <c r="K7" s="1">
        <f>F13</f>
        <v>3.166438042981253E-4</v>
      </c>
      <c r="L7" s="1">
        <v>0</v>
      </c>
      <c r="M7" s="194">
        <f>I7*0.001</f>
        <v>14063.2830282</v>
      </c>
      <c r="N7" s="1">
        <v>0</v>
      </c>
      <c r="O7" s="194">
        <f>D24+E30</f>
        <v>3645879.5</v>
      </c>
      <c r="P7" s="1">
        <v>0</v>
      </c>
      <c r="Q7" s="1">
        <f>G13</f>
        <v>6.6811842706904442E-5</v>
      </c>
      <c r="R7" s="1">
        <v>0</v>
      </c>
      <c r="S7" s="194">
        <f>O7*0.001</f>
        <v>3645.8795</v>
      </c>
      <c r="T7" s="1" t="s">
        <v>521</v>
      </c>
      <c r="U7" s="1">
        <f>F17</f>
        <v>2.0000000000000004E-4</v>
      </c>
      <c r="V7" t="s">
        <v>690</v>
      </c>
    </row>
    <row r="8" spans="1:22" x14ac:dyDescent="0.25">
      <c r="A8" s="1" t="s">
        <v>523</v>
      </c>
      <c r="B8" s="1" t="s">
        <v>23</v>
      </c>
      <c r="C8" s="1">
        <f>C6</f>
        <v>2312312312.3123126</v>
      </c>
      <c r="D8" s="1">
        <v>1</v>
      </c>
      <c r="E8" s="1">
        <f>F16</f>
        <v>40</v>
      </c>
      <c r="F8" s="1">
        <v>1</v>
      </c>
      <c r="G8" s="1" t="s">
        <v>16</v>
      </c>
      <c r="H8" s="1">
        <f>0</f>
        <v>0</v>
      </c>
      <c r="I8" s="1">
        <f>G54+G55</f>
        <v>0</v>
      </c>
      <c r="J8" s="1">
        <f>H54+H55</f>
        <v>0</v>
      </c>
      <c r="K8" s="1">
        <v>0</v>
      </c>
      <c r="L8" s="1">
        <v>0</v>
      </c>
      <c r="M8" s="1">
        <v>0</v>
      </c>
      <c r="N8" s="1">
        <v>0</v>
      </c>
      <c r="O8" s="1">
        <v>0</v>
      </c>
      <c r="P8" s="1">
        <v>0</v>
      </c>
      <c r="Q8" s="1">
        <v>0</v>
      </c>
      <c r="R8" s="1">
        <v>0</v>
      </c>
      <c r="S8" s="1">
        <v>0</v>
      </c>
      <c r="T8" s="1" t="s">
        <v>23</v>
      </c>
      <c r="U8" s="1">
        <v>0</v>
      </c>
      <c r="V8" t="s">
        <v>690</v>
      </c>
    </row>
    <row r="10" spans="1:22" x14ac:dyDescent="0.25">
      <c r="A10" s="21" t="s">
        <v>86</v>
      </c>
    </row>
    <row r="11" spans="1:22" x14ac:dyDescent="0.25">
      <c r="A11" s="1"/>
      <c r="B11" s="12" t="s">
        <v>165</v>
      </c>
      <c r="C11" s="12"/>
      <c r="D11" s="12"/>
      <c r="E11" s="12" t="s">
        <v>524</v>
      </c>
      <c r="F11" s="12" t="s">
        <v>138</v>
      </c>
      <c r="G11" s="12" t="s">
        <v>139</v>
      </c>
      <c r="H11" s="12" t="s">
        <v>525</v>
      </c>
      <c r="I11" s="12" t="s">
        <v>212</v>
      </c>
    </row>
    <row r="12" spans="1:22" x14ac:dyDescent="0.25">
      <c r="A12" s="1" t="s">
        <v>526</v>
      </c>
      <c r="B12" s="1" t="s">
        <v>527</v>
      </c>
      <c r="C12" s="1" t="s">
        <v>528</v>
      </c>
      <c r="D12" s="1">
        <v>0.6</v>
      </c>
      <c r="E12" s="1" t="s">
        <v>119</v>
      </c>
      <c r="F12" s="39">
        <v>1.4248971193415639E-4</v>
      </c>
      <c r="G12" s="1">
        <v>0</v>
      </c>
      <c r="H12" s="1" t="s">
        <v>529</v>
      </c>
      <c r="I12" s="154">
        <v>62</v>
      </c>
      <c r="O12" s="195"/>
      <c r="P12" s="195"/>
      <c r="Q12" s="196"/>
    </row>
    <row r="13" spans="1:22" x14ac:dyDescent="0.25">
      <c r="A13" s="1"/>
      <c r="B13" s="1" t="s">
        <v>530</v>
      </c>
      <c r="C13" s="1"/>
      <c r="D13" s="1">
        <f>D12/0.45</f>
        <v>1.3333333333333333</v>
      </c>
      <c r="E13" s="1" t="s">
        <v>531</v>
      </c>
      <c r="F13" s="1">
        <f>F12/0.45</f>
        <v>3.166438042981253E-4</v>
      </c>
      <c r="G13" s="1">
        <f>F13*0.211</f>
        <v>6.6811842706904442E-5</v>
      </c>
      <c r="H13" s="1" t="s">
        <v>532</v>
      </c>
      <c r="I13" s="308" t="s">
        <v>1147</v>
      </c>
    </row>
    <row r="14" spans="1:22" x14ac:dyDescent="0.25">
      <c r="A14" s="1" t="s">
        <v>32</v>
      </c>
      <c r="B14" s="1"/>
      <c r="C14" s="1"/>
      <c r="D14" s="1"/>
      <c r="E14" s="1" t="s">
        <v>109</v>
      </c>
      <c r="F14" s="1">
        <f>1-(0.0242-0.0122)</f>
        <v>0.98799999999999999</v>
      </c>
      <c r="G14" s="1"/>
      <c r="H14" s="1" t="s">
        <v>533</v>
      </c>
      <c r="I14" s="309">
        <v>20</v>
      </c>
    </row>
    <row r="15" spans="1:22" x14ac:dyDescent="0.25">
      <c r="A15" s="1" t="s">
        <v>101</v>
      </c>
      <c r="B15" s="1" t="s">
        <v>534</v>
      </c>
      <c r="C15" s="1">
        <v>77</v>
      </c>
      <c r="D15" s="1"/>
      <c r="E15" s="1" t="s">
        <v>260</v>
      </c>
      <c r="F15" s="1">
        <f>C15*10^9/33.3</f>
        <v>2312312312.3123126</v>
      </c>
      <c r="G15" s="1"/>
      <c r="H15" s="1" t="s">
        <v>535</v>
      </c>
      <c r="I15" s="154">
        <v>64</v>
      </c>
    </row>
    <row r="16" spans="1:22" x14ac:dyDescent="0.25">
      <c r="A16" s="1" t="s">
        <v>287</v>
      </c>
      <c r="B16" s="1" t="s">
        <v>118</v>
      </c>
      <c r="C16" s="1">
        <v>40</v>
      </c>
      <c r="D16" s="1"/>
      <c r="E16" s="1" t="s">
        <v>118</v>
      </c>
      <c r="F16" s="1">
        <v>40</v>
      </c>
      <c r="G16" s="1"/>
      <c r="H16" s="1"/>
      <c r="I16" s="310">
        <v>64</v>
      </c>
    </row>
    <row r="17" spans="1:9" x14ac:dyDescent="0.25">
      <c r="A17" s="1" t="s">
        <v>115</v>
      </c>
      <c r="B17" s="1" t="s">
        <v>109</v>
      </c>
      <c r="C17" s="1">
        <f>0.05-0.03</f>
        <v>2.0000000000000004E-2</v>
      </c>
      <c r="D17" s="1"/>
      <c r="E17" s="1"/>
      <c r="F17" s="1">
        <f>C17/100</f>
        <v>2.0000000000000004E-4</v>
      </c>
      <c r="G17" s="1"/>
      <c r="H17" s="1" t="s">
        <v>533</v>
      </c>
      <c r="I17" s="154">
        <v>20</v>
      </c>
    </row>
    <row r="19" spans="1:9" x14ac:dyDescent="0.25">
      <c r="A19" s="144" t="s">
        <v>268</v>
      </c>
    </row>
    <row r="20" spans="1:9" x14ac:dyDescent="0.25">
      <c r="A20" s="1"/>
      <c r="B20" s="1"/>
      <c r="C20" s="1"/>
      <c r="D20" s="1" t="s">
        <v>536</v>
      </c>
      <c r="E20" s="1" t="s">
        <v>537</v>
      </c>
      <c r="F20" s="1" t="s">
        <v>538</v>
      </c>
      <c r="G20" s="1" t="s">
        <v>212</v>
      </c>
    </row>
    <row r="21" spans="1:9" x14ac:dyDescent="0.25">
      <c r="A21" s="1" t="s">
        <v>539</v>
      </c>
      <c r="B21" s="1" t="s">
        <v>540</v>
      </c>
      <c r="C21" s="1">
        <f>557*1000</f>
        <v>557000</v>
      </c>
      <c r="D21" s="32">
        <f>C21*[1]Sheet1!$L$32</f>
        <v>1585779</v>
      </c>
      <c r="E21" s="32">
        <f>C21*[1]Sheet1!$M$32</f>
        <v>5987455.3470000001</v>
      </c>
      <c r="F21" s="32" t="s">
        <v>541</v>
      </c>
      <c r="G21" s="32">
        <v>64</v>
      </c>
    </row>
    <row r="22" spans="1:9" x14ac:dyDescent="0.25">
      <c r="A22" s="1" t="s">
        <v>542</v>
      </c>
      <c r="B22" s="1" t="s">
        <v>540</v>
      </c>
      <c r="C22" s="1">
        <f>109*1000</f>
        <v>109000</v>
      </c>
      <c r="D22" s="197">
        <f>C22*[1]Sheet1!$L$33</f>
        <v>1725415.5000000002</v>
      </c>
      <c r="E22" s="32">
        <f>C22*[1]Sheet1!$M$33</f>
        <v>6915800.8586999997</v>
      </c>
      <c r="F22" s="32" t="s">
        <v>543</v>
      </c>
      <c r="G22" s="32">
        <v>64</v>
      </c>
    </row>
    <row r="23" spans="1:9" x14ac:dyDescent="0.25">
      <c r="A23" s="1" t="s">
        <v>544</v>
      </c>
      <c r="B23" s="1" t="s">
        <v>545</v>
      </c>
      <c r="C23" s="1">
        <f>3.61*10^2*2.35</f>
        <v>848.35</v>
      </c>
      <c r="D23" s="194">
        <f>C23*[1]Sheet1!$L$27*1000</f>
        <v>84835.000000000015</v>
      </c>
      <c r="E23" s="1">
        <f>C23*1000*[1]Sheet1!$M$27</f>
        <v>176753.72249999997</v>
      </c>
      <c r="F23" s="1" t="s">
        <v>546</v>
      </c>
      <c r="G23" s="1">
        <v>65</v>
      </c>
    </row>
    <row r="24" spans="1:9" x14ac:dyDescent="0.25">
      <c r="A24" s="1" t="s">
        <v>476</v>
      </c>
      <c r="B24" s="1"/>
      <c r="C24" s="1"/>
      <c r="D24" s="198">
        <f>SUM(D21:D23)</f>
        <v>3396029.5</v>
      </c>
      <c r="E24" s="199">
        <f>SUM(E21:E23)</f>
        <v>13080009.928199999</v>
      </c>
      <c r="F24" s="194"/>
      <c r="G24" s="1"/>
      <c r="H24" s="1"/>
    </row>
    <row r="26" spans="1:9" x14ac:dyDescent="0.25">
      <c r="A26" s="21" t="s">
        <v>137</v>
      </c>
    </row>
    <row r="28" spans="1:9" x14ac:dyDescent="0.25">
      <c r="A28" s="1"/>
      <c r="B28" s="1"/>
      <c r="C28" s="1" t="s">
        <v>547</v>
      </c>
      <c r="D28" s="1" t="s">
        <v>548</v>
      </c>
      <c r="E28" s="1" t="s">
        <v>549</v>
      </c>
      <c r="F28" s="1" t="s">
        <v>538</v>
      </c>
      <c r="G28" s="1" t="s">
        <v>550</v>
      </c>
    </row>
    <row r="29" spans="1:9" x14ac:dyDescent="0.25">
      <c r="A29" s="1" t="s">
        <v>551</v>
      </c>
      <c r="B29" s="1" t="s">
        <v>552</v>
      </c>
      <c r="C29" s="200">
        <v>3539500</v>
      </c>
      <c r="D29" s="19">
        <f>C29*0.2778</f>
        <v>983273.1</v>
      </c>
      <c r="E29" s="305">
        <v>249850</v>
      </c>
      <c r="F29" s="1" t="s">
        <v>553</v>
      </c>
      <c r="G29" s="1">
        <v>65</v>
      </c>
    </row>
    <row r="30" spans="1:9" x14ac:dyDescent="0.25">
      <c r="A30" s="1" t="s">
        <v>476</v>
      </c>
      <c r="B30" s="1"/>
      <c r="C30" s="1"/>
      <c r="D30" s="12">
        <f>D29</f>
        <v>983273.1</v>
      </c>
      <c r="E30" s="311">
        <f>E29</f>
        <v>249850</v>
      </c>
      <c r="F30" s="1"/>
      <c r="G30" s="1"/>
    </row>
    <row r="32" spans="1:9" x14ac:dyDescent="0.25">
      <c r="A32" s="21" t="s">
        <v>87</v>
      </c>
    </row>
    <row r="34" spans="1:3" x14ac:dyDescent="0.25">
      <c r="A34" s="12" t="s">
        <v>268</v>
      </c>
      <c r="B34" s="1" t="s">
        <v>269</v>
      </c>
      <c r="C34" s="1" t="s">
        <v>8</v>
      </c>
    </row>
    <row r="35" spans="1:3" x14ac:dyDescent="0.25">
      <c r="A35" s="1" t="s">
        <v>270</v>
      </c>
      <c r="B35" s="1" t="s">
        <v>271</v>
      </c>
      <c r="C35" s="1">
        <v>33</v>
      </c>
    </row>
    <row r="50" spans="1:1" x14ac:dyDescent="0.25">
      <c r="A50" s="21"/>
    </row>
  </sheetData>
  <mergeCells count="3">
    <mergeCell ref="H2:M2"/>
    <mergeCell ref="N2:T2"/>
    <mergeCell ref="U2:U3"/>
  </mergeCells>
  <hyperlinks>
    <hyperlink ref="I13" r:id="rId1" display="https://extension.psu.edu/understanding-natural-gas-compressor-stations" xr:uid="{3208BCE1-5377-4B27-9C8A-99A0D794417F}"/>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61B0B-D8E6-4D8B-867B-0968957C914A}">
  <dimension ref="A2:V10"/>
  <sheetViews>
    <sheetView workbookViewId="0">
      <selection activeCell="G15" sqref="G15"/>
    </sheetView>
  </sheetViews>
  <sheetFormatPr defaultRowHeight="15" x14ac:dyDescent="0.25"/>
  <sheetData>
    <row r="2" spans="1:22" ht="15" customHeight="1" x14ac:dyDescent="0.25">
      <c r="A2" s="361" t="s">
        <v>5</v>
      </c>
      <c r="B2" s="361" t="s">
        <v>7</v>
      </c>
      <c r="C2" s="361" t="s">
        <v>554</v>
      </c>
      <c r="D2" s="361" t="s">
        <v>30</v>
      </c>
      <c r="E2" s="361" t="s">
        <v>82</v>
      </c>
      <c r="F2" s="361" t="s">
        <v>32</v>
      </c>
      <c r="G2" s="361" t="s">
        <v>6</v>
      </c>
      <c r="H2" s="12" t="s">
        <v>138</v>
      </c>
      <c r="I2" s="12"/>
      <c r="J2" s="12"/>
      <c r="K2" s="12"/>
      <c r="L2" s="12"/>
      <c r="M2" s="12"/>
      <c r="N2" s="12" t="s">
        <v>139</v>
      </c>
      <c r="O2" s="12"/>
      <c r="P2" s="12"/>
      <c r="Q2" s="12"/>
      <c r="R2" s="12"/>
      <c r="S2" s="12"/>
      <c r="T2" s="1"/>
      <c r="U2" s="361" t="s">
        <v>46</v>
      </c>
    </row>
    <row r="3" spans="1:22" ht="45" x14ac:dyDescent="0.25">
      <c r="A3" s="361"/>
      <c r="B3" s="361"/>
      <c r="C3" s="361"/>
      <c r="D3" s="361"/>
      <c r="E3" s="361"/>
      <c r="F3" s="361"/>
      <c r="G3" s="361"/>
      <c r="H3" s="63" t="s">
        <v>84</v>
      </c>
      <c r="I3" s="63" t="s">
        <v>86</v>
      </c>
      <c r="J3" s="63" t="s">
        <v>555</v>
      </c>
      <c r="K3" s="63" t="s">
        <v>84</v>
      </c>
      <c r="L3" s="63" t="s">
        <v>86</v>
      </c>
      <c r="M3" s="63" t="s">
        <v>555</v>
      </c>
      <c r="N3" s="63" t="s">
        <v>556</v>
      </c>
      <c r="O3" s="1"/>
      <c r="P3" s="1"/>
      <c r="Q3" s="1"/>
      <c r="R3" s="1"/>
      <c r="S3" s="1"/>
      <c r="T3" s="1"/>
      <c r="U3" s="361"/>
    </row>
    <row r="4" spans="1:22" x14ac:dyDescent="0.25">
      <c r="A4" s="1" t="s">
        <v>557</v>
      </c>
      <c r="B4" s="1" t="s">
        <v>13</v>
      </c>
      <c r="C4" s="1">
        <v>1</v>
      </c>
      <c r="D4" s="1">
        <v>1</v>
      </c>
      <c r="E4" s="1">
        <v>1</v>
      </c>
      <c r="F4" s="1">
        <v>1</v>
      </c>
      <c r="G4" s="1" t="s">
        <v>16</v>
      </c>
      <c r="H4" s="1">
        <v>0</v>
      </c>
      <c r="I4" s="1">
        <v>0</v>
      </c>
      <c r="J4" s="1">
        <v>0</v>
      </c>
      <c r="K4" s="1">
        <v>0</v>
      </c>
      <c r="L4" s="1">
        <v>0</v>
      </c>
      <c r="M4" s="1">
        <v>0</v>
      </c>
      <c r="N4" s="1">
        <v>0</v>
      </c>
      <c r="O4" s="1">
        <v>0</v>
      </c>
      <c r="P4" s="1">
        <v>0</v>
      </c>
      <c r="Q4" s="1">
        <v>0</v>
      </c>
      <c r="R4" s="1">
        <v>0</v>
      </c>
      <c r="S4" s="1">
        <v>0</v>
      </c>
      <c r="T4" s="1" t="s">
        <v>558</v>
      </c>
      <c r="U4" s="1">
        <f>F21/1000</f>
        <v>0</v>
      </c>
      <c r="V4" t="s">
        <v>557</v>
      </c>
    </row>
    <row r="8" spans="1:22" x14ac:dyDescent="0.25">
      <c r="A8" s="21" t="s">
        <v>557</v>
      </c>
      <c r="B8" s="21" t="s">
        <v>559</v>
      </c>
    </row>
    <row r="10" spans="1:22" x14ac:dyDescent="0.25">
      <c r="A10" s="67"/>
      <c r="B10" s="67"/>
    </row>
  </sheetData>
  <mergeCells count="8">
    <mergeCell ref="G2:G3"/>
    <mergeCell ref="U2:U3"/>
    <mergeCell ref="A2:A3"/>
    <mergeCell ref="B2:B3"/>
    <mergeCell ref="C2:C3"/>
    <mergeCell ref="D2:D3"/>
    <mergeCell ref="E2:E3"/>
    <mergeCell ref="F2: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DE70-ABC2-4FCA-80EC-75B3A54FC2B6}">
  <dimension ref="A1:H11"/>
  <sheetViews>
    <sheetView zoomScale="70" zoomScaleNormal="70" workbookViewId="0">
      <selection activeCell="H2" sqref="H2:H11"/>
    </sheetView>
  </sheetViews>
  <sheetFormatPr defaultRowHeight="15" x14ac:dyDescent="0.25"/>
  <cols>
    <col min="1" max="1" width="34.85546875" bestFit="1" customWidth="1"/>
    <col min="2" max="2" width="26.42578125" bestFit="1" customWidth="1"/>
    <col min="3" max="3" width="11.7109375" bestFit="1" customWidth="1"/>
    <col min="4" max="4" width="7" customWidth="1"/>
    <col min="5" max="5" width="10.5703125" customWidth="1"/>
    <col min="6" max="6" width="13.28515625" style="67" customWidth="1"/>
    <col min="7" max="7" width="11.140625" bestFit="1" customWidth="1"/>
  </cols>
  <sheetData>
    <row r="1" spans="1:8" ht="15.75" x14ac:dyDescent="0.25">
      <c r="A1" s="298" t="s">
        <v>28</v>
      </c>
      <c r="B1" s="298" t="s">
        <v>6</v>
      </c>
      <c r="C1" s="298" t="s">
        <v>7</v>
      </c>
      <c r="D1" s="298" t="s">
        <v>865</v>
      </c>
      <c r="E1" s="298" t="s">
        <v>8</v>
      </c>
      <c r="F1" s="298" t="s">
        <v>10</v>
      </c>
      <c r="G1" s="298" t="s">
        <v>8</v>
      </c>
      <c r="H1" s="325" t="s">
        <v>866</v>
      </c>
    </row>
    <row r="2" spans="1:8" ht="15.75" x14ac:dyDescent="0.25">
      <c r="A2" s="297" t="s">
        <v>11</v>
      </c>
      <c r="B2" s="297" t="s">
        <v>12</v>
      </c>
      <c r="C2" s="297" t="s">
        <v>13</v>
      </c>
      <c r="D2" s="299">
        <v>1.4200000000000001E-2</v>
      </c>
      <c r="E2" s="300">
        <v>1</v>
      </c>
      <c r="F2" s="297">
        <v>0.95</v>
      </c>
      <c r="G2" s="297">
        <v>10</v>
      </c>
      <c r="H2" s="326">
        <v>1</v>
      </c>
    </row>
    <row r="3" spans="1:8" ht="15.75" x14ac:dyDescent="0.25">
      <c r="A3" s="297" t="s">
        <v>14</v>
      </c>
      <c r="B3" s="297" t="s">
        <v>12</v>
      </c>
      <c r="C3" s="297" t="s">
        <v>13</v>
      </c>
      <c r="D3" s="299">
        <v>3.5999999999999997E-2</v>
      </c>
      <c r="E3" s="300">
        <v>2</v>
      </c>
      <c r="F3" s="297">
        <v>0.95</v>
      </c>
      <c r="G3" s="297">
        <v>10</v>
      </c>
      <c r="H3" s="326">
        <v>1</v>
      </c>
    </row>
    <row r="4" spans="1:8" ht="15.75" x14ac:dyDescent="0.25">
      <c r="A4" s="297" t="s">
        <v>15</v>
      </c>
      <c r="B4" s="297" t="s">
        <v>16</v>
      </c>
      <c r="C4" s="297" t="s">
        <v>13</v>
      </c>
      <c r="D4" s="299">
        <v>1.2E-2</v>
      </c>
      <c r="E4" s="300">
        <v>1</v>
      </c>
      <c r="F4" s="297">
        <v>0.93</v>
      </c>
      <c r="G4" s="297">
        <v>11</v>
      </c>
      <c r="H4" s="326">
        <v>1</v>
      </c>
    </row>
    <row r="5" spans="1:8" ht="15.75" x14ac:dyDescent="0.25">
      <c r="A5" s="297" t="s">
        <v>17</v>
      </c>
      <c r="B5" s="297" t="s">
        <v>16</v>
      </c>
      <c r="C5" s="297" t="s">
        <v>13</v>
      </c>
      <c r="D5" s="299">
        <v>3.6700000000000003E-2</v>
      </c>
      <c r="E5" s="300">
        <v>1</v>
      </c>
      <c r="F5" s="297">
        <v>0.85</v>
      </c>
      <c r="G5" s="297">
        <v>12</v>
      </c>
      <c r="H5" s="326">
        <v>1</v>
      </c>
    </row>
    <row r="6" spans="1:8" ht="15.75" x14ac:dyDescent="0.25">
      <c r="A6" s="297" t="s">
        <v>18</v>
      </c>
      <c r="B6" s="297" t="s">
        <v>16</v>
      </c>
      <c r="C6" s="297" t="s">
        <v>13</v>
      </c>
      <c r="D6" s="299">
        <v>5.13E-3</v>
      </c>
      <c r="E6" s="300">
        <v>1</v>
      </c>
      <c r="F6" s="297">
        <v>0.39</v>
      </c>
      <c r="G6" s="297">
        <v>13</v>
      </c>
      <c r="H6" s="326">
        <v>1</v>
      </c>
    </row>
    <row r="7" spans="1:8" ht="15.75" x14ac:dyDescent="0.25">
      <c r="A7" s="297" t="s">
        <v>19</v>
      </c>
      <c r="B7" s="297" t="s">
        <v>16</v>
      </c>
      <c r="C7" s="297" t="s">
        <v>13</v>
      </c>
      <c r="D7" s="299">
        <v>0.223</v>
      </c>
      <c r="E7" s="300">
        <v>3</v>
      </c>
      <c r="F7" s="297">
        <v>0.28999999999999998</v>
      </c>
      <c r="G7" s="297">
        <v>3</v>
      </c>
      <c r="H7" s="326">
        <v>1</v>
      </c>
    </row>
    <row r="8" spans="1:8" ht="15.75" x14ac:dyDescent="0.25">
      <c r="A8" s="297" t="s">
        <v>20</v>
      </c>
      <c r="B8" s="297" t="s">
        <v>16</v>
      </c>
      <c r="C8" s="297" t="s">
        <v>13</v>
      </c>
      <c r="D8" s="299">
        <v>0.21099999999999999</v>
      </c>
      <c r="E8" s="300">
        <v>4</v>
      </c>
      <c r="F8" s="297">
        <v>0.45</v>
      </c>
      <c r="G8" s="297">
        <v>4</v>
      </c>
      <c r="H8" s="326">
        <v>1</v>
      </c>
    </row>
    <row r="9" spans="1:8" ht="15.75" x14ac:dyDescent="0.25">
      <c r="A9" s="297" t="s">
        <v>21</v>
      </c>
      <c r="B9" s="297" t="s">
        <v>16</v>
      </c>
      <c r="C9" s="297" t="s">
        <v>13</v>
      </c>
      <c r="D9" s="299">
        <v>6.8000000000000005E-2</v>
      </c>
      <c r="E9" s="300">
        <v>4</v>
      </c>
      <c r="F9" s="297">
        <v>0.45</v>
      </c>
      <c r="G9" s="297">
        <v>4</v>
      </c>
      <c r="H9" s="326">
        <v>1</v>
      </c>
    </row>
    <row r="10" spans="1:8" ht="15.75" x14ac:dyDescent="0.25">
      <c r="A10" s="297" t="s">
        <v>22</v>
      </c>
      <c r="B10" s="297" t="s">
        <v>16</v>
      </c>
      <c r="C10" s="297" t="s">
        <v>23</v>
      </c>
      <c r="D10" s="299">
        <v>4.9000000000000002E-2</v>
      </c>
      <c r="E10" s="300">
        <v>5</v>
      </c>
      <c r="F10" s="297">
        <v>0.79</v>
      </c>
      <c r="G10" s="297">
        <v>14</v>
      </c>
      <c r="H10" s="326">
        <v>1</v>
      </c>
    </row>
    <row r="11" spans="1:8" ht="15.75" x14ac:dyDescent="0.25">
      <c r="A11" s="297" t="s">
        <v>24</v>
      </c>
      <c r="B11" s="297" t="s">
        <v>12</v>
      </c>
      <c r="C11" s="297" t="s">
        <v>23</v>
      </c>
      <c r="D11" s="299">
        <v>1.4742015000000001E-2</v>
      </c>
      <c r="E11" s="300">
        <v>6</v>
      </c>
      <c r="F11" s="297">
        <v>0.87</v>
      </c>
      <c r="G11" s="297">
        <v>15</v>
      </c>
      <c r="H11" s="326">
        <v>1</v>
      </c>
    </row>
  </sheetData>
  <phoneticPr fontId="10"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20CA-FC18-4E66-8CC0-B4B000E493D8}">
  <dimension ref="A2:W109"/>
  <sheetViews>
    <sheetView zoomScale="70" zoomScaleNormal="70" workbookViewId="0">
      <selection activeCell="D67" sqref="D67"/>
    </sheetView>
  </sheetViews>
  <sheetFormatPr defaultRowHeight="15" x14ac:dyDescent="0.25"/>
  <cols>
    <col min="2" max="2" width="35.7109375" customWidth="1"/>
    <col min="3" max="3" width="18.28515625" bestFit="1" customWidth="1"/>
    <col min="4" max="4" width="13.85546875" bestFit="1" customWidth="1"/>
    <col min="5" max="5" width="18" bestFit="1" customWidth="1"/>
    <col min="6" max="6" width="14.7109375" bestFit="1" customWidth="1"/>
    <col min="7" max="7" width="11" bestFit="1" customWidth="1"/>
    <col min="8" max="8" width="10.140625" customWidth="1"/>
    <col min="9" max="9" width="12.85546875" bestFit="1" customWidth="1"/>
    <col min="10" max="10" width="12" bestFit="1" customWidth="1"/>
    <col min="13" max="13" width="16.7109375" bestFit="1" customWidth="1"/>
    <col min="14" max="14" width="11.5703125" bestFit="1" customWidth="1"/>
    <col min="16" max="16" width="11" bestFit="1" customWidth="1"/>
    <col min="17" max="17" width="14.85546875" bestFit="1" customWidth="1"/>
    <col min="18" max="18" width="12" bestFit="1" customWidth="1"/>
    <col min="19" max="19" width="16.7109375" bestFit="1" customWidth="1"/>
    <col min="20" max="20" width="11.5703125" bestFit="1" customWidth="1"/>
    <col min="22" max="22" width="11" customWidth="1"/>
  </cols>
  <sheetData>
    <row r="2" spans="1:23" x14ac:dyDescent="0.25">
      <c r="A2" s="1"/>
      <c r="B2" s="1"/>
      <c r="C2" s="1"/>
      <c r="D2" s="1"/>
      <c r="E2" s="1"/>
      <c r="F2" s="1"/>
      <c r="G2" s="1"/>
      <c r="H2" s="1"/>
      <c r="I2" s="12" t="s">
        <v>138</v>
      </c>
      <c r="J2" s="1"/>
      <c r="K2" s="12"/>
      <c r="L2" s="12"/>
      <c r="M2" s="12"/>
      <c r="N2" s="12"/>
      <c r="O2" s="12" t="s">
        <v>139</v>
      </c>
      <c r="P2" s="1"/>
      <c r="Q2" s="12"/>
      <c r="R2" s="12"/>
      <c r="S2" s="12"/>
      <c r="T2" s="12"/>
      <c r="U2" s="12"/>
      <c r="V2" s="361" t="s">
        <v>46</v>
      </c>
    </row>
    <row r="3" spans="1:23" x14ac:dyDescent="0.25">
      <c r="A3" s="12" t="s">
        <v>560</v>
      </c>
      <c r="B3" s="12" t="s">
        <v>5</v>
      </c>
      <c r="C3" s="12" t="s">
        <v>7</v>
      </c>
      <c r="D3" s="12" t="s">
        <v>29</v>
      </c>
      <c r="E3" s="12" t="s">
        <v>30</v>
      </c>
      <c r="F3" s="12" t="s">
        <v>82</v>
      </c>
      <c r="G3" s="12" t="s">
        <v>32</v>
      </c>
      <c r="H3" s="12" t="s">
        <v>6</v>
      </c>
      <c r="I3" s="12" t="s">
        <v>84</v>
      </c>
      <c r="J3" s="12" t="s">
        <v>85</v>
      </c>
      <c r="K3" s="12" t="s">
        <v>86</v>
      </c>
      <c r="L3" s="12" t="s">
        <v>85</v>
      </c>
      <c r="M3" s="12" t="s">
        <v>87</v>
      </c>
      <c r="N3" s="12" t="s">
        <v>85</v>
      </c>
      <c r="O3" s="12" t="s">
        <v>84</v>
      </c>
      <c r="P3" s="12" t="s">
        <v>85</v>
      </c>
      <c r="Q3" s="12" t="s">
        <v>86</v>
      </c>
      <c r="R3" s="12" t="s">
        <v>85</v>
      </c>
      <c r="S3" s="12" t="s">
        <v>87</v>
      </c>
      <c r="T3" s="12" t="s">
        <v>85</v>
      </c>
      <c r="U3" s="12" t="s">
        <v>556</v>
      </c>
      <c r="V3" s="361"/>
    </row>
    <row r="4" spans="1:23" x14ac:dyDescent="0.25">
      <c r="A4" s="1" t="s">
        <v>561</v>
      </c>
      <c r="B4" s="1" t="s">
        <v>562</v>
      </c>
      <c r="C4" s="1" t="s">
        <v>563</v>
      </c>
      <c r="D4" s="1">
        <f>F9</f>
        <v>7300000000</v>
      </c>
      <c r="E4" s="1">
        <v>1</v>
      </c>
      <c r="F4" s="1">
        <f>D14</f>
        <v>25</v>
      </c>
      <c r="G4" s="1">
        <f>F11</f>
        <v>0.93320000000000003</v>
      </c>
      <c r="H4" s="1" t="s">
        <v>12</v>
      </c>
      <c r="I4" s="194">
        <f>G44+F59</f>
        <v>36635718896.194862</v>
      </c>
      <c r="J4" s="1">
        <f>H91+H92</f>
        <v>0</v>
      </c>
      <c r="K4" s="1">
        <v>0</v>
      </c>
      <c r="L4" s="1">
        <f>D31</f>
        <v>2.8229481641468682E-4</v>
      </c>
      <c r="M4" s="194">
        <f>I4*0.001</f>
        <v>36635718.89619486</v>
      </c>
      <c r="N4" s="1">
        <v>0</v>
      </c>
      <c r="O4" s="194">
        <f>H44+E59</f>
        <v>10142318324.414738</v>
      </c>
      <c r="P4" s="1">
        <f>G91+G92</f>
        <v>0</v>
      </c>
      <c r="Q4" s="1">
        <v>0</v>
      </c>
      <c r="R4" s="1">
        <f>D32</f>
        <v>0</v>
      </c>
      <c r="S4" s="194">
        <f>O4*0.001</f>
        <v>10142318.324414738</v>
      </c>
      <c r="T4" s="1">
        <v>0</v>
      </c>
      <c r="U4" s="1" t="s">
        <v>563</v>
      </c>
      <c r="V4" s="1">
        <f>F16/100</f>
        <v>5.9999999999999995E-4</v>
      </c>
      <c r="W4" t="s">
        <v>696</v>
      </c>
    </row>
    <row r="5" spans="1:23" x14ac:dyDescent="0.25">
      <c r="A5" s="1" t="s">
        <v>564</v>
      </c>
      <c r="B5" s="1" t="s">
        <v>562</v>
      </c>
      <c r="C5" s="1" t="s">
        <v>565</v>
      </c>
      <c r="D5" s="1">
        <f>F9</f>
        <v>7300000000</v>
      </c>
      <c r="E5" s="1">
        <v>1</v>
      </c>
      <c r="F5" s="1">
        <f>D14</f>
        <v>25</v>
      </c>
      <c r="G5" s="1">
        <f>F11</f>
        <v>0.93320000000000003</v>
      </c>
      <c r="H5" s="1" t="s">
        <v>12</v>
      </c>
      <c r="I5" s="194">
        <f>G44+F59</f>
        <v>36635718896.194862</v>
      </c>
      <c r="J5" s="1">
        <v>0</v>
      </c>
      <c r="K5" s="1">
        <v>0</v>
      </c>
      <c r="L5" s="1">
        <f>C31</f>
        <v>2.4059999999999999E-4</v>
      </c>
      <c r="M5" s="194">
        <f>I5*0.001</f>
        <v>36635718.89619486</v>
      </c>
      <c r="N5" s="1">
        <v>0</v>
      </c>
      <c r="O5" s="194">
        <f>H44+E59</f>
        <v>10142318324.414738</v>
      </c>
      <c r="P5" s="1">
        <v>0</v>
      </c>
      <c r="Q5" s="1">
        <v>0</v>
      </c>
      <c r="R5" s="1">
        <f>C32</f>
        <v>6.4420650000000001E-5</v>
      </c>
      <c r="S5" s="194">
        <f>O5*0.001</f>
        <v>10142318.324414738</v>
      </c>
      <c r="T5" s="1">
        <v>0</v>
      </c>
      <c r="U5" s="1" t="s">
        <v>563</v>
      </c>
      <c r="V5" s="1">
        <f>F17/100</f>
        <v>5.9999999999999995E-4</v>
      </c>
      <c r="W5" t="s">
        <v>696</v>
      </c>
    </row>
    <row r="6" spans="1:23" ht="15.75" thickBot="1" x14ac:dyDescent="0.3">
      <c r="H6" s="201"/>
      <c r="I6" s="201"/>
      <c r="J6" s="201"/>
    </row>
    <row r="7" spans="1:23" x14ac:dyDescent="0.25">
      <c r="A7" s="175"/>
      <c r="B7" s="202" t="s">
        <v>91</v>
      </c>
      <c r="C7" s="202" t="s">
        <v>92</v>
      </c>
      <c r="D7" s="202" t="s">
        <v>93</v>
      </c>
      <c r="E7" s="202" t="s">
        <v>94</v>
      </c>
      <c r="F7" s="202" t="s">
        <v>93</v>
      </c>
      <c r="G7" s="202" t="s">
        <v>97</v>
      </c>
      <c r="H7" s="83" t="s">
        <v>550</v>
      </c>
      <c r="K7" s="146"/>
      <c r="L7" s="146"/>
      <c r="M7" s="147"/>
    </row>
    <row r="8" spans="1:23" x14ac:dyDescent="0.25">
      <c r="A8" s="148"/>
      <c r="B8" s="1" t="s">
        <v>566</v>
      </c>
      <c r="C8" s="1" t="s">
        <v>567</v>
      </c>
      <c r="D8" s="1">
        <v>20000</v>
      </c>
      <c r="E8" s="1" t="s">
        <v>568</v>
      </c>
      <c r="F8" s="1">
        <f>D8*1000</f>
        <v>20000000</v>
      </c>
      <c r="G8" s="1"/>
      <c r="H8" s="1">
        <v>67</v>
      </c>
      <c r="M8" s="149"/>
    </row>
    <row r="9" spans="1:23" x14ac:dyDescent="0.25">
      <c r="A9" s="148"/>
      <c r="B9" s="32" t="s">
        <v>569</v>
      </c>
      <c r="C9" s="32" t="s">
        <v>570</v>
      </c>
      <c r="D9" s="32">
        <f>D8*365*1000</f>
        <v>7300000000</v>
      </c>
      <c r="E9" s="32" t="s">
        <v>571</v>
      </c>
      <c r="F9" s="32">
        <f>D9</f>
        <v>7300000000</v>
      </c>
      <c r="G9" s="32" t="s">
        <v>572</v>
      </c>
      <c r="H9" s="1"/>
      <c r="M9" s="149"/>
    </row>
    <row r="10" spans="1:23" x14ac:dyDescent="0.25">
      <c r="A10" s="148"/>
      <c r="B10" s="203" t="s">
        <v>261</v>
      </c>
      <c r="C10" s="203" t="s">
        <v>108</v>
      </c>
      <c r="D10" s="203"/>
      <c r="E10" s="203"/>
      <c r="F10" s="203"/>
      <c r="G10" s="203" t="s">
        <v>573</v>
      </c>
      <c r="H10" s="1"/>
      <c r="M10" s="149"/>
      <c r="Q10" s="204"/>
    </row>
    <row r="11" spans="1:23" x14ac:dyDescent="0.25">
      <c r="A11" s="148"/>
      <c r="B11" s="1" t="s">
        <v>32</v>
      </c>
      <c r="C11" s="1"/>
      <c r="D11" s="1">
        <f>0.9332</f>
        <v>0.93320000000000003</v>
      </c>
      <c r="E11" s="1" t="s">
        <v>574</v>
      </c>
      <c r="F11" s="13">
        <f>D11</f>
        <v>0.93320000000000003</v>
      </c>
      <c r="G11" s="1" t="s">
        <v>703</v>
      </c>
      <c r="H11" s="1">
        <v>20</v>
      </c>
      <c r="M11" s="149"/>
    </row>
    <row r="12" spans="1:23" x14ac:dyDescent="0.25">
      <c r="A12" s="148"/>
      <c r="B12" s="1" t="s">
        <v>575</v>
      </c>
      <c r="C12" s="1" t="s">
        <v>576</v>
      </c>
      <c r="D12" s="1">
        <v>22000</v>
      </c>
      <c r="E12" s="1"/>
      <c r="F12" s="1"/>
      <c r="G12" s="1" t="s">
        <v>577</v>
      </c>
      <c r="H12" s="1">
        <v>67</v>
      </c>
      <c r="M12" s="149"/>
      <c r="Q12" s="205"/>
    </row>
    <row r="13" spans="1:23" x14ac:dyDescent="0.25">
      <c r="A13" s="148"/>
      <c r="B13" s="1" t="s">
        <v>578</v>
      </c>
      <c r="C13" s="1" t="s">
        <v>576</v>
      </c>
      <c r="D13" s="1">
        <v>210000</v>
      </c>
      <c r="E13" s="1"/>
      <c r="F13" s="1"/>
      <c r="G13" s="1" t="s">
        <v>579</v>
      </c>
      <c r="H13" s="1">
        <v>67</v>
      </c>
      <c r="M13" s="149"/>
    </row>
    <row r="14" spans="1:23" x14ac:dyDescent="0.25">
      <c r="A14" s="148"/>
      <c r="B14" s="1" t="s">
        <v>287</v>
      </c>
      <c r="C14" s="1" t="s">
        <v>288</v>
      </c>
      <c r="D14" s="1">
        <v>25</v>
      </c>
      <c r="E14" s="1"/>
      <c r="F14" s="1"/>
      <c r="G14" s="1" t="s">
        <v>580</v>
      </c>
      <c r="H14" s="1">
        <v>68</v>
      </c>
      <c r="M14" s="149"/>
    </row>
    <row r="15" spans="1:23" x14ac:dyDescent="0.25">
      <c r="A15" s="148"/>
      <c r="B15" s="1" t="s">
        <v>581</v>
      </c>
      <c r="C15" s="1" t="s">
        <v>582</v>
      </c>
      <c r="D15" s="1">
        <v>18</v>
      </c>
      <c r="E15" s="1" t="s">
        <v>583</v>
      </c>
      <c r="F15" s="1">
        <f>D15*1.852</f>
        <v>33.335999999999999</v>
      </c>
      <c r="G15" s="1"/>
      <c r="H15" s="1">
        <v>67</v>
      </c>
      <c r="M15" s="149"/>
    </row>
    <row r="16" spans="1:23" x14ac:dyDescent="0.25">
      <c r="A16" s="148"/>
      <c r="B16" s="1" t="s">
        <v>584</v>
      </c>
      <c r="C16" s="1" t="s">
        <v>109</v>
      </c>
      <c r="D16" s="1">
        <f>0.06</f>
        <v>0.06</v>
      </c>
      <c r="E16" s="1" t="s">
        <v>109</v>
      </c>
      <c r="F16" s="1">
        <f>0.06</f>
        <v>0.06</v>
      </c>
      <c r="G16" s="1" t="s">
        <v>703</v>
      </c>
      <c r="H16" s="1">
        <v>20</v>
      </c>
      <c r="M16" s="149"/>
    </row>
    <row r="17" spans="1:13" x14ac:dyDescent="0.25">
      <c r="A17" s="148"/>
      <c r="B17" s="1" t="s">
        <v>585</v>
      </c>
      <c r="C17" s="1" t="s">
        <v>109</v>
      </c>
      <c r="D17" s="1">
        <f>0.06</f>
        <v>0.06</v>
      </c>
      <c r="E17" s="1" t="s">
        <v>109</v>
      </c>
      <c r="F17" s="1">
        <f>0.06</f>
        <v>0.06</v>
      </c>
      <c r="G17" s="1" t="s">
        <v>703</v>
      </c>
      <c r="H17" s="1">
        <v>20</v>
      </c>
      <c r="M17" s="149"/>
    </row>
    <row r="18" spans="1:13" x14ac:dyDescent="0.25">
      <c r="A18" s="148"/>
      <c r="C18" s="206"/>
      <c r="M18" s="149"/>
    </row>
    <row r="19" spans="1:13" x14ac:dyDescent="0.25">
      <c r="A19" s="148"/>
      <c r="B19" s="207" t="s">
        <v>586</v>
      </c>
      <c r="C19" t="s">
        <v>587</v>
      </c>
      <c r="M19" s="149"/>
    </row>
    <row r="20" spans="1:13" x14ac:dyDescent="0.25">
      <c r="A20" s="148"/>
      <c r="M20" s="149"/>
    </row>
    <row r="21" spans="1:13" x14ac:dyDescent="0.25">
      <c r="A21" s="148"/>
      <c r="B21" s="1" t="s">
        <v>91</v>
      </c>
      <c r="C21" s="1" t="s">
        <v>588</v>
      </c>
      <c r="D21" s="1" t="s">
        <v>563</v>
      </c>
      <c r="E21" s="1"/>
      <c r="M21" s="149"/>
    </row>
    <row r="22" spans="1:13" x14ac:dyDescent="0.25">
      <c r="A22" s="148"/>
      <c r="B22" s="208" t="s">
        <v>589</v>
      </c>
      <c r="C22" s="209">
        <v>1.8520000000000001</v>
      </c>
      <c r="D22" s="32">
        <v>0.78500000000000003</v>
      </c>
      <c r="E22" s="1" t="s">
        <v>590</v>
      </c>
      <c r="M22" s="149"/>
    </row>
    <row r="23" spans="1:13" x14ac:dyDescent="0.25">
      <c r="A23" s="148"/>
      <c r="B23" s="208"/>
      <c r="C23" s="209">
        <f>C22*3600</f>
        <v>6667.2000000000007</v>
      </c>
      <c r="D23" s="209">
        <f>D22*3600</f>
        <v>2826</v>
      </c>
      <c r="E23" s="208" t="s">
        <v>189</v>
      </c>
      <c r="M23" s="149"/>
    </row>
    <row r="24" spans="1:13" x14ac:dyDescent="0.25">
      <c r="A24" s="148"/>
      <c r="B24" s="208" t="s">
        <v>581</v>
      </c>
      <c r="C24" s="209">
        <f>F15</f>
        <v>33.335999999999999</v>
      </c>
      <c r="D24" s="209">
        <f>F15</f>
        <v>33.335999999999999</v>
      </c>
      <c r="E24" s="1" t="s">
        <v>583</v>
      </c>
      <c r="M24" s="149"/>
    </row>
    <row r="25" spans="1:13" x14ac:dyDescent="0.25">
      <c r="A25" s="148"/>
      <c r="B25" s="208" t="s">
        <v>591</v>
      </c>
      <c r="C25" s="209">
        <v>1</v>
      </c>
      <c r="D25" s="209">
        <v>1</v>
      </c>
      <c r="E25" s="1" t="s">
        <v>147</v>
      </c>
      <c r="M25" s="149"/>
    </row>
    <row r="26" spans="1:13" x14ac:dyDescent="0.25">
      <c r="A26" s="148"/>
      <c r="B26" s="208" t="s">
        <v>592</v>
      </c>
      <c r="C26" s="6">
        <f>C25/C24</f>
        <v>2.9997600191984643E-2</v>
      </c>
      <c r="D26" s="6">
        <f>D25/D24</f>
        <v>2.9997600191984643E-2</v>
      </c>
      <c r="E26" s="1" t="s">
        <v>593</v>
      </c>
      <c r="M26" s="149"/>
    </row>
    <row r="27" spans="1:13" x14ac:dyDescent="0.25">
      <c r="A27" s="148"/>
      <c r="B27" s="384" t="s">
        <v>594</v>
      </c>
      <c r="C27" s="4">
        <f>C26*C23</f>
        <v>200.00000000000003</v>
      </c>
      <c r="D27" s="4">
        <f>D26*D23</f>
        <v>84.7732181425486</v>
      </c>
      <c r="E27" s="1" t="s">
        <v>540</v>
      </c>
      <c r="M27" s="149"/>
    </row>
    <row r="28" spans="1:13" x14ac:dyDescent="0.25">
      <c r="A28" s="148"/>
      <c r="B28" s="384"/>
      <c r="C28" s="4">
        <f>C27*2</f>
        <v>400.00000000000006</v>
      </c>
      <c r="D28" s="4">
        <f>D27*2</f>
        <v>169.5464362850972</v>
      </c>
      <c r="E28" s="1" t="s">
        <v>595</v>
      </c>
      <c r="F28" t="s">
        <v>596</v>
      </c>
      <c r="M28" s="149"/>
    </row>
    <row r="29" spans="1:13" x14ac:dyDescent="0.25">
      <c r="A29" s="148"/>
      <c r="B29" s="384"/>
      <c r="C29" s="4">
        <f>C28*12.03</f>
        <v>4812</v>
      </c>
      <c r="D29" s="4">
        <f>D28*33.3</f>
        <v>5645.8963282937366</v>
      </c>
      <c r="E29" s="1" t="s">
        <v>597</v>
      </c>
      <c r="M29" s="149"/>
    </row>
    <row r="30" spans="1:13" x14ac:dyDescent="0.25">
      <c r="A30" s="148"/>
      <c r="B30" s="384"/>
      <c r="C30" s="4">
        <f>C29*0.26775</f>
        <v>1288.413</v>
      </c>
      <c r="D30" s="4">
        <f>D29*0</f>
        <v>0</v>
      </c>
      <c r="E30" s="1" t="s">
        <v>598</v>
      </c>
      <c r="M30" s="149"/>
    </row>
    <row r="31" spans="1:13" x14ac:dyDescent="0.25">
      <c r="A31" s="148"/>
      <c r="B31" s="1" t="s">
        <v>90</v>
      </c>
      <c r="C31" s="200">
        <f>C29/F8</f>
        <v>2.4059999999999999E-4</v>
      </c>
      <c r="D31" s="39">
        <f>D29/F8</f>
        <v>2.8229481641468682E-4</v>
      </c>
      <c r="E31" s="1" t="s">
        <v>599</v>
      </c>
      <c r="M31" s="149"/>
    </row>
    <row r="32" spans="1:13" x14ac:dyDescent="0.25">
      <c r="A32" s="148"/>
      <c r="B32" s="1" t="s">
        <v>89</v>
      </c>
      <c r="C32" s="39">
        <f>C30/F8</f>
        <v>6.4420650000000001E-5</v>
      </c>
      <c r="D32" s="39">
        <f>D30/F8</f>
        <v>0</v>
      </c>
      <c r="E32" s="1" t="s">
        <v>600</v>
      </c>
      <c r="M32" s="149"/>
    </row>
    <row r="33" spans="1:13" ht="15.75" thickBot="1" x14ac:dyDescent="0.3">
      <c r="A33" s="156"/>
      <c r="B33" s="201"/>
      <c r="C33" s="157"/>
      <c r="D33" s="157"/>
      <c r="E33" s="157"/>
      <c r="F33" s="157"/>
      <c r="G33" s="157"/>
      <c r="H33" s="157"/>
      <c r="I33" s="157"/>
      <c r="J33" s="157"/>
      <c r="K33" s="157"/>
      <c r="L33" s="157"/>
      <c r="M33" s="158"/>
    </row>
    <row r="34" spans="1:13" ht="15.75" thickBot="1" x14ac:dyDescent="0.3">
      <c r="A34" s="148"/>
    </row>
    <row r="35" spans="1:13" x14ac:dyDescent="0.25">
      <c r="A35" s="175"/>
      <c r="B35" s="210" t="s">
        <v>268</v>
      </c>
      <c r="C35" s="146"/>
      <c r="D35" s="146"/>
      <c r="E35" s="146"/>
      <c r="F35" s="146"/>
      <c r="G35" s="146"/>
      <c r="H35" s="146"/>
      <c r="I35" s="146"/>
      <c r="J35" s="146"/>
      <c r="K35" s="146"/>
      <c r="L35" s="146"/>
      <c r="M35" s="147"/>
    </row>
    <row r="36" spans="1:13" x14ac:dyDescent="0.25">
      <c r="A36" s="148"/>
      <c r="M36" s="149"/>
    </row>
    <row r="37" spans="1:13" x14ac:dyDescent="0.25">
      <c r="A37" s="148"/>
      <c r="B37" s="1"/>
      <c r="C37" s="1"/>
      <c r="D37" s="1" t="s">
        <v>601</v>
      </c>
      <c r="E37" s="1" t="s">
        <v>135</v>
      </c>
      <c r="F37" s="1" t="s">
        <v>26</v>
      </c>
      <c r="G37" s="1" t="s">
        <v>368</v>
      </c>
      <c r="H37" s="1" t="s">
        <v>228</v>
      </c>
      <c r="I37" s="1" t="s">
        <v>26</v>
      </c>
      <c r="M37" s="149"/>
    </row>
    <row r="38" spans="1:13" x14ac:dyDescent="0.25">
      <c r="A38" s="148"/>
      <c r="B38" s="12" t="s">
        <v>602</v>
      </c>
      <c r="C38" s="12" t="s">
        <v>576</v>
      </c>
      <c r="D38" s="12">
        <v>2100000</v>
      </c>
      <c r="E38" s="12"/>
      <c r="F38" s="12">
        <v>67</v>
      </c>
      <c r="G38" s="12"/>
      <c r="H38" s="12"/>
      <c r="I38" s="12"/>
      <c r="M38" s="149"/>
    </row>
    <row r="39" spans="1:13" x14ac:dyDescent="0.25">
      <c r="A39" s="148"/>
      <c r="B39" s="1" t="s">
        <v>603</v>
      </c>
      <c r="C39" s="1" t="s">
        <v>576</v>
      </c>
      <c r="D39" s="1">
        <f>21955*4</f>
        <v>87820</v>
      </c>
      <c r="E39" s="1" t="s">
        <v>125</v>
      </c>
      <c r="F39" s="1">
        <v>67</v>
      </c>
      <c r="G39" s="1">
        <f>D39*[1]Sheet1!$M$12*1000</f>
        <v>4915751812.0200005</v>
      </c>
      <c r="H39" s="1">
        <f>D39*[1]Sheet1!$L$12*1000</f>
        <v>1148246500</v>
      </c>
      <c r="I39" s="1">
        <v>24</v>
      </c>
      <c r="M39" s="149"/>
    </row>
    <row r="40" spans="1:13" x14ac:dyDescent="0.25">
      <c r="A40" s="148"/>
      <c r="B40" s="27" t="s">
        <v>594</v>
      </c>
      <c r="C40" s="27" t="s">
        <v>576</v>
      </c>
      <c r="D40" s="27">
        <v>1277.5999999999999</v>
      </c>
      <c r="E40" s="27" t="s">
        <v>604</v>
      </c>
      <c r="F40" s="1"/>
      <c r="G40" s="1">
        <f>D40*0</f>
        <v>0</v>
      </c>
      <c r="H40" s="1">
        <f>D40*0</f>
        <v>0</v>
      </c>
      <c r="I40" s="1"/>
      <c r="M40" s="149"/>
    </row>
    <row r="41" spans="1:13" x14ac:dyDescent="0.25">
      <c r="A41" s="148"/>
      <c r="B41" s="12" t="s">
        <v>605</v>
      </c>
      <c r="C41" s="211"/>
      <c r="D41" s="12">
        <v>20000</v>
      </c>
      <c r="E41" s="211"/>
      <c r="F41" s="12"/>
      <c r="G41" s="12"/>
      <c r="H41" s="12"/>
      <c r="I41" s="12"/>
      <c r="M41" s="149"/>
    </row>
    <row r="42" spans="1:13" x14ac:dyDescent="0.25">
      <c r="A42" s="148"/>
      <c r="B42" s="1" t="s">
        <v>606</v>
      </c>
      <c r="C42" s="32" t="s">
        <v>576</v>
      </c>
      <c r="D42" s="1">
        <v>4370</v>
      </c>
      <c r="E42" s="1" t="s">
        <v>607</v>
      </c>
      <c r="F42" s="1">
        <v>67</v>
      </c>
      <c r="G42" s="1">
        <f>D42*[1]Sheet1!$M$12*1000</f>
        <v>244612109.06999996</v>
      </c>
      <c r="H42" s="1">
        <f>D42*[1]Sheet1!$L$3*1000</f>
        <v>13737095.000000002</v>
      </c>
      <c r="I42" s="1">
        <v>24</v>
      </c>
      <c r="M42" s="149"/>
    </row>
    <row r="43" spans="1:13" x14ac:dyDescent="0.25">
      <c r="A43" s="148"/>
      <c r="B43" s="1" t="s">
        <v>608</v>
      </c>
      <c r="C43" s="32" t="s">
        <v>576</v>
      </c>
      <c r="D43" s="1">
        <f>D38-SUM(D39:D42)</f>
        <v>1986532.4</v>
      </c>
      <c r="E43" s="1" t="s">
        <v>539</v>
      </c>
      <c r="F43" s="1" t="s">
        <v>609</v>
      </c>
      <c r="G43" s="1">
        <f>D43*[1]Sheet1!$M$3*1000</f>
        <v>21939142647.123596</v>
      </c>
      <c r="H43" s="1">
        <f>D43*[1]Sheet1!$L$3*1000</f>
        <v>6244664599.4000006</v>
      </c>
      <c r="I43" s="1">
        <v>24</v>
      </c>
      <c r="M43" s="149"/>
    </row>
    <row r="44" spans="1:13" x14ac:dyDescent="0.25">
      <c r="A44" s="148"/>
      <c r="B44" s="12" t="s">
        <v>476</v>
      </c>
      <c r="C44" s="1"/>
      <c r="D44" s="1">
        <f>SUM(D39:D43)</f>
        <v>2100000</v>
      </c>
      <c r="E44" s="1"/>
      <c r="F44" s="1"/>
      <c r="G44" s="212">
        <f t="shared" ref="G44" si="0">SUM(G39:G43)</f>
        <v>27099506568.213596</v>
      </c>
      <c r="H44" s="212">
        <f>SUM(H39:H43)</f>
        <v>7406648194.4000006</v>
      </c>
      <c r="I44" s="1"/>
      <c r="M44" s="149"/>
    </row>
    <row r="45" spans="1:13" x14ac:dyDescent="0.25">
      <c r="A45" s="148"/>
      <c r="M45" s="149"/>
    </row>
    <row r="47" spans="1:13" x14ac:dyDescent="0.25">
      <c r="A47" s="148"/>
      <c r="B47" s="21" t="s">
        <v>426</v>
      </c>
      <c r="M47" s="149"/>
    </row>
    <row r="48" spans="1:13" x14ac:dyDescent="0.25">
      <c r="A48" s="148"/>
      <c r="M48" s="149"/>
    </row>
    <row r="49" spans="1:13" ht="15" customHeight="1" x14ac:dyDescent="0.25">
      <c r="A49" s="148"/>
      <c r="B49" t="s">
        <v>1148</v>
      </c>
      <c r="C49" t="s">
        <v>1149</v>
      </c>
      <c r="M49" s="149"/>
    </row>
    <row r="50" spans="1:13" x14ac:dyDescent="0.25">
      <c r="A50" s="148"/>
      <c r="C50" s="213"/>
      <c r="M50" s="149"/>
    </row>
    <row r="51" spans="1:13" x14ac:dyDescent="0.25">
      <c r="A51" s="148"/>
      <c r="M51" s="149"/>
    </row>
    <row r="52" spans="1:13" x14ac:dyDescent="0.25">
      <c r="A52" s="148"/>
      <c r="B52" s="1"/>
      <c r="C52" s="1" t="s">
        <v>610</v>
      </c>
      <c r="D52" s="1" t="s">
        <v>611</v>
      </c>
      <c r="E52" s="1" t="s">
        <v>612</v>
      </c>
      <c r="M52" s="149"/>
    </row>
    <row r="53" spans="1:13" x14ac:dyDescent="0.25">
      <c r="A53" s="148"/>
      <c r="B53" s="1" t="s">
        <v>613</v>
      </c>
      <c r="C53" s="214">
        <f>18321000/1000</f>
        <v>18321</v>
      </c>
      <c r="D53" s="1">
        <f>D43</f>
        <v>1986532.4</v>
      </c>
      <c r="E53" s="215">
        <f>D53/C53</f>
        <v>108.4292560449757</v>
      </c>
      <c r="M53" s="149"/>
    </row>
    <row r="54" spans="1:13" x14ac:dyDescent="0.25">
      <c r="A54" s="148"/>
      <c r="M54" s="149"/>
    </row>
    <row r="55" spans="1:13" x14ac:dyDescent="0.25">
      <c r="A55" s="148"/>
      <c r="B55" s="1"/>
      <c r="C55" s="1" t="s">
        <v>614</v>
      </c>
      <c r="D55" s="1" t="s">
        <v>615</v>
      </c>
      <c r="E55" s="71" t="s">
        <v>616</v>
      </c>
      <c r="F55" s="1" t="s">
        <v>617</v>
      </c>
      <c r="M55" s="149"/>
    </row>
    <row r="56" spans="1:13" x14ac:dyDescent="0.25">
      <c r="A56" s="148"/>
      <c r="B56" s="1" t="s">
        <v>618</v>
      </c>
      <c r="C56" s="1">
        <f>4130000</f>
        <v>4130000</v>
      </c>
      <c r="D56" s="194">
        <f>64190000</f>
        <v>64190000</v>
      </c>
      <c r="E56" s="71">
        <f>C56*E53</f>
        <v>447812827.46574962</v>
      </c>
      <c r="F56" s="194">
        <f>D56*E53*0.2778</f>
        <v>1933508542.0673978</v>
      </c>
      <c r="M56" s="149"/>
    </row>
    <row r="57" spans="1:13" x14ac:dyDescent="0.25">
      <c r="A57" s="148"/>
      <c r="B57" s="1" t="s">
        <v>619</v>
      </c>
      <c r="C57" s="214">
        <f>18900000</f>
        <v>18900000</v>
      </c>
      <c r="D57" s="1">
        <f>220300000</f>
        <v>220300000</v>
      </c>
      <c r="E57" s="216">
        <f>C57*E53</f>
        <v>2049312939.2500408</v>
      </c>
      <c r="F57" s="194">
        <f>D57*E53*0.2778</f>
        <v>6635798906.6435232</v>
      </c>
      <c r="G57" s="217"/>
      <c r="M57" s="149"/>
    </row>
    <row r="58" spans="1:13" x14ac:dyDescent="0.25">
      <c r="A58" s="148"/>
      <c r="B58" s="1" t="s">
        <v>620</v>
      </c>
      <c r="C58" s="214">
        <f>2200000</f>
        <v>2200000</v>
      </c>
      <c r="D58" s="1">
        <f>32100000</f>
        <v>32100000</v>
      </c>
      <c r="E58" s="216">
        <f>C58*E53</f>
        <v>238544363.29894653</v>
      </c>
      <c r="F58" s="194">
        <f>D58*E53*0.2778</f>
        <v>966904879.27034545</v>
      </c>
      <c r="G58" s="218"/>
      <c r="M58" s="149"/>
    </row>
    <row r="59" spans="1:13" x14ac:dyDescent="0.25">
      <c r="A59" s="148"/>
      <c r="B59" s="1" t="s">
        <v>476</v>
      </c>
      <c r="C59" s="214"/>
      <c r="D59" s="1"/>
      <c r="E59" s="219">
        <f>SUM(E56:E58)</f>
        <v>2735670130.0147367</v>
      </c>
      <c r="F59" s="212">
        <f>SUM(F56:F58)</f>
        <v>9536212327.981266</v>
      </c>
      <c r="G59" s="195"/>
      <c r="M59" s="149"/>
    </row>
    <row r="60" spans="1:13" x14ac:dyDescent="0.25">
      <c r="A60" s="148"/>
      <c r="M60" s="149"/>
    </row>
    <row r="61" spans="1:13" ht="15.75" thickBot="1" x14ac:dyDescent="0.3">
      <c r="A61" s="156"/>
      <c r="B61" s="220"/>
      <c r="C61" s="220"/>
      <c r="D61" s="157"/>
      <c r="E61" s="157"/>
      <c r="F61" s="157"/>
      <c r="G61" s="157"/>
      <c r="H61" s="157"/>
      <c r="I61" s="157"/>
      <c r="J61" s="157"/>
      <c r="K61" s="157"/>
      <c r="L61" s="157"/>
      <c r="M61" s="158"/>
    </row>
    <row r="62" spans="1:13" ht="15.75" thickBot="1" x14ac:dyDescent="0.3">
      <c r="A62" s="148"/>
      <c r="B62" s="221"/>
      <c r="C62" s="221"/>
      <c r="D62" s="221"/>
      <c r="E62" s="221"/>
    </row>
    <row r="63" spans="1:13" x14ac:dyDescent="0.25">
      <c r="A63" s="175"/>
      <c r="F63" s="146"/>
      <c r="G63" s="146"/>
      <c r="H63" s="146"/>
      <c r="I63" s="146"/>
      <c r="J63" s="146"/>
      <c r="K63" s="146"/>
      <c r="L63" s="146"/>
      <c r="M63" s="147"/>
    </row>
    <row r="64" spans="1:13" x14ac:dyDescent="0.25">
      <c r="A64" s="148"/>
      <c r="B64" s="21" t="s">
        <v>87</v>
      </c>
      <c r="M64" s="149"/>
    </row>
    <row r="65" spans="1:13" x14ac:dyDescent="0.25">
      <c r="A65" s="148"/>
      <c r="M65" s="149"/>
    </row>
    <row r="66" spans="1:13" x14ac:dyDescent="0.25">
      <c r="A66" s="148"/>
      <c r="B66" s="12" t="s">
        <v>268</v>
      </c>
      <c r="C66" s="1" t="s">
        <v>269</v>
      </c>
      <c r="D66" s="1" t="s">
        <v>8</v>
      </c>
      <c r="M66" s="149"/>
    </row>
    <row r="67" spans="1:13" x14ac:dyDescent="0.25">
      <c r="A67" s="148"/>
      <c r="B67" s="1" t="s">
        <v>270</v>
      </c>
      <c r="C67" s="1" t="s">
        <v>271</v>
      </c>
      <c r="D67" s="1">
        <v>33</v>
      </c>
      <c r="E67" s="222"/>
      <c r="M67" s="149"/>
    </row>
    <row r="68" spans="1:13" x14ac:dyDescent="0.25">
      <c r="A68" s="148"/>
      <c r="B68" s="222"/>
      <c r="C68" s="195"/>
      <c r="D68" s="222"/>
      <c r="E68" s="222"/>
      <c r="M68" s="149"/>
    </row>
    <row r="69" spans="1:13" ht="15.75" thickBot="1" x14ac:dyDescent="0.3">
      <c r="A69" s="156"/>
      <c r="B69" s="223"/>
      <c r="C69" s="224"/>
      <c r="D69" s="223"/>
      <c r="E69" s="223"/>
      <c r="F69" s="157"/>
      <c r="G69" s="157"/>
      <c r="H69" s="157"/>
      <c r="I69" s="157"/>
      <c r="J69" s="157"/>
      <c r="K69" s="157"/>
      <c r="L69" s="157"/>
      <c r="M69" s="158"/>
    </row>
    <row r="70" spans="1:13" x14ac:dyDescent="0.25">
      <c r="E70" s="222"/>
    </row>
    <row r="71" spans="1:13" x14ac:dyDescent="0.25">
      <c r="E71" s="222"/>
    </row>
    <row r="72" spans="1:13" x14ac:dyDescent="0.25">
      <c r="B72" s="222"/>
      <c r="C72" s="222"/>
      <c r="D72" s="222"/>
      <c r="E72" s="222"/>
    </row>
    <row r="73" spans="1:13" x14ac:dyDescent="0.25">
      <c r="B73" s="222"/>
      <c r="C73" s="225"/>
      <c r="D73" s="222"/>
      <c r="E73" s="222"/>
    </row>
    <row r="74" spans="1:13" x14ac:dyDescent="0.25">
      <c r="B74" s="222"/>
      <c r="C74" s="225"/>
      <c r="D74" s="222"/>
      <c r="E74" s="222"/>
    </row>
    <row r="75" spans="1:13" x14ac:dyDescent="0.25">
      <c r="B75" s="222"/>
      <c r="C75" s="222"/>
      <c r="D75" s="222"/>
      <c r="E75" s="222"/>
    </row>
    <row r="78" spans="1:13" x14ac:dyDescent="0.25">
      <c r="B78" s="67"/>
      <c r="C78" s="226"/>
      <c r="E78" s="227"/>
    </row>
    <row r="79" spans="1:13" x14ac:dyDescent="0.25">
      <c r="B79" s="67"/>
    </row>
    <row r="80" spans="1:13" x14ac:dyDescent="0.25">
      <c r="B80" s="67"/>
    </row>
    <row r="82" spans="2:8" x14ac:dyDescent="0.25">
      <c r="B82" s="67"/>
      <c r="C82" s="67"/>
      <c r="D82" s="67"/>
      <c r="E82" s="67"/>
      <c r="F82" s="67"/>
      <c r="G82" s="67"/>
    </row>
    <row r="83" spans="2:8" x14ac:dyDescent="0.25">
      <c r="B83" s="67"/>
      <c r="C83" s="67"/>
      <c r="D83" s="67"/>
      <c r="E83" s="228"/>
      <c r="F83" s="67"/>
      <c r="G83" s="67"/>
    </row>
    <row r="84" spans="2:8" x14ac:dyDescent="0.25">
      <c r="B84" s="67"/>
      <c r="C84" s="67"/>
      <c r="D84" s="67"/>
      <c r="E84" s="67"/>
      <c r="F84" s="67"/>
      <c r="G84" s="67"/>
    </row>
    <row r="85" spans="2:8" x14ac:dyDescent="0.25">
      <c r="B85" s="67"/>
      <c r="C85" s="228"/>
      <c r="D85" s="67"/>
      <c r="E85" s="67"/>
      <c r="F85" s="67"/>
      <c r="G85" s="229"/>
    </row>
    <row r="86" spans="2:8" x14ac:dyDescent="0.25">
      <c r="B86" s="67"/>
      <c r="C86" s="230"/>
      <c r="D86" s="67"/>
      <c r="E86" s="231"/>
      <c r="F86" s="67"/>
      <c r="G86" s="67"/>
    </row>
    <row r="87" spans="2:8" x14ac:dyDescent="0.25">
      <c r="B87" s="67"/>
      <c r="C87" s="67"/>
      <c r="D87" s="67"/>
      <c r="E87" s="67"/>
      <c r="F87" s="67"/>
      <c r="G87" s="67"/>
    </row>
    <row r="88" spans="2:8" x14ac:dyDescent="0.25">
      <c r="B88" s="67"/>
      <c r="C88" s="67"/>
      <c r="D88" s="67"/>
      <c r="E88" s="67"/>
      <c r="F88" s="67"/>
      <c r="G88" s="67"/>
    </row>
    <row r="89" spans="2:8" x14ac:dyDescent="0.25">
      <c r="B89" s="67"/>
      <c r="C89" s="67"/>
      <c r="D89" s="67"/>
      <c r="E89" s="67"/>
      <c r="F89" s="67"/>
      <c r="G89" s="67"/>
    </row>
    <row r="91" spans="2:8" x14ac:dyDescent="0.25">
      <c r="B91" s="67"/>
      <c r="C91" s="67"/>
      <c r="D91" s="67"/>
      <c r="E91" s="67"/>
      <c r="F91" s="67"/>
      <c r="G91" s="67"/>
      <c r="H91" s="67"/>
    </row>
    <row r="92" spans="2:8" x14ac:dyDescent="0.25">
      <c r="B92" s="67"/>
      <c r="C92" s="67"/>
      <c r="D92" s="67"/>
      <c r="E92" s="67"/>
      <c r="F92" s="67"/>
      <c r="G92" s="67"/>
      <c r="H92" s="67"/>
    </row>
    <row r="93" spans="2:8" x14ac:dyDescent="0.25">
      <c r="B93" s="21"/>
      <c r="C93" s="21"/>
      <c r="D93" s="21"/>
      <c r="E93" s="21"/>
      <c r="F93" s="21"/>
      <c r="G93" s="21"/>
      <c r="H93" s="21"/>
    </row>
    <row r="94" spans="2:8" x14ac:dyDescent="0.25">
      <c r="B94" s="67"/>
      <c r="C94" s="67"/>
      <c r="D94" s="67"/>
      <c r="E94" s="67"/>
      <c r="F94" s="67"/>
      <c r="G94" s="67"/>
      <c r="H94" s="67"/>
    </row>
    <row r="95" spans="2:8" x14ac:dyDescent="0.25">
      <c r="B95" s="67"/>
      <c r="C95" s="67"/>
      <c r="D95" s="67"/>
      <c r="E95" s="67"/>
      <c r="F95" s="67"/>
      <c r="G95" s="67"/>
      <c r="H95" s="67"/>
    </row>
    <row r="103" spans="1:3" x14ac:dyDescent="0.25">
      <c r="B103" s="232" t="s">
        <v>621</v>
      </c>
      <c r="C103" s="232"/>
    </row>
    <row r="104" spans="1:3" x14ac:dyDescent="0.25">
      <c r="A104">
        <f>0.0017/1000</f>
        <v>1.6999999999999998E-6</v>
      </c>
      <c r="B104" s="232" t="s">
        <v>622</v>
      </c>
      <c r="C104" s="232" t="s">
        <v>623</v>
      </c>
    </row>
    <row r="105" spans="1:3" x14ac:dyDescent="0.25">
      <c r="A105">
        <f>D31/33.3</f>
        <v>8.4773218142548611E-6</v>
      </c>
      <c r="B105" s="232" t="s">
        <v>624</v>
      </c>
      <c r="C105" s="232"/>
    </row>
    <row r="106" spans="1:3" x14ac:dyDescent="0.25">
      <c r="A106">
        <f>A105*2</f>
        <v>1.6954643628509722E-5</v>
      </c>
      <c r="B106" s="232" t="s">
        <v>625</v>
      </c>
      <c r="C106" s="232"/>
    </row>
    <row r="107" spans="1:3" x14ac:dyDescent="0.25">
      <c r="A107">
        <f>A106/A104</f>
        <v>9.9733197814763077</v>
      </c>
      <c r="B107" s="232" t="s">
        <v>626</v>
      </c>
      <c r="C107" s="232" t="s">
        <v>627</v>
      </c>
    </row>
    <row r="108" spans="1:3" x14ac:dyDescent="0.25">
      <c r="A108">
        <f>0.01/1000</f>
        <v>1.0000000000000001E-5</v>
      </c>
      <c r="B108" s="232"/>
      <c r="C108" s="232"/>
    </row>
    <row r="109" spans="1:3" x14ac:dyDescent="0.25">
      <c r="A109">
        <f>C32/A108</f>
        <v>6.4420649999999995</v>
      </c>
      <c r="B109" s="232" t="s">
        <v>628</v>
      </c>
      <c r="C109" s="232"/>
    </row>
  </sheetData>
  <mergeCells count="2">
    <mergeCell ref="V2:V3"/>
    <mergeCell ref="B27:B30"/>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B4BC-CC6A-44CD-8574-9E609230CBB2}">
  <dimension ref="A2:V57"/>
  <sheetViews>
    <sheetView topLeftCell="A13" zoomScale="70" zoomScaleNormal="70" workbookViewId="0">
      <selection activeCell="F31" sqref="F31:F38"/>
    </sheetView>
  </sheetViews>
  <sheetFormatPr defaultRowHeight="15" x14ac:dyDescent="0.25"/>
  <cols>
    <col min="1" max="1" width="32.140625" customWidth="1"/>
    <col min="2" max="2" width="17.5703125" customWidth="1"/>
    <col min="3" max="3" width="12" bestFit="1" customWidth="1"/>
    <col min="4" max="4" width="18" bestFit="1" customWidth="1"/>
    <col min="5" max="5" width="11.140625" customWidth="1"/>
    <col min="6" max="6" width="11" bestFit="1" customWidth="1"/>
    <col min="7" max="7" width="16.28515625" customWidth="1"/>
    <col min="12" max="12" width="11.5703125" bestFit="1" customWidth="1"/>
    <col min="21" max="21" width="10.85546875" customWidth="1"/>
  </cols>
  <sheetData>
    <row r="2" spans="1:22" x14ac:dyDescent="0.25">
      <c r="H2" s="381" t="s">
        <v>90</v>
      </c>
      <c r="I2" s="381"/>
      <c r="J2" s="381"/>
      <c r="K2" s="381"/>
      <c r="L2" s="381"/>
      <c r="M2" s="381"/>
      <c r="N2" s="381" t="s">
        <v>89</v>
      </c>
      <c r="O2" s="381"/>
      <c r="P2" s="381"/>
      <c r="Q2" s="381"/>
      <c r="R2" s="381"/>
      <c r="S2" s="381"/>
      <c r="T2" s="388" t="s">
        <v>519</v>
      </c>
      <c r="U2" s="361" t="s">
        <v>46</v>
      </c>
    </row>
    <row r="3" spans="1:22" x14ac:dyDescent="0.25">
      <c r="A3" s="12" t="s">
        <v>5</v>
      </c>
      <c r="B3" s="12" t="s">
        <v>7</v>
      </c>
      <c r="C3" s="12" t="s">
        <v>29</v>
      </c>
      <c r="D3" s="12" t="s">
        <v>30</v>
      </c>
      <c r="E3" s="12" t="s">
        <v>82</v>
      </c>
      <c r="F3" s="12" t="s">
        <v>32</v>
      </c>
      <c r="G3" s="12" t="s">
        <v>6</v>
      </c>
      <c r="H3" s="12" t="s">
        <v>84</v>
      </c>
      <c r="I3" s="12" t="s">
        <v>85</v>
      </c>
      <c r="J3" s="12" t="s">
        <v>86</v>
      </c>
      <c r="K3" s="12" t="s">
        <v>85</v>
      </c>
      <c r="L3" s="12" t="s">
        <v>87</v>
      </c>
      <c r="M3" s="12" t="s">
        <v>85</v>
      </c>
      <c r="N3" s="12" t="s">
        <v>84</v>
      </c>
      <c r="O3" s="12" t="s">
        <v>85</v>
      </c>
      <c r="P3" s="12" t="s">
        <v>86</v>
      </c>
      <c r="Q3" s="12" t="s">
        <v>85</v>
      </c>
      <c r="R3" s="12" t="s">
        <v>87</v>
      </c>
      <c r="S3" s="12" t="s">
        <v>85</v>
      </c>
      <c r="T3" s="389"/>
      <c r="U3" s="361"/>
    </row>
    <row r="4" spans="1:22" s="67" customFormat="1" x14ac:dyDescent="0.25">
      <c r="A4" s="32" t="s">
        <v>629</v>
      </c>
      <c r="B4" s="32" t="s">
        <v>630</v>
      </c>
      <c r="C4" s="32">
        <f>E12*365</f>
        <v>2318823529.4117651</v>
      </c>
      <c r="D4" s="32">
        <v>1</v>
      </c>
      <c r="E4" s="32">
        <f>C14</f>
        <v>25</v>
      </c>
      <c r="F4" s="32">
        <f>E13</f>
        <v>0.99912000000000001</v>
      </c>
      <c r="G4" s="32" t="s">
        <v>12</v>
      </c>
      <c r="H4" s="233">
        <f>C44</f>
        <v>113825772</v>
      </c>
      <c r="I4" s="32">
        <v>0</v>
      </c>
      <c r="J4" s="32">
        <v>0</v>
      </c>
      <c r="K4" s="233">
        <f>F18</f>
        <v>2.5749252367999998E-4</v>
      </c>
      <c r="L4" s="233">
        <f>H4*0.001</f>
        <v>113825.772</v>
      </c>
      <c r="M4" s="32">
        <v>0</v>
      </c>
      <c r="N4" s="233">
        <f>C45</f>
        <v>31958000</v>
      </c>
      <c r="O4" s="32">
        <v>0</v>
      </c>
      <c r="P4" s="32">
        <v>0</v>
      </c>
      <c r="Q4" s="32">
        <f>G18</f>
        <v>4.094131126512E-6</v>
      </c>
      <c r="R4" s="233">
        <f>N4*0.001</f>
        <v>31958</v>
      </c>
      <c r="S4" s="32">
        <v>0</v>
      </c>
      <c r="T4" s="27" t="s">
        <v>630</v>
      </c>
      <c r="U4" s="27">
        <v>0</v>
      </c>
      <c r="V4" s="67" t="s">
        <v>696</v>
      </c>
    </row>
    <row r="5" spans="1:22" s="67" customFormat="1" x14ac:dyDescent="0.25">
      <c r="A5" s="32" t="s">
        <v>631</v>
      </c>
      <c r="B5" s="32" t="s">
        <v>630</v>
      </c>
      <c r="C5" s="32">
        <f>C7</f>
        <v>13140000000</v>
      </c>
      <c r="D5" s="32">
        <v>1</v>
      </c>
      <c r="E5" s="32">
        <f>C14</f>
        <v>25</v>
      </c>
      <c r="F5" s="32">
        <f>E13</f>
        <v>0.99912000000000001</v>
      </c>
      <c r="G5" s="32" t="s">
        <v>12</v>
      </c>
      <c r="H5" s="233">
        <f>C44</f>
        <v>113825772</v>
      </c>
      <c r="I5" s="32">
        <v>0</v>
      </c>
      <c r="J5" s="32">
        <v>0</v>
      </c>
      <c r="K5" s="233">
        <f>F19</f>
        <v>4.5439857119999999E-5</v>
      </c>
      <c r="L5" s="233">
        <f t="shared" ref="L5:L7" si="0">H5*0.001</f>
        <v>113825.772</v>
      </c>
      <c r="M5" s="32">
        <v>0</v>
      </c>
      <c r="N5" s="233">
        <f>C45</f>
        <v>31958000</v>
      </c>
      <c r="O5" s="32">
        <v>0</v>
      </c>
      <c r="P5" s="32">
        <v>0</v>
      </c>
      <c r="Q5" s="32">
        <f>G19</f>
        <v>7.2249372820800003E-7</v>
      </c>
      <c r="R5" s="233">
        <f t="shared" ref="R5:R7" si="1">N5*0.001</f>
        <v>31958</v>
      </c>
      <c r="S5" s="32">
        <v>0</v>
      </c>
      <c r="T5" s="27" t="s">
        <v>632</v>
      </c>
      <c r="U5" s="27">
        <v>0</v>
      </c>
      <c r="V5" s="67" t="s">
        <v>696</v>
      </c>
    </row>
    <row r="6" spans="1:22" x14ac:dyDescent="0.25">
      <c r="A6" s="32" t="s">
        <v>629</v>
      </c>
      <c r="B6" s="32" t="s">
        <v>633</v>
      </c>
      <c r="C6" s="32">
        <f>E12*365</f>
        <v>2318823529.4117651</v>
      </c>
      <c r="D6" s="32">
        <v>1</v>
      </c>
      <c r="E6" s="32">
        <f>C14</f>
        <v>25</v>
      </c>
      <c r="F6" s="32">
        <f>E13</f>
        <v>0.99912000000000001</v>
      </c>
      <c r="G6" s="32" t="s">
        <v>12</v>
      </c>
      <c r="H6" s="233">
        <f>C44</f>
        <v>113825772</v>
      </c>
      <c r="I6" s="32">
        <v>0</v>
      </c>
      <c r="J6" s="32">
        <v>0</v>
      </c>
      <c r="K6" s="233">
        <f>F16</f>
        <v>2.5749252367999998E-4</v>
      </c>
      <c r="L6" s="233">
        <f t="shared" si="0"/>
        <v>113825.772</v>
      </c>
      <c r="M6" s="32">
        <v>0</v>
      </c>
      <c r="N6" s="233">
        <f>C45</f>
        <v>31958000</v>
      </c>
      <c r="O6" s="32">
        <v>0</v>
      </c>
      <c r="P6" s="32">
        <v>0</v>
      </c>
      <c r="Q6" s="233">
        <f>G16</f>
        <v>6.8943623215319988E-5</v>
      </c>
      <c r="R6" s="233">
        <f t="shared" si="1"/>
        <v>31958</v>
      </c>
      <c r="S6" s="32">
        <v>0</v>
      </c>
      <c r="T6" s="27" t="s">
        <v>630</v>
      </c>
      <c r="U6" s="1">
        <v>0</v>
      </c>
      <c r="V6" s="67" t="s">
        <v>696</v>
      </c>
    </row>
    <row r="7" spans="1:22" x14ac:dyDescent="0.25">
      <c r="A7" s="32" t="s">
        <v>634</v>
      </c>
      <c r="B7" s="32" t="s">
        <v>633</v>
      </c>
      <c r="C7" s="32">
        <f>E11*365</f>
        <v>13140000000</v>
      </c>
      <c r="D7" s="32">
        <v>1</v>
      </c>
      <c r="E7" s="32">
        <f>C14</f>
        <v>25</v>
      </c>
      <c r="F7" s="32">
        <f>F6</f>
        <v>0.99912000000000001</v>
      </c>
      <c r="G7" s="32" t="s">
        <v>12</v>
      </c>
      <c r="H7" s="233">
        <f>C44</f>
        <v>113825772</v>
      </c>
      <c r="I7" s="32">
        <v>0</v>
      </c>
      <c r="J7" s="32">
        <v>0</v>
      </c>
      <c r="K7" s="233">
        <f>F17</f>
        <v>4.5439857119999999E-5</v>
      </c>
      <c r="L7" s="233">
        <f t="shared" si="0"/>
        <v>113825.772</v>
      </c>
      <c r="M7" s="32">
        <v>0</v>
      </c>
      <c r="N7" s="233">
        <f>C45</f>
        <v>31958000</v>
      </c>
      <c r="O7" s="32">
        <v>0</v>
      </c>
      <c r="P7" s="32">
        <v>0</v>
      </c>
      <c r="Q7" s="233">
        <f>G17</f>
        <v>1.216652174388E-5</v>
      </c>
      <c r="R7" s="233">
        <f t="shared" si="1"/>
        <v>31958</v>
      </c>
      <c r="S7" s="32">
        <v>0</v>
      </c>
      <c r="T7" s="27" t="s">
        <v>632</v>
      </c>
      <c r="U7" s="1">
        <v>0</v>
      </c>
      <c r="V7" s="67" t="s">
        <v>696</v>
      </c>
    </row>
    <row r="8" spans="1:22" ht="15.75" thickBot="1" x14ac:dyDescent="0.3"/>
    <row r="9" spans="1:22" x14ac:dyDescent="0.25">
      <c r="A9" s="175"/>
      <c r="B9" s="146"/>
      <c r="C9" s="146"/>
      <c r="D9" s="146"/>
      <c r="E9" s="146"/>
      <c r="F9" s="146"/>
      <c r="G9" s="146"/>
      <c r="H9" s="146"/>
      <c r="I9" s="146"/>
      <c r="J9" s="147"/>
    </row>
    <row r="10" spans="1:22" x14ac:dyDescent="0.25">
      <c r="A10" s="107" t="s">
        <v>91</v>
      </c>
      <c r="B10" s="12" t="s">
        <v>92</v>
      </c>
      <c r="C10" s="12" t="s">
        <v>93</v>
      </c>
      <c r="D10" s="12" t="s">
        <v>94</v>
      </c>
      <c r="E10" s="12" t="s">
        <v>93</v>
      </c>
      <c r="F10" s="12" t="s">
        <v>95</v>
      </c>
      <c r="G10" s="12" t="s">
        <v>96</v>
      </c>
      <c r="H10" s="12" t="s">
        <v>97</v>
      </c>
      <c r="I10" s="1"/>
      <c r="J10" s="149"/>
    </row>
    <row r="11" spans="1:22" x14ac:dyDescent="0.25">
      <c r="A11" s="34" t="s">
        <v>101</v>
      </c>
      <c r="B11" s="1" t="s">
        <v>576</v>
      </c>
      <c r="C11" s="1">
        <v>36000</v>
      </c>
      <c r="D11" s="1" t="s">
        <v>635</v>
      </c>
      <c r="E11" s="1">
        <f>C11*1000</f>
        <v>36000000</v>
      </c>
      <c r="F11" s="1"/>
      <c r="G11" s="1"/>
      <c r="H11" t="s">
        <v>636</v>
      </c>
      <c r="I11" s="2">
        <v>69</v>
      </c>
      <c r="J11" s="149"/>
    </row>
    <row r="12" spans="1:22" x14ac:dyDescent="0.25">
      <c r="A12" s="34"/>
      <c r="B12" s="1" t="s">
        <v>637</v>
      </c>
      <c r="C12" s="1">
        <f>3/17</f>
        <v>0.17647058823529413</v>
      </c>
      <c r="D12" s="1" t="s">
        <v>638</v>
      </c>
      <c r="E12" s="1">
        <f>E11*C12</f>
        <v>6352941.1764705889</v>
      </c>
      <c r="F12" s="1"/>
      <c r="G12" s="1"/>
      <c r="H12" s="1"/>
      <c r="I12" s="1"/>
      <c r="J12" s="149"/>
    </row>
    <row r="13" spans="1:22" x14ac:dyDescent="0.25">
      <c r="A13" s="34" t="s">
        <v>32</v>
      </c>
      <c r="B13" s="1" t="s">
        <v>109</v>
      </c>
      <c r="C13" s="1">
        <v>8.7999999999999995E-2</v>
      </c>
      <c r="D13" s="1" t="s">
        <v>245</v>
      </c>
      <c r="E13" s="13">
        <f>1-C13/100</f>
        <v>0.99912000000000001</v>
      </c>
      <c r="F13" s="1"/>
      <c r="G13" s="1"/>
      <c r="H13" s="1" t="s">
        <v>639</v>
      </c>
      <c r="I13" s="1">
        <v>70</v>
      </c>
      <c r="J13" s="149"/>
    </row>
    <row r="14" spans="1:22" x14ac:dyDescent="0.25">
      <c r="A14" s="34" t="s">
        <v>287</v>
      </c>
      <c r="B14" s="1" t="s">
        <v>288</v>
      </c>
      <c r="C14" s="1">
        <v>25</v>
      </c>
      <c r="D14" s="1"/>
      <c r="E14" s="1"/>
      <c r="F14" s="1"/>
      <c r="G14" s="1"/>
      <c r="H14" s="1"/>
      <c r="I14" s="1">
        <v>69</v>
      </c>
      <c r="J14" s="149"/>
      <c r="R14" s="234"/>
    </row>
    <row r="15" spans="1:22" x14ac:dyDescent="0.25">
      <c r="A15" s="34" t="str">
        <f>A16</f>
        <v>Fuel use (HFO)</v>
      </c>
      <c r="B15" s="1" t="s">
        <v>640</v>
      </c>
      <c r="C15" s="194">
        <f>B39</f>
        <v>1.6164739999999999E-3</v>
      </c>
      <c r="D15" s="1"/>
      <c r="E15" s="1"/>
      <c r="F15" s="1"/>
      <c r="G15" s="1"/>
      <c r="H15" s="1" t="s">
        <v>641</v>
      </c>
      <c r="I15" s="1">
        <v>71</v>
      </c>
      <c r="J15" s="149"/>
    </row>
    <row r="16" spans="1:22" x14ac:dyDescent="0.25">
      <c r="A16" s="34" t="s">
        <v>642</v>
      </c>
      <c r="B16" s="1" t="s">
        <v>643</v>
      </c>
      <c r="C16" s="194">
        <f>D39</f>
        <v>4.5439857119999996E-2</v>
      </c>
      <c r="D16" s="1" t="s">
        <v>644</v>
      </c>
      <c r="E16" s="194">
        <f>C16/(1000*C12)</f>
        <v>2.5749252367999998E-4</v>
      </c>
      <c r="F16" s="194">
        <f>E16</f>
        <v>2.5749252367999998E-4</v>
      </c>
      <c r="G16" s="194">
        <f>F16*[2]Fuels!$E$73</f>
        <v>6.8943623215319988E-5</v>
      </c>
      <c r="H16" s="1" t="s">
        <v>641</v>
      </c>
      <c r="I16" s="1">
        <v>71</v>
      </c>
      <c r="J16" s="149"/>
    </row>
    <row r="17" spans="1:10" x14ac:dyDescent="0.25">
      <c r="A17" s="34" t="s">
        <v>645</v>
      </c>
      <c r="B17" s="1" t="s">
        <v>643</v>
      </c>
      <c r="C17" s="194">
        <f>C16</f>
        <v>4.5439857119999996E-2</v>
      </c>
      <c r="D17" s="1" t="s">
        <v>646</v>
      </c>
      <c r="E17" s="194">
        <f>C17/1000</f>
        <v>4.5439857119999999E-5</v>
      </c>
      <c r="F17" s="194">
        <f>E17</f>
        <v>4.5439857119999999E-5</v>
      </c>
      <c r="G17" s="194">
        <f>F17*[2]Fuels!$E$73</f>
        <v>1.216652174388E-5</v>
      </c>
      <c r="H17" s="1" t="s">
        <v>641</v>
      </c>
      <c r="I17" s="1">
        <v>71</v>
      </c>
      <c r="J17" s="149"/>
    </row>
    <row r="18" spans="1:10" x14ac:dyDescent="0.25">
      <c r="A18" s="31" t="s">
        <v>647</v>
      </c>
      <c r="B18" s="1" t="s">
        <v>648</v>
      </c>
      <c r="C18" s="32"/>
      <c r="D18" s="1" t="s">
        <v>646</v>
      </c>
      <c r="E18" s="32"/>
      <c r="F18" s="233">
        <f>F16</f>
        <v>2.5749252367999998E-4</v>
      </c>
      <c r="G18" s="233">
        <f>F18*0.06*265/1000</f>
        <v>4.094131126512E-6</v>
      </c>
      <c r="H18" s="32" t="s">
        <v>649</v>
      </c>
      <c r="I18" s="1" t="s">
        <v>1150</v>
      </c>
      <c r="J18" s="149"/>
    </row>
    <row r="19" spans="1:10" x14ac:dyDescent="0.25">
      <c r="A19" s="31" t="s">
        <v>650</v>
      </c>
      <c r="B19" s="1" t="s">
        <v>648</v>
      </c>
      <c r="C19" s="32"/>
      <c r="D19" s="1" t="s">
        <v>646</v>
      </c>
      <c r="E19" s="32"/>
      <c r="F19" s="233">
        <f>F17</f>
        <v>4.5439857119999999E-5</v>
      </c>
      <c r="G19" s="233">
        <f>F19*0.06*265/1000</f>
        <v>7.2249372820800003E-7</v>
      </c>
      <c r="H19" s="32" t="s">
        <v>651</v>
      </c>
      <c r="I19" s="1" t="s">
        <v>1150</v>
      </c>
      <c r="J19" s="149"/>
    </row>
    <row r="20" spans="1:10" x14ac:dyDescent="0.25">
      <c r="A20" s="34" t="s">
        <v>46</v>
      </c>
      <c r="B20" s="1"/>
      <c r="C20" s="1"/>
      <c r="D20" s="1"/>
      <c r="E20" s="1">
        <v>0</v>
      </c>
      <c r="F20" s="1"/>
      <c r="G20" s="1"/>
      <c r="H20" s="1" t="s">
        <v>652</v>
      </c>
      <c r="I20" s="1">
        <v>20</v>
      </c>
      <c r="J20" s="149"/>
    </row>
    <row r="21" spans="1:10" x14ac:dyDescent="0.25">
      <c r="A21" s="148"/>
      <c r="J21" s="149"/>
    </row>
    <row r="22" spans="1:10" x14ac:dyDescent="0.25">
      <c r="J22" s="149"/>
    </row>
    <row r="23" spans="1:10" x14ac:dyDescent="0.25">
      <c r="A23" s="23" t="s">
        <v>653</v>
      </c>
      <c r="B23" s="23"/>
      <c r="C23" s="23"/>
      <c r="D23" s="23"/>
      <c r="J23" s="149"/>
    </row>
    <row r="24" spans="1:10" x14ac:dyDescent="0.25">
      <c r="A24" s="235"/>
      <c r="B24" s="235"/>
      <c r="C24" s="235"/>
      <c r="D24" s="235"/>
      <c r="J24" s="149"/>
    </row>
    <row r="25" spans="1:10" x14ac:dyDescent="0.25">
      <c r="A25" s="236" t="s">
        <v>654</v>
      </c>
      <c r="B25" s="237">
        <v>520</v>
      </c>
      <c r="C25" s="237" t="s">
        <v>655</v>
      </c>
      <c r="D25" s="237">
        <v>74</v>
      </c>
      <c r="J25" s="149"/>
    </row>
    <row r="26" spans="1:10" x14ac:dyDescent="0.25">
      <c r="A26" s="31" t="s">
        <v>656</v>
      </c>
      <c r="B26" s="238">
        <v>681.97</v>
      </c>
      <c r="C26" s="32" t="s">
        <v>655</v>
      </c>
      <c r="D26" s="32">
        <v>74</v>
      </c>
      <c r="J26" s="149"/>
    </row>
    <row r="27" spans="1:10" x14ac:dyDescent="0.25">
      <c r="A27" s="31" t="s">
        <v>657</v>
      </c>
      <c r="B27" s="32">
        <f>C11*1000/B25</f>
        <v>69230.769230769234</v>
      </c>
      <c r="C27" s="32"/>
      <c r="D27" s="32"/>
      <c r="J27" s="149"/>
    </row>
    <row r="28" spans="1:10" x14ac:dyDescent="0.25">
      <c r="A28" s="31" t="s">
        <v>658</v>
      </c>
      <c r="B28" s="32">
        <f>C11*1000/B26</f>
        <v>52788.245817264688</v>
      </c>
      <c r="C28" s="32"/>
      <c r="D28" s="32"/>
      <c r="J28" s="149"/>
    </row>
    <row r="29" spans="1:10" x14ac:dyDescent="0.25">
      <c r="A29" s="148"/>
      <c r="J29" s="149"/>
    </row>
    <row r="30" spans="1:10" x14ac:dyDescent="0.25">
      <c r="A30" s="148" t="s">
        <v>659</v>
      </c>
      <c r="J30" s="149"/>
    </row>
    <row r="31" spans="1:10" x14ac:dyDescent="0.25">
      <c r="A31" s="239"/>
      <c r="B31" s="1" t="s">
        <v>660</v>
      </c>
      <c r="C31" s="240" t="s">
        <v>661</v>
      </c>
      <c r="D31" s="1" t="s">
        <v>662</v>
      </c>
      <c r="E31" s="1" t="s">
        <v>663</v>
      </c>
      <c r="F31" s="1" t="s">
        <v>550</v>
      </c>
      <c r="J31" s="149"/>
    </row>
    <row r="32" spans="1:10" ht="15" customHeight="1" x14ac:dyDescent="0.25">
      <c r="A32" s="385" t="s">
        <v>664</v>
      </c>
      <c r="B32" s="241">
        <v>1.2082E-3</v>
      </c>
      <c r="C32" s="194">
        <v>6.1173999999999999E-2</v>
      </c>
      <c r="D32" s="194">
        <f>C32*0.2778</f>
        <v>1.6994137199999999E-2</v>
      </c>
      <c r="E32" s="6">
        <f t="shared" ref="E32:E38" si="2">D32/B32</f>
        <v>14.065665618275119</v>
      </c>
      <c r="F32" s="390">
        <v>71</v>
      </c>
      <c r="J32" s="242"/>
    </row>
    <row r="33" spans="1:10" x14ac:dyDescent="0.25">
      <c r="A33" s="386"/>
      <c r="B33" s="154">
        <f>0.00024891</f>
        <v>2.4890999999999997E-4</v>
      </c>
      <c r="C33" s="243">
        <v>1.2645E-2</v>
      </c>
      <c r="D33" s="194">
        <f t="shared" ref="D33:D38" si="3">C33*0.2778</f>
        <v>3.512781E-3</v>
      </c>
      <c r="E33" s="6">
        <f t="shared" si="2"/>
        <v>14.112655176569845</v>
      </c>
      <c r="F33" s="391"/>
      <c r="J33" s="149"/>
    </row>
    <row r="34" spans="1:10" x14ac:dyDescent="0.25">
      <c r="A34" s="386"/>
      <c r="B34" s="241">
        <v>6.7014999999999994E-5</v>
      </c>
      <c r="C34" s="243">
        <v>3.2168000000000001E-3</v>
      </c>
      <c r="D34" s="194">
        <f t="shared" si="3"/>
        <v>8.9362703999999998E-4</v>
      </c>
      <c r="E34" s="6">
        <f t="shared" si="2"/>
        <v>13.334731627247631</v>
      </c>
      <c r="F34" s="391"/>
      <c r="J34" s="149"/>
    </row>
    <row r="35" spans="1:10" x14ac:dyDescent="0.25">
      <c r="A35" s="386"/>
      <c r="B35" s="241">
        <v>5.1683E-5</v>
      </c>
      <c r="C35" s="243">
        <v>2.7393000000000001E-3</v>
      </c>
      <c r="D35" s="194">
        <f t="shared" si="3"/>
        <v>7.6097754000000004E-4</v>
      </c>
      <c r="E35" s="6">
        <f t="shared" si="2"/>
        <v>14.723942882572606</v>
      </c>
      <c r="F35" s="391"/>
      <c r="J35" s="149"/>
    </row>
    <row r="36" spans="1:10" x14ac:dyDescent="0.25">
      <c r="A36" s="386"/>
      <c r="B36" s="241">
        <v>1.7458000000000001E-5</v>
      </c>
      <c r="C36" s="243">
        <v>8.8818000000000002E-4</v>
      </c>
      <c r="D36" s="194">
        <f t="shared" si="3"/>
        <v>2.4673640400000002E-4</v>
      </c>
      <c r="E36" s="6">
        <f t="shared" si="2"/>
        <v>14.133142628021536</v>
      </c>
      <c r="F36" s="391"/>
      <c r="J36" s="149"/>
    </row>
    <row r="37" spans="1:10" x14ac:dyDescent="0.25">
      <c r="A37" s="386"/>
      <c r="B37" s="241">
        <v>1.3042E-5</v>
      </c>
      <c r="C37" s="243">
        <v>6.1749000000000005E-4</v>
      </c>
      <c r="D37" s="194">
        <f t="shared" si="3"/>
        <v>1.7153872200000001E-4</v>
      </c>
      <c r="E37" s="6">
        <f t="shared" si="2"/>
        <v>13.152792669835916</v>
      </c>
      <c r="F37" s="391"/>
      <c r="J37" s="149"/>
    </row>
    <row r="38" spans="1:10" x14ac:dyDescent="0.25">
      <c r="A38" s="387"/>
      <c r="B38" s="241">
        <v>1.0166000000000001E-5</v>
      </c>
      <c r="C38" s="243">
        <v>5.0443000000000005E-4</v>
      </c>
      <c r="D38" s="194">
        <f t="shared" si="3"/>
        <v>1.4013065400000002E-4</v>
      </c>
      <c r="E38" s="6">
        <f t="shared" si="2"/>
        <v>13.784246901436161</v>
      </c>
      <c r="F38" s="391"/>
      <c r="J38" s="149"/>
    </row>
    <row r="39" spans="1:10" ht="15.75" thickBot="1" x14ac:dyDescent="0.3">
      <c r="A39" s="244" t="s">
        <v>169</v>
      </c>
      <c r="B39" s="245">
        <f>SUM(B32:B38)</f>
        <v>1.6164739999999999E-3</v>
      </c>
      <c r="C39" s="245">
        <f>SUM(C32:C38)</f>
        <v>8.1785200000000002E-2</v>
      </c>
      <c r="D39" s="246">
        <f>SUM(D32:D38)*2</f>
        <v>4.5439857119999996E-2</v>
      </c>
      <c r="E39" s="247">
        <f>B39*3.22137*2</f>
        <v>1.0414521698759999E-2</v>
      </c>
      <c r="F39" s="248"/>
      <c r="G39" s="55"/>
      <c r="H39" s="157"/>
      <c r="I39" s="157"/>
      <c r="J39" s="158"/>
    </row>
    <row r="40" spans="1:10" ht="15.75" thickBot="1" x14ac:dyDescent="0.3"/>
    <row r="41" spans="1:10" x14ac:dyDescent="0.25">
      <c r="A41" s="145" t="s">
        <v>665</v>
      </c>
      <c r="B41" s="146"/>
      <c r="C41" s="146"/>
      <c r="D41" s="146"/>
      <c r="E41" s="146"/>
      <c r="F41" s="146"/>
      <c r="G41" s="146"/>
      <c r="H41" s="146"/>
      <c r="I41" s="147"/>
    </row>
    <row r="42" spans="1:10" x14ac:dyDescent="0.25">
      <c r="A42" s="148"/>
      <c r="E42" t="s">
        <v>538</v>
      </c>
      <c r="I42" s="149"/>
    </row>
    <row r="43" spans="1:10" x14ac:dyDescent="0.25">
      <c r="A43" s="34" t="s">
        <v>666</v>
      </c>
      <c r="B43" s="1" t="s">
        <v>578</v>
      </c>
      <c r="C43" s="1">
        <v>36000</v>
      </c>
      <c r="D43" s="1" t="s">
        <v>576</v>
      </c>
      <c r="E43" s="392" t="s">
        <v>667</v>
      </c>
      <c r="F43" s="393" t="s">
        <v>1151</v>
      </c>
      <c r="G43" s="394">
        <v>69</v>
      </c>
      <c r="I43" s="149"/>
    </row>
    <row r="44" spans="1:10" x14ac:dyDescent="0.25">
      <c r="A44" s="34"/>
      <c r="B44" s="1" t="s">
        <v>668</v>
      </c>
      <c r="C44" s="194">
        <f>409740000*0.2778</f>
        <v>113825772</v>
      </c>
      <c r="D44" s="1" t="s">
        <v>368</v>
      </c>
      <c r="E44" s="392"/>
      <c r="F44" s="393"/>
      <c r="G44" s="394"/>
      <c r="H44" s="66"/>
      <c r="I44" s="149"/>
    </row>
    <row r="45" spans="1:10" x14ac:dyDescent="0.25">
      <c r="A45" s="34"/>
      <c r="B45" s="1" t="s">
        <v>669</v>
      </c>
      <c r="C45" s="194">
        <v>31958000</v>
      </c>
      <c r="D45" s="1" t="s">
        <v>228</v>
      </c>
      <c r="E45" s="392"/>
      <c r="F45" s="393"/>
      <c r="G45" s="394"/>
      <c r="I45" s="149"/>
    </row>
    <row r="46" spans="1:10" ht="15.75" thickBot="1" x14ac:dyDescent="0.3">
      <c r="A46" s="249"/>
      <c r="B46" s="157"/>
      <c r="C46" s="157"/>
      <c r="D46" s="157"/>
      <c r="E46" s="157"/>
      <c r="F46" s="157"/>
      <c r="G46" s="157"/>
      <c r="H46" s="157"/>
      <c r="I46" s="158"/>
    </row>
    <row r="47" spans="1:10" ht="15.75" thickBot="1" x14ac:dyDescent="0.3">
      <c r="A47" s="250"/>
      <c r="B47" s="251"/>
      <c r="C47" s="252"/>
      <c r="F47" s="253"/>
    </row>
    <row r="48" spans="1:10" x14ac:dyDescent="0.25">
      <c r="A48" s="175"/>
      <c r="B48" s="146"/>
      <c r="C48" s="146"/>
      <c r="D48" s="146"/>
      <c r="E48" s="146"/>
      <c r="F48" s="146"/>
      <c r="G48" s="146"/>
      <c r="H48" s="146"/>
      <c r="I48" s="147"/>
    </row>
    <row r="49" spans="1:9" x14ac:dyDescent="0.25">
      <c r="A49" s="150" t="s">
        <v>87</v>
      </c>
      <c r="I49" s="149"/>
    </row>
    <row r="50" spans="1:9" x14ac:dyDescent="0.25">
      <c r="A50" s="148"/>
      <c r="I50" s="149"/>
    </row>
    <row r="51" spans="1:9" x14ac:dyDescent="0.25">
      <c r="A51" s="107" t="s">
        <v>268</v>
      </c>
      <c r="B51" s="1" t="s">
        <v>269</v>
      </c>
      <c r="C51" s="1" t="s">
        <v>8</v>
      </c>
      <c r="I51" s="149"/>
    </row>
    <row r="52" spans="1:9" x14ac:dyDescent="0.25">
      <c r="A52" s="34" t="s">
        <v>270</v>
      </c>
      <c r="B52" s="1" t="s">
        <v>271</v>
      </c>
      <c r="C52" s="1">
        <v>33</v>
      </c>
      <c r="D52" s="222"/>
      <c r="E52" s="222"/>
      <c r="I52" s="149"/>
    </row>
    <row r="53" spans="1:9" x14ac:dyDescent="0.25">
      <c r="A53" s="148"/>
      <c r="B53" s="222"/>
      <c r="C53" s="195"/>
      <c r="D53" s="222"/>
      <c r="E53" s="222"/>
      <c r="I53" s="149"/>
    </row>
    <row r="54" spans="1:9" ht="15.75" thickBot="1" x14ac:dyDescent="0.3">
      <c r="A54" s="156"/>
      <c r="B54" s="223"/>
      <c r="C54" s="224"/>
      <c r="D54" s="223"/>
      <c r="E54" s="223"/>
      <c r="F54" s="157"/>
      <c r="G54" s="157"/>
      <c r="H54" s="157"/>
      <c r="I54" s="158"/>
    </row>
    <row r="55" spans="1:9" x14ac:dyDescent="0.25">
      <c r="E55" s="222"/>
    </row>
    <row r="56" spans="1:9" x14ac:dyDescent="0.25">
      <c r="A56" s="67"/>
      <c r="B56" s="67"/>
      <c r="C56" s="67"/>
      <c r="D56" s="67"/>
    </row>
    <row r="57" spans="1:9" x14ac:dyDescent="0.25">
      <c r="A57" s="67"/>
      <c r="B57" s="67"/>
      <c r="C57" s="67"/>
      <c r="D57" s="67"/>
    </row>
  </sheetData>
  <mergeCells count="9">
    <mergeCell ref="A32:A38"/>
    <mergeCell ref="T2:T3"/>
    <mergeCell ref="U2:U3"/>
    <mergeCell ref="F32:F38"/>
    <mergeCell ref="E43:E45"/>
    <mergeCell ref="F43:F45"/>
    <mergeCell ref="G43:G45"/>
    <mergeCell ref="H2:M2"/>
    <mergeCell ref="N2:S2"/>
  </mergeCells>
  <hyperlinks>
    <hyperlink ref="G43" r:id="rId1" display="https://ecoquery.ecoinvent.org/3.9.1/cutoff/dataset/20996/documentation" xr:uid="{694438A6-31CE-4A2E-AC68-7139D661A4E9}"/>
    <hyperlink ref="F32" r:id="rId2" display="https://ecoquery.ecoinvent.org/3.9.1/cutoff/dataset/21623/impact_assessment" xr:uid="{FE40799C-5133-4A66-BD53-B69F49D7D657}"/>
    <hyperlink ref="I11" r:id="rId3" display="https://ecoquery.ecoinvent.org/3.9.1/cutoff/dataset/21623/impact_assessment" xr:uid="{CC68034A-B68D-4AFD-8261-A7D0ADB33155}"/>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E122-2E02-4EAA-A19C-E5D2EF3B0B07}">
  <dimension ref="A2:V51"/>
  <sheetViews>
    <sheetView topLeftCell="A25" workbookViewId="0">
      <selection activeCell="J11" sqref="J11"/>
    </sheetView>
  </sheetViews>
  <sheetFormatPr defaultRowHeight="15" x14ac:dyDescent="0.25"/>
  <cols>
    <col min="1" max="1" width="27.140625" customWidth="1"/>
    <col min="3" max="3" width="12" bestFit="1" customWidth="1"/>
  </cols>
  <sheetData>
    <row r="2" spans="1:22" x14ac:dyDescent="0.25">
      <c r="H2" s="381" t="s">
        <v>90</v>
      </c>
      <c r="I2" s="381"/>
      <c r="J2" s="381"/>
      <c r="K2" s="381"/>
      <c r="L2" s="381"/>
      <c r="M2" s="381"/>
      <c r="N2" s="381" t="s">
        <v>89</v>
      </c>
      <c r="O2" s="381"/>
      <c r="P2" s="381"/>
      <c r="Q2" s="381"/>
      <c r="R2" s="381"/>
      <c r="S2" s="381"/>
    </row>
    <row r="3" spans="1:22" x14ac:dyDescent="0.25">
      <c r="A3" s="12" t="s">
        <v>5</v>
      </c>
      <c r="B3" s="12" t="s">
        <v>7</v>
      </c>
      <c r="C3" s="12" t="s">
        <v>188</v>
      </c>
      <c r="D3" s="12" t="s">
        <v>30</v>
      </c>
      <c r="E3" s="12" t="s">
        <v>82</v>
      </c>
      <c r="F3" s="12" t="s">
        <v>32</v>
      </c>
      <c r="G3" s="12" t="s">
        <v>6</v>
      </c>
      <c r="H3" s="12" t="s">
        <v>84</v>
      </c>
      <c r="I3" s="12" t="s">
        <v>85</v>
      </c>
      <c r="J3" s="12" t="s">
        <v>86</v>
      </c>
      <c r="K3" s="12" t="s">
        <v>85</v>
      </c>
      <c r="L3" s="12" t="s">
        <v>87</v>
      </c>
      <c r="M3" s="12" t="s">
        <v>85</v>
      </c>
      <c r="N3" s="12" t="s">
        <v>84</v>
      </c>
      <c r="O3" s="12" t="s">
        <v>85</v>
      </c>
      <c r="P3" s="12" t="s">
        <v>86</v>
      </c>
      <c r="Q3" s="12" t="s">
        <v>85</v>
      </c>
      <c r="R3" s="12" t="s">
        <v>87</v>
      </c>
      <c r="S3" s="12" t="s">
        <v>85</v>
      </c>
      <c r="T3" s="254" t="s">
        <v>519</v>
      </c>
      <c r="U3" s="254" t="s">
        <v>46</v>
      </c>
      <c r="V3" s="254" t="s">
        <v>688</v>
      </c>
    </row>
    <row r="4" spans="1:22" x14ac:dyDescent="0.25">
      <c r="A4" s="32" t="s">
        <v>670</v>
      </c>
      <c r="B4" s="32" t="s">
        <v>633</v>
      </c>
      <c r="C4" s="32">
        <f>E8*365</f>
        <v>809424000</v>
      </c>
      <c r="D4" s="32">
        <v>1</v>
      </c>
      <c r="E4" s="32">
        <f>C10</f>
        <v>25</v>
      </c>
      <c r="F4" s="32">
        <f>E9</f>
        <v>0.99912000000000001</v>
      </c>
      <c r="G4" s="32" t="s">
        <v>12</v>
      </c>
      <c r="H4" s="233">
        <f>C40</f>
        <v>113825772</v>
      </c>
      <c r="I4" s="32">
        <v>0</v>
      </c>
      <c r="J4" s="32">
        <v>0</v>
      </c>
      <c r="K4" s="233">
        <f>F12</f>
        <v>7.3766001818181815E-4</v>
      </c>
      <c r="L4" s="233">
        <f>H4*0.001</f>
        <v>113825.772</v>
      </c>
      <c r="M4" s="32">
        <v>0</v>
      </c>
      <c r="N4" s="233">
        <f>C41</f>
        <v>31958000</v>
      </c>
      <c r="O4" s="32">
        <v>0</v>
      </c>
      <c r="P4" s="32">
        <v>0</v>
      </c>
      <c r="Q4" s="233">
        <f>G12</f>
        <v>1.6906691069415583E-4</v>
      </c>
      <c r="R4" s="233">
        <f>N4*0.001</f>
        <v>31958</v>
      </c>
      <c r="S4" s="32">
        <v>0</v>
      </c>
      <c r="T4" t="s">
        <v>671</v>
      </c>
      <c r="U4">
        <v>0</v>
      </c>
      <c r="V4" t="s">
        <v>696</v>
      </c>
    </row>
    <row r="6" spans="1:22" x14ac:dyDescent="0.25">
      <c r="A6" s="12" t="s">
        <v>91</v>
      </c>
      <c r="B6" s="12" t="s">
        <v>92</v>
      </c>
      <c r="C6" s="12" t="s">
        <v>93</v>
      </c>
      <c r="D6" s="12" t="s">
        <v>94</v>
      </c>
      <c r="E6" s="12" t="s">
        <v>93</v>
      </c>
      <c r="F6" s="12" t="s">
        <v>95</v>
      </c>
      <c r="G6" s="12" t="s">
        <v>96</v>
      </c>
      <c r="H6" s="12" t="s">
        <v>97</v>
      </c>
      <c r="I6" s="1"/>
    </row>
    <row r="7" spans="1:22" x14ac:dyDescent="0.25">
      <c r="A7" s="1" t="s">
        <v>101</v>
      </c>
      <c r="B7" s="1" t="s">
        <v>576</v>
      </c>
      <c r="C7" s="1">
        <v>36000</v>
      </c>
      <c r="D7" s="1" t="s">
        <v>672</v>
      </c>
      <c r="E7" s="1">
        <f>C7*1000</f>
        <v>36000000</v>
      </c>
      <c r="F7" s="1"/>
      <c r="G7" s="1"/>
      <c r="H7" t="s">
        <v>673</v>
      </c>
      <c r="I7" s="2">
        <v>71</v>
      </c>
    </row>
    <row r="8" spans="1:22" x14ac:dyDescent="0.25">
      <c r="A8" s="1"/>
      <c r="B8" s="1" t="s">
        <v>674</v>
      </c>
      <c r="C8" s="1">
        <f>0.0616</f>
        <v>6.1600000000000002E-2</v>
      </c>
      <c r="D8" s="1"/>
      <c r="E8" s="1">
        <f>E7*C8</f>
        <v>2217600</v>
      </c>
      <c r="F8" s="1"/>
      <c r="G8" s="1"/>
      <c r="H8" s="1" t="s">
        <v>675</v>
      </c>
      <c r="I8" s="1"/>
    </row>
    <row r="9" spans="1:22" x14ac:dyDescent="0.25">
      <c r="A9" s="1" t="s">
        <v>32</v>
      </c>
      <c r="B9" s="1" t="s">
        <v>109</v>
      </c>
      <c r="C9" s="1">
        <v>8.7999999999999995E-2</v>
      </c>
      <c r="D9" s="1" t="s">
        <v>245</v>
      </c>
      <c r="E9" s="13">
        <f>1-C9/100</f>
        <v>0.99912000000000001</v>
      </c>
      <c r="F9" s="1"/>
      <c r="G9" s="1"/>
      <c r="H9" s="1" t="s">
        <v>639</v>
      </c>
      <c r="I9" s="1">
        <v>70</v>
      </c>
    </row>
    <row r="10" spans="1:22" x14ac:dyDescent="0.25">
      <c r="A10" s="1" t="s">
        <v>287</v>
      </c>
      <c r="B10" s="1" t="s">
        <v>288</v>
      </c>
      <c r="C10" s="1">
        <v>25</v>
      </c>
      <c r="D10" s="1"/>
      <c r="E10" s="1"/>
      <c r="F10" s="1"/>
      <c r="G10" s="1"/>
      <c r="H10" s="1"/>
      <c r="I10" s="1">
        <v>69</v>
      </c>
    </row>
    <row r="11" spans="1:22" x14ac:dyDescent="0.25">
      <c r="A11" s="1" t="str">
        <f>A12</f>
        <v>Fuel use (HFO)</v>
      </c>
      <c r="B11" s="1" t="s">
        <v>640</v>
      </c>
      <c r="C11" s="194">
        <f>C24</f>
        <v>1.6164739999999999E-3</v>
      </c>
      <c r="D11" s="1"/>
      <c r="E11" s="1"/>
      <c r="F11" s="1"/>
      <c r="G11" s="1"/>
      <c r="H11" s="1" t="s">
        <v>641</v>
      </c>
      <c r="I11" s="2">
        <v>71</v>
      </c>
    </row>
    <row r="12" spans="1:22" x14ac:dyDescent="0.25">
      <c r="A12" s="1" t="s">
        <v>642</v>
      </c>
      <c r="B12" s="1" t="s">
        <v>648</v>
      </c>
      <c r="C12" s="194">
        <f>E24</f>
        <v>4.5439857119999996E-2</v>
      </c>
      <c r="D12" s="1" t="s">
        <v>644</v>
      </c>
      <c r="E12" s="194">
        <f>C12/(1000*C8)</f>
        <v>7.3766001818181815E-4</v>
      </c>
      <c r="F12" s="194">
        <f>E12</f>
        <v>7.3766001818181815E-4</v>
      </c>
      <c r="G12" s="194">
        <f>F24/(1000*C8)</f>
        <v>1.6906691069415583E-4</v>
      </c>
      <c r="H12" s="1" t="s">
        <v>676</v>
      </c>
      <c r="I12" s="1"/>
    </row>
    <row r="13" spans="1:22" x14ac:dyDescent="0.25">
      <c r="A13" s="1" t="s">
        <v>46</v>
      </c>
      <c r="B13" s="1"/>
      <c r="C13" s="1"/>
      <c r="D13" s="1"/>
      <c r="E13" s="1">
        <v>0</v>
      </c>
      <c r="F13" s="1"/>
      <c r="G13" s="1"/>
      <c r="H13" s="1" t="s">
        <v>677</v>
      </c>
      <c r="I13" s="1">
        <v>20</v>
      </c>
    </row>
    <row r="14" spans="1:22" ht="15.75" thickBot="1" x14ac:dyDescent="0.3">
      <c r="E14" s="195"/>
    </row>
    <row r="15" spans="1:22" x14ac:dyDescent="0.25">
      <c r="A15" s="175" t="s">
        <v>678</v>
      </c>
      <c r="B15" s="146"/>
      <c r="C15" s="146"/>
      <c r="D15" s="146"/>
      <c r="E15" s="146"/>
      <c r="F15" s="146"/>
      <c r="G15" s="146"/>
      <c r="H15" s="146"/>
      <c r="I15" s="146"/>
      <c r="J15" s="146"/>
      <c r="K15" s="147"/>
    </row>
    <row r="16" spans="1:22" x14ac:dyDescent="0.25">
      <c r="A16" s="255"/>
      <c r="B16" s="240"/>
      <c r="C16" s="1" t="s">
        <v>660</v>
      </c>
      <c r="D16" s="240" t="s">
        <v>679</v>
      </c>
      <c r="E16" s="1" t="s">
        <v>680</v>
      </c>
      <c r="F16" s="1" t="s">
        <v>681</v>
      </c>
      <c r="G16" s="1" t="s">
        <v>8</v>
      </c>
      <c r="K16" s="149"/>
    </row>
    <row r="17" spans="1:11" ht="15" customHeight="1" x14ac:dyDescent="0.25">
      <c r="A17" s="385" t="s">
        <v>664</v>
      </c>
      <c r="B17" s="256"/>
      <c r="C17" s="241">
        <v>1.2082E-3</v>
      </c>
      <c r="D17" s="194">
        <v>6.1173999999999999E-2</v>
      </c>
      <c r="E17" s="194">
        <f>D17*0.2778</f>
        <v>1.6994137199999999E-2</v>
      </c>
      <c r="F17" s="6">
        <f t="shared" ref="F17:F22" si="0">E17/C17</f>
        <v>14.065665618275119</v>
      </c>
      <c r="G17" s="334">
        <v>71</v>
      </c>
      <c r="K17" s="149"/>
    </row>
    <row r="18" spans="1:11" x14ac:dyDescent="0.25">
      <c r="A18" s="386"/>
      <c r="B18" s="256"/>
      <c r="C18" s="154">
        <f>0.00024891</f>
        <v>2.4890999999999997E-4</v>
      </c>
      <c r="D18" s="243">
        <v>1.2645E-2</v>
      </c>
      <c r="E18" s="194">
        <f t="shared" ref="E18:E23" si="1">D18*0.2778</f>
        <v>3.512781E-3</v>
      </c>
      <c r="F18" s="6">
        <f t="shared" si="0"/>
        <v>14.112655176569845</v>
      </c>
      <c r="G18" s="334"/>
      <c r="K18" s="149"/>
    </row>
    <row r="19" spans="1:11" x14ac:dyDescent="0.25">
      <c r="A19" s="386"/>
      <c r="B19" s="256"/>
      <c r="C19" s="241">
        <v>6.7014999999999994E-5</v>
      </c>
      <c r="D19" s="243">
        <v>3.2168000000000001E-3</v>
      </c>
      <c r="E19" s="194">
        <f t="shared" si="1"/>
        <v>8.9362703999999998E-4</v>
      </c>
      <c r="F19" s="6">
        <f t="shared" si="0"/>
        <v>13.334731627247631</v>
      </c>
      <c r="G19" s="334"/>
      <c r="K19" s="149"/>
    </row>
    <row r="20" spans="1:11" x14ac:dyDescent="0.25">
      <c r="A20" s="386"/>
      <c r="B20" s="256"/>
      <c r="C20" s="241">
        <v>5.1683E-5</v>
      </c>
      <c r="D20" s="243">
        <v>2.7393000000000001E-3</v>
      </c>
      <c r="E20" s="194">
        <f t="shared" si="1"/>
        <v>7.6097754000000004E-4</v>
      </c>
      <c r="F20" s="6">
        <f t="shared" si="0"/>
        <v>14.723942882572606</v>
      </c>
      <c r="G20" s="334"/>
      <c r="K20" s="149"/>
    </row>
    <row r="21" spans="1:11" x14ac:dyDescent="0.25">
      <c r="A21" s="386"/>
      <c r="C21" s="241">
        <v>1.7458000000000001E-5</v>
      </c>
      <c r="D21" s="243">
        <v>8.8818000000000002E-4</v>
      </c>
      <c r="E21" s="194">
        <f t="shared" si="1"/>
        <v>2.4673640400000002E-4</v>
      </c>
      <c r="F21" s="6">
        <f t="shared" si="0"/>
        <v>14.133142628021536</v>
      </c>
      <c r="G21" s="334"/>
      <c r="K21" s="149"/>
    </row>
    <row r="22" spans="1:11" x14ac:dyDescent="0.25">
      <c r="A22" s="386"/>
      <c r="B22" s="257"/>
      <c r="C22" s="241">
        <v>1.3042E-5</v>
      </c>
      <c r="D22" s="243">
        <v>6.1749000000000005E-4</v>
      </c>
      <c r="E22" s="194">
        <f t="shared" si="1"/>
        <v>1.7153872200000001E-4</v>
      </c>
      <c r="F22" s="6">
        <f t="shared" si="0"/>
        <v>13.152792669835916</v>
      </c>
      <c r="G22" s="334"/>
      <c r="K22" s="149"/>
    </row>
    <row r="23" spans="1:11" x14ac:dyDescent="0.25">
      <c r="A23" s="387"/>
      <c r="B23" s="257"/>
      <c r="C23" s="241">
        <v>1.0166000000000001E-5</v>
      </c>
      <c r="D23" s="243">
        <v>5.0443000000000005E-4</v>
      </c>
      <c r="E23" s="194">
        <f t="shared" si="1"/>
        <v>1.4013065400000002E-4</v>
      </c>
      <c r="F23" s="6">
        <f>E23/C23</f>
        <v>13.784246901436161</v>
      </c>
      <c r="G23" s="334"/>
      <c r="K23" s="149"/>
    </row>
    <row r="24" spans="1:11" x14ac:dyDescent="0.25">
      <c r="A24" s="258"/>
      <c r="B24" s="257" t="s">
        <v>169</v>
      </c>
      <c r="C24" s="243">
        <f>SUM(C17:C23)</f>
        <v>1.6164739999999999E-3</v>
      </c>
      <c r="D24" s="243">
        <f>SUM(D17:D23)</f>
        <v>8.1785200000000002E-2</v>
      </c>
      <c r="E24" s="259">
        <f>SUM(E17:E23)*2</f>
        <v>4.5439857119999996E-2</v>
      </c>
      <c r="F24" s="200">
        <f>C24*3.22137*2</f>
        <v>1.0414521698759999E-2</v>
      </c>
      <c r="G24" s="194"/>
      <c r="H24" s="195"/>
      <c r="K24" s="149"/>
    </row>
    <row r="25" spans="1:11" x14ac:dyDescent="0.25">
      <c r="A25" s="148"/>
      <c r="K25" s="149"/>
    </row>
    <row r="26" spans="1:11" x14ac:dyDescent="0.25">
      <c r="A26" s="31" t="s">
        <v>682</v>
      </c>
      <c r="B26" s="32"/>
      <c r="C26" s="32"/>
      <c r="D26" s="32"/>
      <c r="K26" s="149"/>
    </row>
    <row r="27" spans="1:11" x14ac:dyDescent="0.25">
      <c r="A27" s="31"/>
      <c r="B27" s="32"/>
      <c r="C27" s="32"/>
      <c r="D27" s="32"/>
      <c r="K27" s="149"/>
    </row>
    <row r="28" spans="1:11" x14ac:dyDescent="0.25">
      <c r="A28" s="31" t="s">
        <v>654</v>
      </c>
      <c r="B28" s="32">
        <v>520</v>
      </c>
      <c r="C28" s="32" t="s">
        <v>655</v>
      </c>
      <c r="D28" s="32">
        <v>74</v>
      </c>
      <c r="K28" s="149"/>
    </row>
    <row r="29" spans="1:11" x14ac:dyDescent="0.25">
      <c r="A29" s="31" t="s">
        <v>683</v>
      </c>
      <c r="B29" s="260">
        <v>1.8</v>
      </c>
      <c r="C29" s="32" t="s">
        <v>684</v>
      </c>
      <c r="D29" s="32">
        <v>76</v>
      </c>
      <c r="K29" s="149"/>
    </row>
    <row r="30" spans="1:11" x14ac:dyDescent="0.25">
      <c r="A30" s="31"/>
      <c r="B30" s="260">
        <f>B29*1000/33.3</f>
        <v>54.054054054054056</v>
      </c>
      <c r="C30" s="32" t="s">
        <v>685</v>
      </c>
      <c r="D30" s="32"/>
      <c r="K30" s="149"/>
    </row>
    <row r="31" spans="1:11" x14ac:dyDescent="0.25">
      <c r="A31" s="31"/>
      <c r="B31" s="238">
        <f>B30/0.062</f>
        <v>871.83958151700097</v>
      </c>
      <c r="C31" s="32" t="s">
        <v>686</v>
      </c>
      <c r="D31" s="32"/>
      <c r="K31" s="149"/>
    </row>
    <row r="32" spans="1:11" x14ac:dyDescent="0.25">
      <c r="A32" s="31" t="s">
        <v>657</v>
      </c>
      <c r="B32" s="32">
        <f>C7*1000/B28</f>
        <v>69230.769230769234</v>
      </c>
      <c r="C32" s="32"/>
      <c r="D32" s="32"/>
      <c r="K32" s="149"/>
    </row>
    <row r="33" spans="1:13" x14ac:dyDescent="0.25">
      <c r="A33" s="31" t="s">
        <v>687</v>
      </c>
      <c r="B33" s="32">
        <f>C7*1000/B31</f>
        <v>41291.999999999993</v>
      </c>
      <c r="C33" s="32"/>
      <c r="D33" s="32"/>
      <c r="K33" s="149"/>
    </row>
    <row r="34" spans="1:13" ht="15.75" thickBot="1" x14ac:dyDescent="0.3">
      <c r="A34" s="156"/>
      <c r="B34" s="157"/>
      <c r="C34" s="157"/>
      <c r="D34" s="157"/>
      <c r="E34" s="157"/>
      <c r="F34" s="157"/>
      <c r="G34" s="157"/>
      <c r="H34" s="157"/>
      <c r="I34" s="157"/>
      <c r="J34" s="157"/>
      <c r="K34" s="158"/>
    </row>
    <row r="35" spans="1:13" ht="15.75" thickBot="1" x14ac:dyDescent="0.3"/>
    <row r="36" spans="1:13" x14ac:dyDescent="0.25">
      <c r="A36" s="175"/>
      <c r="B36" s="146"/>
      <c r="C36" s="146"/>
      <c r="D36" s="146"/>
      <c r="E36" s="146"/>
      <c r="F36" s="146"/>
      <c r="G36" s="146"/>
      <c r="H36" s="146"/>
      <c r="I36" s="146"/>
      <c r="J36" s="147"/>
    </row>
    <row r="37" spans="1:13" x14ac:dyDescent="0.25">
      <c r="A37" s="150" t="s">
        <v>665</v>
      </c>
      <c r="J37" s="149"/>
    </row>
    <row r="38" spans="1:13" x14ac:dyDescent="0.25">
      <c r="A38" s="148"/>
      <c r="J38" s="149"/>
    </row>
    <row r="39" spans="1:13" x14ac:dyDescent="0.25">
      <c r="A39" s="34" t="s">
        <v>666</v>
      </c>
      <c r="B39" s="1" t="s">
        <v>578</v>
      </c>
      <c r="C39" s="1">
        <v>36000</v>
      </c>
      <c r="D39" s="1" t="s">
        <v>576</v>
      </c>
      <c r="E39" s="395">
        <v>69</v>
      </c>
      <c r="J39" s="149"/>
    </row>
    <row r="40" spans="1:13" x14ac:dyDescent="0.25">
      <c r="B40" s="1" t="s">
        <v>668</v>
      </c>
      <c r="C40" s="194">
        <f>409740000*0.2778</f>
        <v>113825772</v>
      </c>
      <c r="D40" s="1" t="s">
        <v>368</v>
      </c>
      <c r="E40" s="395"/>
      <c r="J40" s="149"/>
    </row>
    <row r="41" spans="1:13" x14ac:dyDescent="0.25">
      <c r="A41" s="34"/>
      <c r="B41" s="1" t="s">
        <v>669</v>
      </c>
      <c r="C41" s="194">
        <v>31958000</v>
      </c>
      <c r="D41" s="1" t="s">
        <v>228</v>
      </c>
      <c r="E41" s="395"/>
      <c r="J41" s="149"/>
    </row>
    <row r="42" spans="1:13" ht="15.75" thickBot="1" x14ac:dyDescent="0.3">
      <c r="A42" s="249"/>
      <c r="B42" s="157"/>
      <c r="C42" s="157"/>
      <c r="D42" s="157"/>
      <c r="E42" s="157"/>
      <c r="F42" s="157"/>
      <c r="G42" s="157"/>
      <c r="H42" s="157"/>
      <c r="I42" s="157"/>
      <c r="J42" s="158"/>
    </row>
    <row r="44" spans="1:13" ht="15.75" thickBot="1" x14ac:dyDescent="0.3"/>
    <row r="45" spans="1:13" x14ac:dyDescent="0.25">
      <c r="A45" s="175"/>
      <c r="B45" s="146"/>
      <c r="C45" s="146"/>
      <c r="D45" s="146"/>
      <c r="E45" s="146"/>
      <c r="F45" s="146"/>
      <c r="G45" s="146"/>
      <c r="H45" s="146"/>
      <c r="I45" s="146"/>
      <c r="J45" s="146"/>
      <c r="K45" s="146"/>
      <c r="L45" s="146"/>
      <c r="M45" s="147"/>
    </row>
    <row r="46" spans="1:13" x14ac:dyDescent="0.25">
      <c r="A46" s="21" t="s">
        <v>87</v>
      </c>
      <c r="M46" s="149"/>
    </row>
    <row r="47" spans="1:13" x14ac:dyDescent="0.25">
      <c r="A47" s="148"/>
      <c r="M47" s="149"/>
    </row>
    <row r="48" spans="1:13" x14ac:dyDescent="0.25">
      <c r="A48" s="107" t="s">
        <v>268</v>
      </c>
      <c r="B48" s="1" t="s">
        <v>269</v>
      </c>
      <c r="C48" s="1" t="s">
        <v>8</v>
      </c>
      <c r="M48" s="149"/>
    </row>
    <row r="49" spans="1:13" x14ac:dyDescent="0.25">
      <c r="A49" s="34" t="s">
        <v>270</v>
      </c>
      <c r="B49" s="1" t="s">
        <v>271</v>
      </c>
      <c r="C49" s="1">
        <v>33</v>
      </c>
      <c r="D49" s="222"/>
      <c r="E49" s="222"/>
      <c r="M49" s="149"/>
    </row>
    <row r="50" spans="1:13" x14ac:dyDescent="0.25">
      <c r="A50" s="148"/>
      <c r="B50" s="222"/>
      <c r="C50" s="195"/>
      <c r="D50" s="222"/>
      <c r="E50" s="222"/>
      <c r="M50" s="149"/>
    </row>
    <row r="51" spans="1:13" ht="15.75" thickBot="1" x14ac:dyDescent="0.3">
      <c r="A51" s="156"/>
      <c r="B51" s="223"/>
      <c r="C51" s="224"/>
      <c r="D51" s="223"/>
      <c r="E51" s="223"/>
      <c r="F51" s="157"/>
      <c r="G51" s="157"/>
      <c r="H51" s="157"/>
      <c r="I51" s="157"/>
      <c r="J51" s="157"/>
      <c r="K51" s="157"/>
      <c r="L51" s="157"/>
      <c r="M51" s="158"/>
    </row>
  </sheetData>
  <mergeCells count="5">
    <mergeCell ref="A17:A23"/>
    <mergeCell ref="H2:M2"/>
    <mergeCell ref="N2:S2"/>
    <mergeCell ref="G17:G23"/>
    <mergeCell ref="E39:E41"/>
  </mergeCells>
  <hyperlinks>
    <hyperlink ref="E39" r:id="rId1" display="https://ecoquery.ecoinvent.org/3.9.1/cutoff/dataset/20996/documentation" xr:uid="{5A7AE0D9-2AEB-4293-B233-385C5611CF47}"/>
    <hyperlink ref="I11" r:id="rId2" display="https://ecoquery.ecoinvent.org/3.9.1/cutoff/dataset/21623/documentation" xr:uid="{4DE740EA-DAF8-466C-8B9F-F6B51D9F5A27}"/>
    <hyperlink ref="I7" r:id="rId3" display="https://ecoquery.ecoinvent.org/3.9.1/cutoff/dataset/21623/impact_assessment" xr:uid="{98AA06A8-0C2A-4829-8860-16C6294C2F23}"/>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8F2B-035C-4D97-AE93-E2B35113498C}">
  <dimension ref="A2:V81"/>
  <sheetViews>
    <sheetView topLeftCell="A33" zoomScale="70" zoomScaleNormal="70" workbookViewId="0">
      <selection activeCell="L78" sqref="L78"/>
    </sheetView>
  </sheetViews>
  <sheetFormatPr defaultRowHeight="15" x14ac:dyDescent="0.25"/>
  <cols>
    <col min="1" max="1" width="33.42578125" customWidth="1"/>
    <col min="2" max="2" width="10.140625" customWidth="1"/>
    <col min="3" max="3" width="10" bestFit="1" customWidth="1"/>
    <col min="4" max="4" width="11.85546875" customWidth="1"/>
    <col min="5" max="5" width="15.42578125" customWidth="1"/>
    <col min="6" max="6" width="10.7109375" bestFit="1" customWidth="1"/>
    <col min="9" max="9" width="10.7109375" bestFit="1" customWidth="1"/>
    <col min="13" max="13" width="12.5703125" customWidth="1"/>
    <col min="15" max="15" width="11.7109375" bestFit="1" customWidth="1"/>
    <col min="19" max="19" width="11.140625" customWidth="1"/>
    <col min="22" max="22" width="10.5703125" customWidth="1"/>
  </cols>
  <sheetData>
    <row r="2" spans="1:22" x14ac:dyDescent="0.25">
      <c r="I2" s="381" t="s">
        <v>89</v>
      </c>
      <c r="J2" s="381"/>
      <c r="K2" s="381"/>
      <c r="L2" s="381"/>
      <c r="M2" s="381"/>
      <c r="N2" s="381"/>
      <c r="O2" s="381" t="s">
        <v>90</v>
      </c>
      <c r="P2" s="381"/>
      <c r="Q2" s="381"/>
      <c r="R2" s="381"/>
      <c r="S2" s="381"/>
      <c r="T2" s="381"/>
      <c r="U2" s="12" t="s">
        <v>519</v>
      </c>
      <c r="V2" s="361" t="s">
        <v>46</v>
      </c>
    </row>
    <row r="3" spans="1:22" x14ac:dyDescent="0.25">
      <c r="A3" s="12" t="s">
        <v>5</v>
      </c>
      <c r="B3" s="12" t="s">
        <v>7</v>
      </c>
      <c r="C3" s="12" t="s">
        <v>704</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1"/>
      <c r="V3" s="361"/>
    </row>
    <row r="4" spans="1:22" x14ac:dyDescent="0.25">
      <c r="A4" s="1" t="s">
        <v>705</v>
      </c>
      <c r="B4" s="1" t="s">
        <v>13</v>
      </c>
      <c r="C4" s="1">
        <f>E18</f>
        <v>18250000</v>
      </c>
      <c r="D4" s="1">
        <v>1</v>
      </c>
      <c r="E4" s="1">
        <v>20</v>
      </c>
      <c r="F4" s="1">
        <f>E15</f>
        <v>0.99979899999999999</v>
      </c>
      <c r="G4" s="1" t="s">
        <v>12</v>
      </c>
      <c r="H4" s="1" t="s">
        <v>706</v>
      </c>
      <c r="I4" s="194">
        <f>F48+D66</f>
        <v>7642095.2573671509</v>
      </c>
      <c r="J4" s="1">
        <v>0</v>
      </c>
      <c r="K4" s="1">
        <v>0</v>
      </c>
      <c r="L4" s="1">
        <v>0</v>
      </c>
      <c r="M4" s="194">
        <f>I4*0.001+G76</f>
        <v>86072.095257367153</v>
      </c>
      <c r="N4" s="1">
        <f>J4*0.001+G75</f>
        <v>1672.56</v>
      </c>
      <c r="O4" s="194">
        <f>E48+E66</f>
        <v>29085819.285867631</v>
      </c>
      <c r="P4" s="1">
        <v>0</v>
      </c>
      <c r="Q4" s="1">
        <f>E13</f>
        <v>12</v>
      </c>
      <c r="R4" s="1">
        <v>0</v>
      </c>
      <c r="S4" s="194">
        <f>O4*0.001+F76</f>
        <v>385585.81928586762</v>
      </c>
      <c r="T4" s="1">
        <f>P4*0.001+F75</f>
        <v>6748.2</v>
      </c>
      <c r="U4" s="1" t="s">
        <v>563</v>
      </c>
      <c r="V4" s="1">
        <f>E17</f>
        <v>3.32E-3</v>
      </c>
    </row>
    <row r="5" spans="1:22" x14ac:dyDescent="0.25">
      <c r="A5" s="1" t="s">
        <v>705</v>
      </c>
      <c r="B5" s="1" t="s">
        <v>23</v>
      </c>
      <c r="C5" s="1">
        <f>E18</f>
        <v>18250000</v>
      </c>
      <c r="D5" s="1">
        <v>1</v>
      </c>
      <c r="E5" s="1">
        <v>20</v>
      </c>
      <c r="F5" s="1">
        <f>E15</f>
        <v>0.99979899999999999</v>
      </c>
      <c r="G5" s="1" t="s">
        <v>12</v>
      </c>
      <c r="H5" s="1" t="s">
        <v>706</v>
      </c>
      <c r="I5" s="194">
        <f>F48+D66</f>
        <v>7642095.2573671509</v>
      </c>
      <c r="J5" s="1">
        <f>J4</f>
        <v>0</v>
      </c>
      <c r="K5" s="1">
        <f>F14</f>
        <v>6.72</v>
      </c>
      <c r="L5" s="1">
        <v>0</v>
      </c>
      <c r="M5" s="194">
        <f>I5*0.001+G76</f>
        <v>86072.095257367153</v>
      </c>
      <c r="N5" s="1">
        <f>J5*0.001+G75</f>
        <v>1672.56</v>
      </c>
      <c r="O5" s="194">
        <f>E48+E66</f>
        <v>29085819.285867631</v>
      </c>
      <c r="P5" s="1">
        <v>0</v>
      </c>
      <c r="Q5" s="1">
        <f>E14</f>
        <v>26.666666666666664</v>
      </c>
      <c r="R5" s="1">
        <v>0</v>
      </c>
      <c r="S5" s="194">
        <f>O5*0.001+F76</f>
        <v>385585.81928586762</v>
      </c>
      <c r="T5" s="1">
        <f>P5*0.001+F75</f>
        <v>6748.2</v>
      </c>
      <c r="U5" s="1" t="s">
        <v>563</v>
      </c>
      <c r="V5" s="1">
        <f>E17</f>
        <v>3.32E-3</v>
      </c>
    </row>
    <row r="6" spans="1:22" ht="15.75" thickBot="1" x14ac:dyDescent="0.3"/>
    <row r="7" spans="1:22" x14ac:dyDescent="0.25">
      <c r="A7" s="175"/>
      <c r="B7" s="146"/>
      <c r="C7" s="146"/>
      <c r="D7" s="146"/>
      <c r="E7" s="146"/>
      <c r="F7" s="146"/>
      <c r="G7" s="146"/>
      <c r="H7" s="146"/>
      <c r="I7" s="146"/>
      <c r="J7" s="146"/>
      <c r="K7" s="147"/>
    </row>
    <row r="8" spans="1:22" x14ac:dyDescent="0.25">
      <c r="A8" s="150" t="s">
        <v>86</v>
      </c>
      <c r="K8" s="149"/>
    </row>
    <row r="9" spans="1:22" x14ac:dyDescent="0.25">
      <c r="A9" s="148"/>
      <c r="K9" s="149"/>
    </row>
    <row r="10" spans="1:22" x14ac:dyDescent="0.25">
      <c r="A10" s="148" t="s">
        <v>707</v>
      </c>
      <c r="K10" s="149"/>
    </row>
    <row r="11" spans="1:22" x14ac:dyDescent="0.25">
      <c r="A11" s="148" t="s">
        <v>708</v>
      </c>
      <c r="K11" s="149"/>
    </row>
    <row r="12" spans="1:22" x14ac:dyDescent="0.25">
      <c r="A12" s="107" t="s">
        <v>91</v>
      </c>
      <c r="B12" s="12" t="s">
        <v>165</v>
      </c>
      <c r="C12" s="12" t="s">
        <v>709</v>
      </c>
      <c r="D12" s="12"/>
      <c r="E12" s="12" t="s">
        <v>710</v>
      </c>
      <c r="F12" s="12" t="s">
        <v>711</v>
      </c>
      <c r="G12" s="12"/>
      <c r="H12" s="12"/>
      <c r="K12" s="149"/>
    </row>
    <row r="13" spans="1:22" x14ac:dyDescent="0.25">
      <c r="A13" s="1" t="s">
        <v>712</v>
      </c>
      <c r="B13" s="1" t="s">
        <v>190</v>
      </c>
      <c r="C13" s="1">
        <v>12</v>
      </c>
      <c r="D13" s="1" t="s">
        <v>119</v>
      </c>
      <c r="E13" s="39">
        <f>C13</f>
        <v>12</v>
      </c>
      <c r="F13" s="1">
        <v>0</v>
      </c>
      <c r="G13" s="1" t="s">
        <v>713</v>
      </c>
      <c r="H13" s="1">
        <v>78</v>
      </c>
      <c r="K13" s="149"/>
    </row>
    <row r="14" spans="1:22" x14ac:dyDescent="0.25">
      <c r="A14" s="1" t="s">
        <v>714</v>
      </c>
      <c r="B14" s="1" t="s">
        <v>190</v>
      </c>
      <c r="C14" s="1"/>
      <c r="D14" s="1" t="s">
        <v>715</v>
      </c>
      <c r="E14" s="39">
        <f>E13/0.45</f>
        <v>26.666666666666664</v>
      </c>
      <c r="F14" s="39">
        <f>E14*0.252</f>
        <v>6.72</v>
      </c>
      <c r="G14" s="1" t="s">
        <v>782</v>
      </c>
      <c r="H14" s="1">
        <v>78</v>
      </c>
      <c r="K14" s="149"/>
    </row>
    <row r="15" spans="1:22" x14ac:dyDescent="0.25">
      <c r="A15" s="73" t="s">
        <v>32</v>
      </c>
      <c r="B15" s="1" t="s">
        <v>109</v>
      </c>
      <c r="C15" s="1">
        <f>0.0201</f>
        <v>2.01E-2</v>
      </c>
      <c r="D15" s="1" t="s">
        <v>109</v>
      </c>
      <c r="E15" s="261">
        <f>1-C15/100</f>
        <v>0.99979899999999999</v>
      </c>
      <c r="F15" s="1"/>
      <c r="G15" s="1" t="s">
        <v>716</v>
      </c>
      <c r="H15" s="1">
        <v>20</v>
      </c>
      <c r="K15" s="149"/>
    </row>
    <row r="16" spans="1:22" x14ac:dyDescent="0.25">
      <c r="A16" s="1" t="s">
        <v>717</v>
      </c>
      <c r="B16" s="1"/>
      <c r="C16" s="1">
        <v>0</v>
      </c>
      <c r="D16" s="1"/>
      <c r="E16" s="1">
        <v>0</v>
      </c>
      <c r="F16" s="1"/>
      <c r="G16" s="1" t="s">
        <v>718</v>
      </c>
      <c r="H16" s="1">
        <v>78</v>
      </c>
      <c r="K16" s="149"/>
    </row>
    <row r="17" spans="1:13" x14ac:dyDescent="0.25">
      <c r="A17" s="1" t="s">
        <v>115</v>
      </c>
      <c r="B17" s="1" t="s">
        <v>109</v>
      </c>
      <c r="C17" s="1">
        <f>(0.33+0.002)/100</f>
        <v>3.32E-3</v>
      </c>
      <c r="D17" s="1" t="s">
        <v>109</v>
      </c>
      <c r="E17" s="1">
        <f>C17</f>
        <v>3.32E-3</v>
      </c>
      <c r="F17" s="1"/>
      <c r="G17" s="1" t="s">
        <v>719</v>
      </c>
      <c r="H17" s="1">
        <v>20</v>
      </c>
      <c r="K17" s="149"/>
    </row>
    <row r="18" spans="1:13" x14ac:dyDescent="0.25">
      <c r="A18" s="1" t="s">
        <v>720</v>
      </c>
      <c r="B18" s="1" t="s">
        <v>576</v>
      </c>
      <c r="C18" s="1">
        <f>50*365</f>
        <v>18250</v>
      </c>
      <c r="D18" s="1" t="s">
        <v>721</v>
      </c>
      <c r="E18" s="1">
        <f>C18*1000</f>
        <v>18250000</v>
      </c>
      <c r="F18" s="1"/>
      <c r="G18" s="1" t="s">
        <v>722</v>
      </c>
      <c r="H18" s="1">
        <v>24</v>
      </c>
      <c r="K18" s="149"/>
    </row>
    <row r="19" spans="1:13" x14ac:dyDescent="0.25">
      <c r="A19" s="1" t="s">
        <v>287</v>
      </c>
      <c r="B19" s="1" t="s">
        <v>288</v>
      </c>
      <c r="C19" s="1">
        <v>25</v>
      </c>
      <c r="D19" s="1"/>
      <c r="E19" s="1"/>
      <c r="F19" s="1"/>
      <c r="G19" s="1" t="s">
        <v>723</v>
      </c>
      <c r="H19" s="1">
        <v>69</v>
      </c>
      <c r="K19" s="149"/>
    </row>
    <row r="20" spans="1:13" ht="15.75" thickBot="1" x14ac:dyDescent="0.3">
      <c r="A20" s="156"/>
      <c r="B20" s="157"/>
      <c r="C20" s="157"/>
      <c r="D20" s="157"/>
      <c r="E20" s="157"/>
      <c r="F20" s="157"/>
      <c r="G20" s="157"/>
      <c r="H20" s="157"/>
      <c r="I20" s="157"/>
      <c r="J20" s="157"/>
      <c r="K20" s="158"/>
    </row>
    <row r="21" spans="1:13" ht="15.75" thickBot="1" x14ac:dyDescent="0.3"/>
    <row r="22" spans="1:13" x14ac:dyDescent="0.25">
      <c r="A22" s="145" t="s">
        <v>724</v>
      </c>
      <c r="B22" s="146"/>
      <c r="C22" s="146"/>
      <c r="D22" s="146"/>
      <c r="E22" s="146"/>
      <c r="F22" s="146"/>
      <c r="G22" s="146"/>
      <c r="H22" s="146"/>
      <c r="I22" s="146"/>
      <c r="J22" s="146"/>
      <c r="K22" s="146"/>
      <c r="L22" s="146"/>
      <c r="M22" s="147"/>
    </row>
    <row r="23" spans="1:13" x14ac:dyDescent="0.25">
      <c r="A23" s="148"/>
      <c r="M23" s="149"/>
    </row>
    <row r="24" spans="1:13" x14ac:dyDescent="0.25">
      <c r="A24" s="1" t="s">
        <v>725</v>
      </c>
      <c r="B24" s="1">
        <v>84</v>
      </c>
      <c r="M24" s="149"/>
    </row>
    <row r="25" spans="1:13" x14ac:dyDescent="0.25">
      <c r="A25" s="1" t="s">
        <v>726</v>
      </c>
      <c r="B25" s="154" t="s">
        <v>1152</v>
      </c>
      <c r="M25" s="149"/>
    </row>
    <row r="26" spans="1:13" x14ac:dyDescent="0.25">
      <c r="A26" s="148"/>
      <c r="M26" s="149"/>
    </row>
    <row r="27" spans="1:13" x14ac:dyDescent="0.25">
      <c r="A27" s="148"/>
      <c r="M27" s="149"/>
    </row>
    <row r="28" spans="1:13" x14ac:dyDescent="0.25">
      <c r="A28" s="107" t="s">
        <v>727</v>
      </c>
      <c r="B28" s="12" t="s">
        <v>728</v>
      </c>
      <c r="C28" s="12" t="s">
        <v>729</v>
      </c>
      <c r="D28" s="12" t="s">
        <v>9</v>
      </c>
      <c r="E28" s="72" t="s">
        <v>25</v>
      </c>
      <c r="F28" s="21"/>
      <c r="M28" s="149"/>
    </row>
    <row r="29" spans="1:13" x14ac:dyDescent="0.25">
      <c r="A29" s="34" t="s">
        <v>730</v>
      </c>
      <c r="B29" s="1">
        <v>62</v>
      </c>
      <c r="C29" s="1" t="s">
        <v>731</v>
      </c>
      <c r="D29" s="1" t="s">
        <v>732</v>
      </c>
      <c r="E29" s="312" t="s">
        <v>1152</v>
      </c>
      <c r="M29" s="149"/>
    </row>
    <row r="30" spans="1:13" x14ac:dyDescent="0.25">
      <c r="A30" s="34" t="s">
        <v>733</v>
      </c>
      <c r="B30" s="1">
        <v>291</v>
      </c>
      <c r="C30" s="1" t="s">
        <v>731</v>
      </c>
      <c r="D30" s="1"/>
      <c r="E30" s="15">
        <v>81</v>
      </c>
      <c r="F30" s="21"/>
      <c r="M30" s="149"/>
    </row>
    <row r="31" spans="1:13" x14ac:dyDescent="0.25">
      <c r="A31" s="34" t="s">
        <v>734</v>
      </c>
      <c r="B31" s="1">
        <v>96235</v>
      </c>
      <c r="C31" s="1" t="s">
        <v>286</v>
      </c>
      <c r="D31" s="1" t="s">
        <v>735</v>
      </c>
      <c r="E31" s="15">
        <v>81</v>
      </c>
      <c r="F31" s="21"/>
      <c r="M31" s="149"/>
    </row>
    <row r="32" spans="1:13" x14ac:dyDescent="0.25">
      <c r="A32" s="34" t="s">
        <v>736</v>
      </c>
      <c r="B32" s="1">
        <v>73867</v>
      </c>
      <c r="C32" s="1" t="s">
        <v>286</v>
      </c>
      <c r="D32" s="1"/>
      <c r="E32" s="15">
        <v>81</v>
      </c>
      <c r="F32" s="21"/>
      <c r="M32" s="149"/>
    </row>
    <row r="33" spans="1:15" x14ac:dyDescent="0.25">
      <c r="A33" s="34" t="s">
        <v>737</v>
      </c>
      <c r="B33" s="1">
        <f>B30*B29*10</f>
        <v>180420</v>
      </c>
      <c r="C33" s="1" t="s">
        <v>111</v>
      </c>
      <c r="D33" s="1"/>
      <c r="E33" s="15">
        <v>81</v>
      </c>
      <c r="M33" s="149"/>
    </row>
    <row r="34" spans="1:15" x14ac:dyDescent="0.25">
      <c r="A34" s="148"/>
      <c r="M34" s="149"/>
    </row>
    <row r="35" spans="1:15" x14ac:dyDescent="0.25">
      <c r="A35" s="150" t="s">
        <v>738</v>
      </c>
      <c r="M35" s="149"/>
    </row>
    <row r="36" spans="1:15" x14ac:dyDescent="0.25">
      <c r="A36" s="148"/>
      <c r="M36" s="149"/>
    </row>
    <row r="37" spans="1:15" x14ac:dyDescent="0.25">
      <c r="A37" s="107"/>
      <c r="B37" s="12" t="s">
        <v>165</v>
      </c>
      <c r="C37" s="12" t="s">
        <v>709</v>
      </c>
      <c r="D37" s="12" t="s">
        <v>8</v>
      </c>
      <c r="E37" s="12" t="s">
        <v>739</v>
      </c>
      <c r="F37" s="12" t="s">
        <v>167</v>
      </c>
      <c r="G37" s="1"/>
      <c r="H37" s="12" t="s">
        <v>8</v>
      </c>
      <c r="M37" s="149"/>
    </row>
    <row r="38" spans="1:15" x14ac:dyDescent="0.25">
      <c r="A38" s="34" t="s">
        <v>101</v>
      </c>
      <c r="B38" s="1" t="s">
        <v>740</v>
      </c>
      <c r="C38" s="1">
        <f>50</f>
        <v>50</v>
      </c>
      <c r="D38" s="1">
        <v>8</v>
      </c>
      <c r="E38" s="1"/>
      <c r="F38" s="1"/>
      <c r="G38" s="28" t="s">
        <v>741</v>
      </c>
      <c r="H38" s="1">
        <v>24</v>
      </c>
      <c r="M38" s="149"/>
    </row>
    <row r="39" spans="1:15" x14ac:dyDescent="0.25">
      <c r="A39" s="34" t="s">
        <v>742</v>
      </c>
      <c r="B39" s="1" t="s">
        <v>286</v>
      </c>
      <c r="C39" s="1">
        <v>380</v>
      </c>
      <c r="D39" s="1">
        <v>8</v>
      </c>
      <c r="E39" s="1">
        <f>C39*1000*[1]Sheet1!$M$3</f>
        <v>4196696.82</v>
      </c>
      <c r="F39" s="1">
        <f>C39*1000*[1]Sheet1!$L$3</f>
        <v>1194530.0000000002</v>
      </c>
      <c r="G39" s="1"/>
      <c r="H39" s="1">
        <v>24</v>
      </c>
      <c r="M39" s="149"/>
    </row>
    <row r="40" spans="1:15" x14ac:dyDescent="0.25">
      <c r="A40" s="34" t="s">
        <v>743</v>
      </c>
      <c r="B40" s="1" t="s">
        <v>286</v>
      </c>
      <c r="C40" s="1">
        <v>595</v>
      </c>
      <c r="D40" s="1">
        <v>8</v>
      </c>
      <c r="E40" s="1">
        <f>C40*1000*[1]Sheet1!$M$5</f>
        <v>12859639.800000001</v>
      </c>
      <c r="F40" s="1">
        <f>C40*1000*[1]Sheet1!$L$5</f>
        <v>3469445.0000000005</v>
      </c>
      <c r="G40" s="1"/>
      <c r="H40" s="1">
        <v>24</v>
      </c>
      <c r="M40" s="149"/>
    </row>
    <row r="41" spans="1:15" x14ac:dyDescent="0.25">
      <c r="A41" s="34" t="s">
        <v>744</v>
      </c>
      <c r="B41" s="1" t="s">
        <v>286</v>
      </c>
      <c r="C41" s="1">
        <v>150</v>
      </c>
      <c r="D41" s="1">
        <v>8</v>
      </c>
      <c r="E41" s="1">
        <f>C41*1000*[1]Sheet1!$M$6</f>
        <v>2670838.65</v>
      </c>
      <c r="F41" s="1">
        <f>C41*1000*[1]Sheet1!$L$6</f>
        <v>599925</v>
      </c>
      <c r="G41" s="1"/>
      <c r="H41" s="1">
        <v>24</v>
      </c>
      <c r="M41" s="149"/>
    </row>
    <row r="42" spans="1:15" x14ac:dyDescent="0.25">
      <c r="A42" s="34" t="s">
        <v>607</v>
      </c>
      <c r="B42" s="1" t="s">
        <v>286</v>
      </c>
      <c r="C42" s="1">
        <v>140</v>
      </c>
      <c r="D42" s="1">
        <v>8</v>
      </c>
      <c r="E42" s="1">
        <f>C42*1000*[1]Sheet1!$M$12</f>
        <v>7836543.54</v>
      </c>
      <c r="F42" s="1">
        <f>C42*1000*[1]Sheet1!$L$12</f>
        <v>1830500.0000000002</v>
      </c>
      <c r="G42" s="1"/>
      <c r="H42" s="1">
        <v>24</v>
      </c>
      <c r="M42" s="149"/>
    </row>
    <row r="43" spans="1:15" ht="21" customHeight="1" x14ac:dyDescent="0.25">
      <c r="A43" s="262" t="s">
        <v>544</v>
      </c>
      <c r="B43" s="37" t="s">
        <v>286</v>
      </c>
      <c r="C43" s="37">
        <v>19029</v>
      </c>
      <c r="D43" s="37">
        <v>8</v>
      </c>
      <c r="E43" s="37"/>
      <c r="F43" s="37"/>
      <c r="G43" s="37" t="s">
        <v>745</v>
      </c>
      <c r="H43" s="37"/>
      <c r="M43" s="149"/>
    </row>
    <row r="44" spans="1:15" x14ac:dyDescent="0.25">
      <c r="A44" s="262" t="s">
        <v>746</v>
      </c>
      <c r="B44" s="37" t="s">
        <v>111</v>
      </c>
      <c r="C44" s="37">
        <v>46620</v>
      </c>
      <c r="D44" s="37">
        <v>8</v>
      </c>
      <c r="E44" s="37"/>
      <c r="F44" s="37"/>
      <c r="G44" s="37" t="s">
        <v>747</v>
      </c>
      <c r="H44" s="37"/>
      <c r="M44" s="149"/>
    </row>
    <row r="45" spans="1:15" x14ac:dyDescent="0.25">
      <c r="A45" s="262" t="s">
        <v>748</v>
      </c>
      <c r="B45" s="37" t="s">
        <v>749</v>
      </c>
      <c r="C45" s="37">
        <v>15</v>
      </c>
      <c r="D45" s="37">
        <v>8</v>
      </c>
      <c r="E45" s="37"/>
      <c r="F45" s="37"/>
      <c r="G45" s="37" t="s">
        <v>745</v>
      </c>
      <c r="H45" s="37"/>
      <c r="M45" s="149"/>
    </row>
    <row r="46" spans="1:15" x14ac:dyDescent="0.25">
      <c r="A46" s="262" t="s">
        <v>750</v>
      </c>
      <c r="B46" s="37" t="s">
        <v>286</v>
      </c>
      <c r="C46" s="37">
        <f>SUM(C39:C42)</f>
        <v>1265</v>
      </c>
      <c r="D46" s="37">
        <v>8</v>
      </c>
      <c r="E46" s="37"/>
      <c r="F46" s="37"/>
      <c r="G46" s="37" t="s">
        <v>745</v>
      </c>
      <c r="H46" s="37"/>
      <c r="M46" s="149"/>
    </row>
    <row r="47" spans="1:15" x14ac:dyDescent="0.25">
      <c r="A47" s="262" t="s">
        <v>751</v>
      </c>
      <c r="B47" s="37" t="s">
        <v>286</v>
      </c>
      <c r="C47" s="37">
        <v>0</v>
      </c>
      <c r="D47" s="37">
        <v>8</v>
      </c>
      <c r="E47" s="37">
        <f>C47*1000*[1]Sheet1!$M$3</f>
        <v>0</v>
      </c>
      <c r="F47" s="37">
        <f>C47*1000*[1]Sheet1!$L$3</f>
        <v>0</v>
      </c>
      <c r="G47" s="37" t="s">
        <v>745</v>
      </c>
      <c r="H47" s="37"/>
      <c r="M47" s="149"/>
    </row>
    <row r="48" spans="1:15" x14ac:dyDescent="0.25">
      <c r="A48" s="107" t="s">
        <v>365</v>
      </c>
      <c r="B48" s="12"/>
      <c r="C48" s="12"/>
      <c r="D48" s="12"/>
      <c r="E48" s="263">
        <f>SUM(E39:E47)</f>
        <v>27563718.809999999</v>
      </c>
      <c r="F48" s="263">
        <f>SUM(F39:F47)</f>
        <v>7094400.0000000009</v>
      </c>
      <c r="G48" s="1"/>
      <c r="H48" s="1"/>
      <c r="M48" s="149"/>
      <c r="O48" s="264"/>
    </row>
    <row r="49" spans="1:13" ht="14.85" customHeight="1" x14ac:dyDescent="0.25">
      <c r="A49" s="148"/>
      <c r="M49" s="149"/>
    </row>
    <row r="50" spans="1:13" x14ac:dyDescent="0.25">
      <c r="A50" s="148"/>
      <c r="M50" s="149"/>
    </row>
    <row r="51" spans="1:13" x14ac:dyDescent="0.25">
      <c r="A51" s="150" t="s">
        <v>137</v>
      </c>
      <c r="M51" s="149"/>
    </row>
    <row r="52" spans="1:13" x14ac:dyDescent="0.25">
      <c r="A52" s="265"/>
      <c r="B52" s="23"/>
      <c r="C52" s="23"/>
      <c r="D52" s="23"/>
      <c r="E52" s="23"/>
      <c r="F52" s="23"/>
      <c r="G52" s="23"/>
      <c r="H52" s="23"/>
      <c r="I52" s="23"/>
      <c r="J52" s="23"/>
      <c r="M52" s="149"/>
    </row>
    <row r="53" spans="1:13" x14ac:dyDescent="0.25">
      <c r="A53" s="148"/>
      <c r="M53" s="149"/>
    </row>
    <row r="54" spans="1:13" x14ac:dyDescent="0.25">
      <c r="A54" s="148" t="s">
        <v>752</v>
      </c>
      <c r="B54" t="s">
        <v>1153</v>
      </c>
      <c r="M54" s="149"/>
    </row>
    <row r="55" spans="1:13" x14ac:dyDescent="0.25">
      <c r="A55" s="148"/>
      <c r="M55" s="149"/>
    </row>
    <row r="56" spans="1:13" x14ac:dyDescent="0.25">
      <c r="A56" s="34" t="s">
        <v>365</v>
      </c>
      <c r="B56" s="266">
        <v>31958000</v>
      </c>
      <c r="C56" s="1" t="s">
        <v>753</v>
      </c>
      <c r="M56" s="149"/>
    </row>
    <row r="57" spans="1:13" x14ac:dyDescent="0.25">
      <c r="A57" s="34"/>
      <c r="B57" s="266">
        <f>409740000*0.2778</f>
        <v>113825772</v>
      </c>
      <c r="C57" s="1" t="s">
        <v>368</v>
      </c>
      <c r="M57" s="149"/>
    </row>
    <row r="58" spans="1:13" x14ac:dyDescent="0.25">
      <c r="A58" s="148"/>
      <c r="M58" s="149"/>
    </row>
    <row r="59" spans="1:13" x14ac:dyDescent="0.25">
      <c r="A59" s="34"/>
      <c r="B59" s="1" t="s">
        <v>754</v>
      </c>
      <c r="C59" s="1" t="s">
        <v>755</v>
      </c>
      <c r="D59" s="1" t="s">
        <v>756</v>
      </c>
      <c r="E59" s="206" t="s">
        <v>757</v>
      </c>
      <c r="F59" s="1" t="s">
        <v>612</v>
      </c>
      <c r="M59" s="149"/>
    </row>
    <row r="60" spans="1:13" x14ac:dyDescent="0.25">
      <c r="A60" s="34" t="s">
        <v>613</v>
      </c>
      <c r="B60" s="214">
        <v>23000</v>
      </c>
      <c r="C60" s="1">
        <f>B32</f>
        <v>73867</v>
      </c>
      <c r="D60" s="1">
        <f>2700000</f>
        <v>2700000</v>
      </c>
      <c r="E60">
        <f>50*365</f>
        <v>18250</v>
      </c>
      <c r="F60" s="215">
        <f>E60/D60*C60/B60</f>
        <v>2.1708095813204507E-2</v>
      </c>
      <c r="M60" s="149"/>
    </row>
    <row r="61" spans="1:13" x14ac:dyDescent="0.25">
      <c r="A61" s="148"/>
      <c r="M61" s="149"/>
    </row>
    <row r="62" spans="1:13" x14ac:dyDescent="0.25">
      <c r="A62" s="34"/>
      <c r="B62" s="1" t="s">
        <v>614</v>
      </c>
      <c r="C62" s="1" t="s">
        <v>615</v>
      </c>
      <c r="D62" s="1" t="s">
        <v>616</v>
      </c>
      <c r="E62" s="1" t="s">
        <v>758</v>
      </c>
      <c r="M62" s="149"/>
    </row>
    <row r="63" spans="1:13" x14ac:dyDescent="0.25">
      <c r="A63" s="34" t="s">
        <v>618</v>
      </c>
      <c r="B63" s="1">
        <f>4130000</f>
        <v>4130000</v>
      </c>
      <c r="C63" s="194">
        <f>64190000</f>
        <v>64190000</v>
      </c>
      <c r="D63" s="1">
        <f>B63*F60</f>
        <v>89654.435708534613</v>
      </c>
      <c r="E63" s="194">
        <f>C63*F60*0.2778</f>
        <v>387098.37379533815</v>
      </c>
      <c r="M63" s="149"/>
    </row>
    <row r="64" spans="1:13" x14ac:dyDescent="0.25">
      <c r="A64" s="34" t="s">
        <v>619</v>
      </c>
      <c r="B64" s="214">
        <f>18900000</f>
        <v>18900000</v>
      </c>
      <c r="C64" s="1">
        <f>220300000</f>
        <v>220300000</v>
      </c>
      <c r="D64" s="194">
        <f>B64*F60</f>
        <v>410283.01086956519</v>
      </c>
      <c r="E64" s="194">
        <f>C64*F60*0.2778</f>
        <v>1328521.1364248791</v>
      </c>
      <c r="F64" s="217"/>
      <c r="M64" s="149"/>
    </row>
    <row r="65" spans="1:13" x14ac:dyDescent="0.25">
      <c r="A65" s="34" t="s">
        <v>620</v>
      </c>
      <c r="B65" s="214">
        <f>2200000</f>
        <v>2200000</v>
      </c>
      <c r="C65" s="1">
        <f>32100000</f>
        <v>32100000</v>
      </c>
      <c r="D65" s="194">
        <f>B65*F60</f>
        <v>47757.810789049916</v>
      </c>
      <c r="E65" s="194">
        <f>C65*F60*0.2778</f>
        <v>193579.33944275361</v>
      </c>
      <c r="F65" s="218"/>
      <c r="M65" s="149"/>
    </row>
    <row r="66" spans="1:13" x14ac:dyDescent="0.25">
      <c r="A66" s="34" t="s">
        <v>476</v>
      </c>
      <c r="B66" s="214"/>
      <c r="C66" s="1"/>
      <c r="D66" s="212">
        <f>SUM(D63:D65)</f>
        <v>547695.25736714969</v>
      </c>
      <c r="E66" s="212">
        <f>SUM(E64:E65)</f>
        <v>1522100.4758676328</v>
      </c>
      <c r="F66" s="195"/>
      <c r="M66" s="149"/>
    </row>
    <row r="67" spans="1:13" x14ac:dyDescent="0.25">
      <c r="A67" s="148"/>
      <c r="M67" s="149"/>
    </row>
    <row r="68" spans="1:13" ht="15.75" thickBot="1" x14ac:dyDescent="0.3">
      <c r="A68" s="156"/>
      <c r="B68" s="157"/>
      <c r="C68" s="157"/>
      <c r="D68" s="157"/>
      <c r="E68" s="157"/>
      <c r="F68" s="157"/>
      <c r="G68" s="157"/>
      <c r="H68" s="157"/>
      <c r="I68" s="157"/>
      <c r="J68" s="157"/>
      <c r="K68" s="157"/>
      <c r="L68" s="157"/>
      <c r="M68" s="158"/>
    </row>
    <row r="69" spans="1:13" ht="15.75" thickBot="1" x14ac:dyDescent="0.3"/>
    <row r="70" spans="1:13" x14ac:dyDescent="0.25">
      <c r="A70" s="175"/>
      <c r="B70" s="146"/>
      <c r="C70" s="146"/>
      <c r="D70" s="146"/>
      <c r="E70" s="146"/>
      <c r="F70" s="146"/>
      <c r="G70" s="146"/>
      <c r="H70" s="146"/>
      <c r="I70" s="146"/>
      <c r="J70" s="147"/>
    </row>
    <row r="71" spans="1:13" x14ac:dyDescent="0.25">
      <c r="A71" s="150" t="s">
        <v>87</v>
      </c>
      <c r="J71" s="149"/>
    </row>
    <row r="72" spans="1:13" x14ac:dyDescent="0.25">
      <c r="A72" s="148"/>
      <c r="J72" s="149"/>
    </row>
    <row r="73" spans="1:13" x14ac:dyDescent="0.25">
      <c r="A73" s="12" t="s">
        <v>152</v>
      </c>
      <c r="B73" s="1"/>
      <c r="C73" s="1"/>
      <c r="D73" s="1"/>
      <c r="E73" s="1"/>
      <c r="F73" s="1" t="s">
        <v>153</v>
      </c>
      <c r="G73" s="1" t="s">
        <v>154</v>
      </c>
      <c r="H73" s="1"/>
      <c r="I73" s="1"/>
      <c r="J73" s="149"/>
    </row>
    <row r="74" spans="1:13" x14ac:dyDescent="0.25">
      <c r="A74" s="1" t="s">
        <v>155</v>
      </c>
      <c r="B74" s="1" t="s">
        <v>156</v>
      </c>
      <c r="C74" s="19">
        <v>115</v>
      </c>
      <c r="D74" s="1"/>
      <c r="E74" s="1"/>
      <c r="F74" s="1"/>
      <c r="G74" s="1"/>
      <c r="H74" s="1" t="s">
        <v>759</v>
      </c>
      <c r="I74" s="1">
        <v>83</v>
      </c>
      <c r="J74" s="149"/>
    </row>
    <row r="75" spans="1:13" x14ac:dyDescent="0.25">
      <c r="A75" s="28" t="s">
        <v>157</v>
      </c>
      <c r="B75" s="1" t="s">
        <v>158</v>
      </c>
      <c r="C75" s="1"/>
      <c r="D75" s="1" t="s">
        <v>142</v>
      </c>
      <c r="E75" s="1"/>
      <c r="F75" s="16">
        <f>1.63*C74*18*2</f>
        <v>6748.2</v>
      </c>
      <c r="G75" s="16">
        <f>0.404*C74*18*2</f>
        <v>1672.56</v>
      </c>
      <c r="H75" s="1" t="s">
        <v>760</v>
      </c>
      <c r="I75" s="1" t="s">
        <v>1154</v>
      </c>
      <c r="J75" s="149"/>
    </row>
    <row r="76" spans="1:13" x14ac:dyDescent="0.25">
      <c r="A76" s="28" t="s">
        <v>159</v>
      </c>
      <c r="B76" s="1" t="s">
        <v>160</v>
      </c>
      <c r="C76" s="1">
        <v>15.5</v>
      </c>
      <c r="D76" s="1" t="s">
        <v>164</v>
      </c>
      <c r="E76" s="1"/>
      <c r="F76" s="17">
        <f>G76/0.22</f>
        <v>356500</v>
      </c>
      <c r="G76" s="17">
        <f>C76*C74*44</f>
        <v>78430</v>
      </c>
      <c r="H76" s="1" t="s">
        <v>761</v>
      </c>
      <c r="I76" s="1" t="s">
        <v>1127</v>
      </c>
      <c r="J76" s="149"/>
    </row>
    <row r="77" spans="1:13" x14ac:dyDescent="0.25">
      <c r="A77" s="148"/>
      <c r="J77" s="149"/>
    </row>
    <row r="78" spans="1:13" x14ac:dyDescent="0.25">
      <c r="A78" s="107" t="s">
        <v>268</v>
      </c>
      <c r="B78" s="1" t="s">
        <v>269</v>
      </c>
      <c r="C78" s="1" t="s">
        <v>8</v>
      </c>
      <c r="J78" s="149"/>
    </row>
    <row r="79" spans="1:13" x14ac:dyDescent="0.25">
      <c r="A79" s="34" t="s">
        <v>270</v>
      </c>
      <c r="B79" s="1" t="s">
        <v>271</v>
      </c>
      <c r="C79" s="1">
        <v>33</v>
      </c>
      <c r="J79" s="149"/>
    </row>
    <row r="80" spans="1:13" x14ac:dyDescent="0.25">
      <c r="A80" s="148"/>
      <c r="J80" s="149"/>
    </row>
    <row r="81" spans="1:10" ht="15.75" thickBot="1" x14ac:dyDescent="0.3">
      <c r="A81" s="156"/>
      <c r="B81" s="157"/>
      <c r="C81" s="157"/>
      <c r="D81" s="157"/>
      <c r="E81" s="157"/>
      <c r="F81" s="157"/>
      <c r="G81" s="157"/>
      <c r="H81" s="157"/>
      <c r="I81" s="157"/>
      <c r="J81" s="158"/>
    </row>
  </sheetData>
  <mergeCells count="3">
    <mergeCell ref="I2:N2"/>
    <mergeCell ref="O2:T2"/>
    <mergeCell ref="V2:V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B518-7B9F-4266-ADB3-5190A011BF2D}">
  <dimension ref="A2:V50"/>
  <sheetViews>
    <sheetView topLeftCell="A13" zoomScale="85" zoomScaleNormal="85" workbookViewId="0">
      <selection activeCell="M50" sqref="M50"/>
    </sheetView>
  </sheetViews>
  <sheetFormatPr defaultRowHeight="15" x14ac:dyDescent="0.25"/>
  <cols>
    <col min="2" max="3" width="10" bestFit="1" customWidth="1"/>
    <col min="22" max="22" width="10.5703125" customWidth="1"/>
  </cols>
  <sheetData>
    <row r="2" spans="1:22" x14ac:dyDescent="0.25">
      <c r="I2" s="381" t="s">
        <v>89</v>
      </c>
      <c r="J2" s="381"/>
      <c r="K2" s="381"/>
      <c r="L2" s="381"/>
      <c r="M2" s="381"/>
      <c r="N2" s="381"/>
      <c r="O2" s="381" t="s">
        <v>90</v>
      </c>
      <c r="P2" s="381"/>
      <c r="Q2" s="381"/>
      <c r="R2" s="381"/>
      <c r="S2" s="381"/>
      <c r="T2" s="381"/>
      <c r="U2" s="388" t="s">
        <v>762</v>
      </c>
      <c r="V2" s="361" t="s">
        <v>46</v>
      </c>
    </row>
    <row r="3" spans="1:22" x14ac:dyDescent="0.25">
      <c r="A3" s="12" t="s">
        <v>5</v>
      </c>
      <c r="B3" s="12" t="s">
        <v>7</v>
      </c>
      <c r="C3" s="12" t="s">
        <v>188</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389"/>
      <c r="V3" s="361"/>
    </row>
    <row r="4" spans="1:22" x14ac:dyDescent="0.25">
      <c r="A4" s="1" t="s">
        <v>521</v>
      </c>
      <c r="B4" s="1" t="s">
        <v>13</v>
      </c>
      <c r="C4" s="1">
        <f>E15</f>
        <v>104147.64</v>
      </c>
      <c r="D4" s="1">
        <v>1</v>
      </c>
      <c r="E4" s="1">
        <v>22</v>
      </c>
      <c r="F4" s="1">
        <f>C13</f>
        <v>1</v>
      </c>
      <c r="G4" s="1" t="s">
        <v>12</v>
      </c>
      <c r="H4" s="1" t="s">
        <v>706</v>
      </c>
      <c r="I4" s="1">
        <f>H30+G38+G39</f>
        <v>26940.15082958584</v>
      </c>
      <c r="J4" s="1">
        <f>G35+G36</f>
        <v>119.6</v>
      </c>
      <c r="K4" s="1">
        <v>0</v>
      </c>
      <c r="L4" s="1">
        <v>0</v>
      </c>
      <c r="M4" s="1">
        <f>I4*0.001</f>
        <v>26.940150829585839</v>
      </c>
      <c r="N4" s="1">
        <f>J4*0.001</f>
        <v>0.1196</v>
      </c>
      <c r="O4" s="1">
        <f>I30+F38+F39</f>
        <v>72851.861697418775</v>
      </c>
      <c r="P4" s="1">
        <f>F35+F36</f>
        <v>455.6</v>
      </c>
      <c r="Q4" s="1">
        <f>E11</f>
        <v>7.0500000000000001E-4</v>
      </c>
      <c r="R4" s="1">
        <v>0</v>
      </c>
      <c r="S4" s="1">
        <f>O4*0.001</f>
        <v>72.851861697418784</v>
      </c>
      <c r="T4" s="1">
        <f>P4*0.001</f>
        <v>0.4556</v>
      </c>
      <c r="U4" s="1" t="s">
        <v>521</v>
      </c>
      <c r="V4" s="1">
        <f>E14</f>
        <v>0</v>
      </c>
    </row>
    <row r="5" spans="1:22" x14ac:dyDescent="0.25">
      <c r="A5" s="1" t="s">
        <v>521</v>
      </c>
      <c r="B5" s="1" t="s">
        <v>23</v>
      </c>
      <c r="C5" s="1">
        <f>E15</f>
        <v>104147.64</v>
      </c>
      <c r="D5" s="1">
        <v>1</v>
      </c>
      <c r="E5" s="1">
        <v>22</v>
      </c>
      <c r="F5" s="1">
        <f>C13</f>
        <v>1</v>
      </c>
      <c r="G5" s="1" t="s">
        <v>12</v>
      </c>
      <c r="H5" s="1" t="s">
        <v>706</v>
      </c>
      <c r="I5" s="1">
        <f>H30+G38+G39</f>
        <v>26940.15082958584</v>
      </c>
      <c r="J5" s="1">
        <f>J4</f>
        <v>119.6</v>
      </c>
      <c r="K5" s="1">
        <f>F12</f>
        <v>3.948E-4</v>
      </c>
      <c r="L5" s="1">
        <v>0</v>
      </c>
      <c r="M5" s="1">
        <f>I5*0.001</f>
        <v>26.940150829585839</v>
      </c>
      <c r="N5" s="1">
        <f>J5*0.001</f>
        <v>0.1196</v>
      </c>
      <c r="O5" s="1">
        <f>I30+F38+F39</f>
        <v>72851.861697418775</v>
      </c>
      <c r="P5" s="1">
        <f>P4</f>
        <v>455.6</v>
      </c>
      <c r="Q5" s="1">
        <f>E12</f>
        <v>1.5666666666666667E-3</v>
      </c>
      <c r="R5" s="1">
        <v>0</v>
      </c>
      <c r="S5" s="1">
        <f>O5*0.001</f>
        <v>72.851861697418784</v>
      </c>
      <c r="T5" s="1">
        <f>P5*0.001</f>
        <v>0.4556</v>
      </c>
      <c r="U5" s="1" t="s">
        <v>521</v>
      </c>
      <c r="V5" s="1">
        <f>E14</f>
        <v>0</v>
      </c>
    </row>
    <row r="6" spans="1:22" ht="15.75" thickBot="1" x14ac:dyDescent="0.3"/>
    <row r="7" spans="1:22" x14ac:dyDescent="0.25">
      <c r="A7" s="175"/>
      <c r="B7" s="146"/>
      <c r="C7" s="146"/>
      <c r="D7" s="146"/>
      <c r="E7" s="146"/>
      <c r="F7" s="146"/>
      <c r="G7" s="146"/>
      <c r="H7" s="146"/>
      <c r="I7" s="146"/>
      <c r="J7" s="147"/>
    </row>
    <row r="8" spans="1:22" x14ac:dyDescent="0.25">
      <c r="A8" s="150" t="s">
        <v>86</v>
      </c>
      <c r="J8" s="149"/>
    </row>
    <row r="9" spans="1:22" x14ac:dyDescent="0.25">
      <c r="A9" s="148"/>
      <c r="J9" s="149"/>
    </row>
    <row r="10" spans="1:22" x14ac:dyDescent="0.25">
      <c r="A10" s="1"/>
      <c r="B10" s="12" t="s">
        <v>165</v>
      </c>
      <c r="C10" s="12" t="s">
        <v>709</v>
      </c>
      <c r="D10" s="12"/>
      <c r="E10" s="12" t="s">
        <v>739</v>
      </c>
      <c r="F10" s="12" t="s">
        <v>167</v>
      </c>
      <c r="G10" s="1" t="s">
        <v>538</v>
      </c>
      <c r="H10" s="12" t="s">
        <v>8</v>
      </c>
      <c r="J10" s="149"/>
    </row>
    <row r="11" spans="1:22" x14ac:dyDescent="0.25">
      <c r="A11" s="1" t="s">
        <v>763</v>
      </c>
      <c r="B11" s="1" t="s">
        <v>190</v>
      </c>
      <c r="C11" s="1">
        <v>7.0500000000000001E-4</v>
      </c>
      <c r="D11" s="1"/>
      <c r="E11" s="39">
        <f>C11</f>
        <v>7.0500000000000001E-4</v>
      </c>
      <c r="F11" s="1"/>
      <c r="G11" s="32" t="s">
        <v>764</v>
      </c>
      <c r="H11" s="32">
        <v>85</v>
      </c>
      <c r="J11" s="149"/>
    </row>
    <row r="12" spans="1:22" x14ac:dyDescent="0.25">
      <c r="A12" s="1" t="s">
        <v>765</v>
      </c>
      <c r="B12" s="1" t="s">
        <v>190</v>
      </c>
      <c r="C12" s="1">
        <v>7.0500000000000001E-4</v>
      </c>
      <c r="D12" s="1"/>
      <c r="E12" s="39">
        <f>E11/0.45</f>
        <v>1.5666666666666667E-3</v>
      </c>
      <c r="F12" s="1">
        <f>E12*0.252</f>
        <v>3.948E-4</v>
      </c>
      <c r="G12" s="27" t="s">
        <v>783</v>
      </c>
      <c r="H12" s="32">
        <v>85</v>
      </c>
      <c r="J12" s="149"/>
    </row>
    <row r="13" spans="1:22" x14ac:dyDescent="0.25">
      <c r="A13" s="73" t="s">
        <v>32</v>
      </c>
      <c r="B13" s="1" t="s">
        <v>109</v>
      </c>
      <c r="C13" s="1">
        <v>1</v>
      </c>
      <c r="D13" s="1"/>
      <c r="E13" s="1"/>
      <c r="F13" s="1"/>
      <c r="G13" s="1" t="s">
        <v>784</v>
      </c>
      <c r="H13" s="1">
        <v>20</v>
      </c>
      <c r="J13" s="149"/>
    </row>
    <row r="14" spans="1:22" x14ac:dyDescent="0.25">
      <c r="A14" s="1" t="s">
        <v>115</v>
      </c>
      <c r="B14" s="1" t="s">
        <v>109</v>
      </c>
      <c r="C14" s="1">
        <v>0</v>
      </c>
      <c r="D14" s="1" t="s">
        <v>109</v>
      </c>
      <c r="E14" s="1">
        <f>C14</f>
        <v>0</v>
      </c>
      <c r="F14" s="1"/>
      <c r="G14" s="1" t="s">
        <v>784</v>
      </c>
      <c r="H14" s="1">
        <v>20</v>
      </c>
      <c r="J14" s="149"/>
    </row>
    <row r="15" spans="1:22" x14ac:dyDescent="0.25">
      <c r="A15" s="1" t="s">
        <v>766</v>
      </c>
      <c r="B15" s="1" t="s">
        <v>104</v>
      </c>
      <c r="C15" s="1">
        <v>60</v>
      </c>
      <c r="D15" s="1" t="s">
        <v>767</v>
      </c>
      <c r="E15" s="1">
        <f>C15*24*365*0.19815</f>
        <v>104147.64</v>
      </c>
      <c r="F15" s="1"/>
      <c r="G15" s="1" t="s">
        <v>768</v>
      </c>
      <c r="H15" s="32">
        <v>85</v>
      </c>
      <c r="J15" s="149"/>
    </row>
    <row r="16" spans="1:22" x14ac:dyDescent="0.25">
      <c r="A16" s="1" t="s">
        <v>287</v>
      </c>
      <c r="B16" s="1" t="s">
        <v>288</v>
      </c>
      <c r="C16" s="1">
        <v>22</v>
      </c>
      <c r="D16" s="1"/>
      <c r="E16" s="1"/>
      <c r="F16" s="1"/>
      <c r="G16" s="1" t="s">
        <v>924</v>
      </c>
      <c r="H16" s="32">
        <v>85</v>
      </c>
      <c r="J16" s="149"/>
    </row>
    <row r="17" spans="1:12" ht="15.75" thickBot="1" x14ac:dyDescent="0.3">
      <c r="A17" s="156"/>
      <c r="B17" s="157"/>
      <c r="C17" s="157"/>
      <c r="D17" s="157"/>
      <c r="E17" s="157"/>
      <c r="F17" s="157"/>
      <c r="G17" s="157"/>
      <c r="H17" s="157"/>
      <c r="I17" s="157"/>
      <c r="J17" s="158"/>
    </row>
    <row r="18" spans="1:12" ht="15.75" thickBot="1" x14ac:dyDescent="0.3"/>
    <row r="19" spans="1:12" x14ac:dyDescent="0.25">
      <c r="A19" s="175"/>
      <c r="B19" s="146"/>
      <c r="C19" s="146"/>
      <c r="D19" s="146"/>
      <c r="E19" s="146"/>
      <c r="F19" s="146"/>
      <c r="G19" s="146"/>
      <c r="H19" s="146"/>
      <c r="I19" s="146"/>
      <c r="J19" s="146"/>
      <c r="K19" s="146"/>
      <c r="L19" s="147"/>
    </row>
    <row r="20" spans="1:12" x14ac:dyDescent="0.25">
      <c r="A20" s="150" t="s">
        <v>769</v>
      </c>
      <c r="L20" s="149"/>
    </row>
    <row r="21" spans="1:12" x14ac:dyDescent="0.25">
      <c r="A21" s="150"/>
      <c r="L21" s="149"/>
    </row>
    <row r="22" spans="1:12" x14ac:dyDescent="0.25">
      <c r="A22" s="107"/>
      <c r="B22" s="1"/>
      <c r="C22" s="1"/>
      <c r="D22" s="1"/>
      <c r="E22" s="1" t="s">
        <v>785</v>
      </c>
      <c r="F22" s="1" t="s">
        <v>286</v>
      </c>
      <c r="G22" s="1" t="s">
        <v>8</v>
      </c>
      <c r="H22" s="1" t="s">
        <v>228</v>
      </c>
      <c r="I22" s="1" t="s">
        <v>368</v>
      </c>
      <c r="J22" s="1" t="s">
        <v>8</v>
      </c>
      <c r="L22" s="149"/>
    </row>
    <row r="23" spans="1:12" x14ac:dyDescent="0.25">
      <c r="A23" s="34" t="s">
        <v>770</v>
      </c>
      <c r="B23" s="1" t="s">
        <v>539</v>
      </c>
      <c r="C23" s="1" t="s">
        <v>771</v>
      </c>
      <c r="D23" s="1">
        <v>1.34E-3</v>
      </c>
      <c r="E23" s="1">
        <f>D23*E$15*C$16</f>
        <v>3070.2724272</v>
      </c>
      <c r="F23" s="1">
        <f>E23/1000</f>
        <v>3.0702724271999999</v>
      </c>
      <c r="G23" s="32">
        <v>85</v>
      </c>
      <c r="H23" s="1">
        <f>E23*[1]Sheet1!$L$30</f>
        <v>14080.269351139201</v>
      </c>
      <c r="I23" s="1">
        <f>E23*[1]Sheet1!$M$30</f>
        <v>55192.561930670308</v>
      </c>
      <c r="J23" s="1">
        <v>24</v>
      </c>
      <c r="L23" s="149"/>
    </row>
    <row r="24" spans="1:12" x14ac:dyDescent="0.25">
      <c r="A24" s="34" t="s">
        <v>772</v>
      </c>
      <c r="B24" s="1" t="s">
        <v>773</v>
      </c>
      <c r="C24" s="1" t="s">
        <v>771</v>
      </c>
      <c r="D24" s="1">
        <v>4.2300000000000004E-4</v>
      </c>
      <c r="E24" s="1">
        <f t="shared" ref="E24:E29" si="0">D24*E$15*C$16</f>
        <v>969.19793784000012</v>
      </c>
      <c r="F24" s="1">
        <f t="shared" ref="F24:F29" si="1">E24/1000</f>
        <v>0.96919793784000008</v>
      </c>
      <c r="G24" s="32">
        <v>85</v>
      </c>
      <c r="H24" s="1">
        <f>E24*[1]Sheet1!$L$28</f>
        <v>11096.34719033016</v>
      </c>
      <c r="I24" s="1">
        <f>E24*[1]Sheet1!$M$28</f>
        <v>9362.9318325136319</v>
      </c>
      <c r="J24" s="1">
        <v>24</v>
      </c>
      <c r="L24" s="149"/>
    </row>
    <row r="25" spans="1:12" x14ac:dyDescent="0.25">
      <c r="A25" s="34" t="s">
        <v>774</v>
      </c>
      <c r="B25" s="1" t="s">
        <v>775</v>
      </c>
      <c r="C25" s="1" t="s">
        <v>771</v>
      </c>
      <c r="D25" s="1">
        <v>4.9400000000000001E-6</v>
      </c>
      <c r="E25" s="1">
        <f t="shared" si="0"/>
        <v>11.318765515200001</v>
      </c>
      <c r="F25" s="1">
        <f t="shared" si="1"/>
        <v>1.13187655152E-2</v>
      </c>
      <c r="G25" s="32">
        <v>85</v>
      </c>
      <c r="H25" s="267">
        <f>E25*[1]Sheet1!$L$31</f>
        <v>0</v>
      </c>
      <c r="I25" s="1">
        <f>E25*[1]Sheet1!$M$31</f>
        <v>0</v>
      </c>
      <c r="J25" s="1">
        <v>24</v>
      </c>
      <c r="L25" s="149"/>
    </row>
    <row r="26" spans="1:12" x14ac:dyDescent="0.25">
      <c r="A26" s="34" t="s">
        <v>776</v>
      </c>
      <c r="B26" s="1" t="s">
        <v>777</v>
      </c>
      <c r="C26" s="1" t="s">
        <v>771</v>
      </c>
      <c r="D26" s="1">
        <v>1.27E-5</v>
      </c>
      <c r="E26" s="1">
        <f t="shared" si="0"/>
        <v>29.098850616000004</v>
      </c>
      <c r="F26" s="1">
        <f t="shared" si="1"/>
        <v>2.9098850616000003E-2</v>
      </c>
      <c r="G26" s="32">
        <v>85</v>
      </c>
      <c r="H26" s="1">
        <f>E26*[1]Sheet1!$L$25</f>
        <v>43.345647877593606</v>
      </c>
      <c r="I26" s="1">
        <f>E26*[1]Sheet1!$M$25</f>
        <v>555.9941830233638</v>
      </c>
      <c r="J26" s="1">
        <v>24</v>
      </c>
      <c r="L26" s="149"/>
    </row>
    <row r="27" spans="1:12" ht="14.25" customHeight="1" x14ac:dyDescent="0.25">
      <c r="A27" s="34" t="s">
        <v>127</v>
      </c>
      <c r="B27" s="1"/>
      <c r="C27" s="1" t="s">
        <v>771</v>
      </c>
      <c r="D27" s="1">
        <v>3.1700000000000005E-5</v>
      </c>
      <c r="E27" s="1">
        <f t="shared" si="0"/>
        <v>72.632564136000013</v>
      </c>
      <c r="F27" s="1">
        <f t="shared" si="1"/>
        <v>7.2632564136000013E-2</v>
      </c>
      <c r="G27" s="32">
        <v>85</v>
      </c>
      <c r="H27" s="1">
        <f>E27*[1]Sheet1!$L$6</f>
        <v>290.49394026193204</v>
      </c>
      <c r="I27" s="1">
        <f>E27*[1]Sheet1!$M$6</f>
        <v>1293.2657302868845</v>
      </c>
      <c r="J27" s="1">
        <v>24</v>
      </c>
      <c r="L27" s="149"/>
    </row>
    <row r="28" spans="1:12" ht="14.25" customHeight="1" x14ac:dyDescent="0.25">
      <c r="A28" s="34" t="s">
        <v>778</v>
      </c>
      <c r="B28" s="1" t="s">
        <v>779</v>
      </c>
      <c r="C28" s="1" t="s">
        <v>771</v>
      </c>
      <c r="D28" s="1">
        <v>1.0600000000000002E-5</v>
      </c>
      <c r="E28" s="1">
        <f t="shared" si="0"/>
        <v>24.287229648</v>
      </c>
      <c r="F28" s="1">
        <f t="shared" si="1"/>
        <v>2.4287229648000001E-2</v>
      </c>
      <c r="G28" s="32">
        <v>85</v>
      </c>
      <c r="H28" s="1">
        <f>E28*[1]Sheet1!$L$11</f>
        <v>56.479952546423995</v>
      </c>
      <c r="I28" s="1">
        <f>E28*[1]Sheet1!$M$11</f>
        <v>581.65821447764336</v>
      </c>
      <c r="J28" s="1">
        <v>24</v>
      </c>
      <c r="L28" s="149"/>
    </row>
    <row r="29" spans="1:12" ht="14.25" customHeight="1" x14ac:dyDescent="0.25">
      <c r="A29" s="34" t="s">
        <v>125</v>
      </c>
      <c r="B29" s="1"/>
      <c r="C29" s="1" t="s">
        <v>771</v>
      </c>
      <c r="D29" s="1">
        <v>4.2300000000000005E-5</v>
      </c>
      <c r="E29" s="1">
        <f t="shared" si="0"/>
        <v>96.919793784000007</v>
      </c>
      <c r="F29" s="1">
        <f t="shared" si="1"/>
        <v>9.6919793784000008E-2</v>
      </c>
      <c r="G29" s="32">
        <v>85</v>
      </c>
      <c r="H29" s="1">
        <f>E29*[1]Sheet1!$L$12</f>
        <v>1267.2263037258001</v>
      </c>
      <c r="I29" s="1">
        <f>E29*[1]Sheet1!$M$12</f>
        <v>5425.1155991152673</v>
      </c>
      <c r="J29" s="1">
        <v>24</v>
      </c>
      <c r="L29" s="149"/>
    </row>
    <row r="30" spans="1:12" x14ac:dyDescent="0.25">
      <c r="A30" s="34" t="s">
        <v>476</v>
      </c>
      <c r="B30" s="1"/>
      <c r="C30" s="1"/>
      <c r="D30" s="1"/>
      <c r="E30" s="1"/>
      <c r="F30" s="1">
        <f>SUM(F23:F29)</f>
        <v>4.2737275687391998</v>
      </c>
      <c r="G30" s="1"/>
      <c r="H30" s="39">
        <f t="shared" ref="H30:I30" si="2">SUM(H23:H29)</f>
        <v>26834.162385881111</v>
      </c>
      <c r="I30" s="39">
        <f t="shared" si="2"/>
        <v>72411.527490087101</v>
      </c>
      <c r="J30" s="1"/>
      <c r="L30" s="149"/>
    </row>
    <row r="31" spans="1:12" x14ac:dyDescent="0.25">
      <c r="A31" s="148"/>
      <c r="L31" s="149"/>
    </row>
    <row r="32" spans="1:12" x14ac:dyDescent="0.25">
      <c r="A32" s="148"/>
      <c r="L32" s="149"/>
    </row>
    <row r="33" spans="1:12" x14ac:dyDescent="0.25">
      <c r="A33" s="150" t="s">
        <v>137</v>
      </c>
      <c r="L33" s="149"/>
    </row>
    <row r="34" spans="1:12" x14ac:dyDescent="0.25">
      <c r="A34" s="148"/>
      <c r="F34" t="s">
        <v>138</v>
      </c>
      <c r="G34" t="s">
        <v>139</v>
      </c>
      <c r="L34" s="149"/>
    </row>
    <row r="35" spans="1:12" x14ac:dyDescent="0.25">
      <c r="A35" s="34" t="s">
        <v>140</v>
      </c>
      <c r="B35" s="1" t="s">
        <v>141</v>
      </c>
      <c r="C35" s="1">
        <v>2</v>
      </c>
      <c r="D35" s="1" t="s">
        <v>142</v>
      </c>
      <c r="E35" s="17">
        <v>2</v>
      </c>
      <c r="F35" s="16">
        <f>113.9*C35</f>
        <v>227.8</v>
      </c>
      <c r="G35" s="16">
        <f>29.9*2</f>
        <v>59.8</v>
      </c>
      <c r="H35" s="1" t="s">
        <v>279</v>
      </c>
      <c r="I35" s="71" t="s">
        <v>1128</v>
      </c>
      <c r="L35" s="149"/>
    </row>
    <row r="36" spans="1:12" x14ac:dyDescent="0.25">
      <c r="A36" s="34" t="s">
        <v>144</v>
      </c>
      <c r="B36" s="1" t="s">
        <v>141</v>
      </c>
      <c r="C36" s="1">
        <v>2</v>
      </c>
      <c r="D36" s="1"/>
      <c r="E36" s="17">
        <v>2</v>
      </c>
      <c r="F36" s="16">
        <f>113.9*C36</f>
        <v>227.8</v>
      </c>
      <c r="G36" s="16">
        <f>29.9*2</f>
        <v>59.8</v>
      </c>
      <c r="H36" s="1" t="s">
        <v>145</v>
      </c>
      <c r="I36" s="71" t="s">
        <v>1128</v>
      </c>
      <c r="L36" s="149"/>
    </row>
    <row r="37" spans="1:12" x14ac:dyDescent="0.25">
      <c r="A37" s="148"/>
      <c r="L37" s="149"/>
    </row>
    <row r="38" spans="1:12" x14ac:dyDescent="0.25">
      <c r="A38" s="1" t="s">
        <v>146</v>
      </c>
      <c r="B38" s="1" t="s">
        <v>147</v>
      </c>
      <c r="C38" s="1">
        <v>200</v>
      </c>
      <c r="D38" s="1" t="s">
        <v>148</v>
      </c>
      <c r="E38" s="1"/>
      <c r="F38" s="17">
        <f>G38/0.2407</f>
        <v>220.16710366583334</v>
      </c>
      <c r="G38" s="17">
        <f>C38*62/1000*F30</f>
        <v>52.994221852366081</v>
      </c>
      <c r="H38" s="1" t="s">
        <v>280</v>
      </c>
      <c r="I38" s="71" t="s">
        <v>1124</v>
      </c>
      <c r="L38" s="149"/>
    </row>
    <row r="39" spans="1:12" x14ac:dyDescent="0.25">
      <c r="A39" s="1" t="s">
        <v>150</v>
      </c>
      <c r="B39" s="1" t="s">
        <v>147</v>
      </c>
      <c r="C39" s="1">
        <v>200</v>
      </c>
      <c r="D39" s="1" t="s">
        <v>148</v>
      </c>
      <c r="E39" s="1"/>
      <c r="F39" s="17">
        <f>G39/0.2407</f>
        <v>220.16710366583334</v>
      </c>
      <c r="G39" s="17">
        <f>C39*62/1000*F30</f>
        <v>52.994221852366081</v>
      </c>
      <c r="H39" s="1" t="s">
        <v>280</v>
      </c>
      <c r="I39" s="71" t="s">
        <v>1124</v>
      </c>
      <c r="L39" s="149"/>
    </row>
    <row r="40" spans="1:12" ht="15.75" thickBot="1" x14ac:dyDescent="0.3">
      <c r="A40" s="156"/>
      <c r="B40" s="157"/>
      <c r="C40" s="157"/>
      <c r="D40" s="157"/>
      <c r="E40" s="157"/>
      <c r="F40" s="157"/>
      <c r="G40" s="157"/>
      <c r="H40" s="157"/>
      <c r="I40" s="157"/>
      <c r="J40" s="157"/>
      <c r="K40" s="157"/>
      <c r="L40" s="158"/>
    </row>
    <row r="41" spans="1:12" ht="15.75" thickBot="1" x14ac:dyDescent="0.3"/>
    <row r="42" spans="1:12" x14ac:dyDescent="0.25">
      <c r="A42" s="175"/>
      <c r="B42" s="146"/>
      <c r="C42" s="146"/>
      <c r="D42" s="146"/>
      <c r="E42" s="146"/>
      <c r="F42" s="146"/>
      <c r="G42" s="146"/>
      <c r="H42" s="146"/>
      <c r="I42" s="146"/>
      <c r="J42" s="146"/>
      <c r="K42" s="146"/>
      <c r="L42" s="147"/>
    </row>
    <row r="43" spans="1:12" x14ac:dyDescent="0.25">
      <c r="A43" s="150" t="s">
        <v>87</v>
      </c>
      <c r="L43" s="149"/>
    </row>
    <row r="44" spans="1:12" x14ac:dyDescent="0.25">
      <c r="A44" s="148"/>
      <c r="L44" s="149"/>
    </row>
    <row r="45" spans="1:12" x14ac:dyDescent="0.25">
      <c r="A45" s="148" t="s">
        <v>780</v>
      </c>
      <c r="L45" s="149"/>
    </row>
    <row r="46" spans="1:12" x14ac:dyDescent="0.25">
      <c r="A46" s="148"/>
      <c r="L46" s="149"/>
    </row>
    <row r="47" spans="1:12" x14ac:dyDescent="0.25">
      <c r="A47" s="107" t="s">
        <v>268</v>
      </c>
      <c r="B47" s="1" t="s">
        <v>269</v>
      </c>
      <c r="C47" s="1" t="s">
        <v>8</v>
      </c>
      <c r="L47" s="149"/>
    </row>
    <row r="48" spans="1:12" x14ac:dyDescent="0.25">
      <c r="A48" s="34" t="s">
        <v>270</v>
      </c>
      <c r="B48" s="1" t="s">
        <v>271</v>
      </c>
      <c r="C48" s="1">
        <v>33</v>
      </c>
      <c r="L48" s="149"/>
    </row>
    <row r="49" spans="1:12" x14ac:dyDescent="0.25">
      <c r="A49" s="148"/>
      <c r="L49" s="149"/>
    </row>
    <row r="50" spans="1:12" ht="15.75" thickBot="1" x14ac:dyDescent="0.3">
      <c r="A50" s="156"/>
      <c r="B50" s="157"/>
      <c r="C50" s="157"/>
      <c r="D50" s="157"/>
      <c r="E50" s="157"/>
      <c r="F50" s="157"/>
      <c r="G50" s="157"/>
      <c r="H50" s="157"/>
      <c r="I50" s="157"/>
      <c r="J50" s="157"/>
      <c r="K50" s="157"/>
      <c r="L50" s="158"/>
    </row>
  </sheetData>
  <mergeCells count="4">
    <mergeCell ref="I2:N2"/>
    <mergeCell ref="O2:T2"/>
    <mergeCell ref="U2:U3"/>
    <mergeCell ref="V2:V3"/>
  </mergeCells>
  <phoneticPr fontId="10"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4397-D634-4EAD-9282-B36E73B0F9C6}">
  <dimension ref="A2:U55"/>
  <sheetViews>
    <sheetView topLeftCell="A17" zoomScale="85" zoomScaleNormal="85" workbookViewId="0">
      <selection activeCell="H46" sqref="H46"/>
    </sheetView>
  </sheetViews>
  <sheetFormatPr defaultRowHeight="15" x14ac:dyDescent="0.25"/>
  <cols>
    <col min="1" max="1" width="20.85546875" customWidth="1"/>
    <col min="2" max="2" width="15.28515625" bestFit="1" customWidth="1"/>
    <col min="3" max="3" width="9.7109375" bestFit="1" customWidth="1"/>
    <col min="4" max="4" width="9.85546875" customWidth="1"/>
    <col min="6" max="6" width="12" bestFit="1" customWidth="1"/>
    <col min="9" max="9" width="10.7109375" bestFit="1" customWidth="1"/>
    <col min="10" max="10" width="12" bestFit="1" customWidth="1"/>
    <col min="11" max="11" width="12.42578125" bestFit="1" customWidth="1"/>
    <col min="15" max="15" width="10.7109375" bestFit="1" customWidth="1"/>
    <col min="19" max="19" width="9.7109375" bestFit="1" customWidth="1"/>
  </cols>
  <sheetData>
    <row r="2" spans="1:21" x14ac:dyDescent="0.25">
      <c r="I2" s="381" t="s">
        <v>786</v>
      </c>
      <c r="J2" s="381"/>
      <c r="K2" s="381"/>
      <c r="L2" s="381"/>
      <c r="M2" s="381"/>
      <c r="N2" s="381"/>
      <c r="O2" s="381" t="s">
        <v>787</v>
      </c>
      <c r="P2" s="381"/>
      <c r="Q2" s="381"/>
      <c r="R2" s="381"/>
      <c r="S2" s="381"/>
      <c r="T2" s="381"/>
    </row>
    <row r="3" spans="1:21" x14ac:dyDescent="0.25">
      <c r="A3" s="12" t="s">
        <v>5</v>
      </c>
      <c r="B3" s="12" t="s">
        <v>7</v>
      </c>
      <c r="C3" s="12" t="s">
        <v>188</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254" t="s">
        <v>788</v>
      </c>
    </row>
    <row r="4" spans="1:21" x14ac:dyDescent="0.25">
      <c r="A4" s="1" t="s">
        <v>671</v>
      </c>
      <c r="B4" s="1" t="s">
        <v>13</v>
      </c>
      <c r="C4" s="1">
        <f>C16</f>
        <v>18250000</v>
      </c>
      <c r="D4" s="1">
        <f>C15</f>
        <v>1</v>
      </c>
      <c r="E4" s="1">
        <f>B17</f>
        <v>20</v>
      </c>
      <c r="F4" s="1">
        <f>C13</f>
        <v>0.98499999999999999</v>
      </c>
      <c r="G4" s="1" t="s">
        <v>12</v>
      </c>
      <c r="H4" s="1" t="s">
        <v>706</v>
      </c>
      <c r="I4" s="1">
        <f>K30+G39+G40</f>
        <v>6401856.4719999991</v>
      </c>
      <c r="J4" s="1">
        <f>G36+G37</f>
        <v>119.6</v>
      </c>
      <c r="K4" s="1">
        <f>0</f>
        <v>0</v>
      </c>
      <c r="L4" s="1">
        <v>0</v>
      </c>
      <c r="M4" s="1">
        <f>I4*0.001+G48</f>
        <v>84831.856471999999</v>
      </c>
      <c r="N4" s="1">
        <f>G47+J4*0.01</f>
        <v>1673.7559999999999</v>
      </c>
      <c r="O4" s="1">
        <f>J27+F39</f>
        <v>13652454.468522808</v>
      </c>
      <c r="P4" s="1">
        <f>F36+F37</f>
        <v>455.6</v>
      </c>
      <c r="Q4" s="1">
        <f>E12+E14</f>
        <v>11.417</v>
      </c>
      <c r="R4" s="1">
        <v>0</v>
      </c>
      <c r="S4" s="1">
        <f>O4*0.001+F48</f>
        <v>370152.4544685228</v>
      </c>
      <c r="T4" s="1">
        <f>F47+P4*0.01</f>
        <v>6752.7559999999994</v>
      </c>
      <c r="U4" t="s">
        <v>671</v>
      </c>
    </row>
    <row r="5" spans="1:21" x14ac:dyDescent="0.25">
      <c r="A5" s="1" t="s">
        <v>671</v>
      </c>
      <c r="B5" s="1" t="s">
        <v>23</v>
      </c>
      <c r="C5" s="1">
        <f>C16</f>
        <v>18250000</v>
      </c>
      <c r="D5" s="1">
        <f>C15</f>
        <v>1</v>
      </c>
      <c r="E5" s="1">
        <f>B17</f>
        <v>20</v>
      </c>
      <c r="F5" s="1">
        <f>C13</f>
        <v>0.98499999999999999</v>
      </c>
      <c r="G5" s="1" t="s">
        <v>12</v>
      </c>
      <c r="H5" s="1" t="s">
        <v>706</v>
      </c>
      <c r="I5" s="1">
        <f>K30+G39+G40</f>
        <v>6401856.4719999991</v>
      </c>
      <c r="J5" s="1">
        <f>J4</f>
        <v>119.6</v>
      </c>
      <c r="K5" s="1">
        <f>F12+F14</f>
        <v>2.4089869999999998</v>
      </c>
      <c r="L5" s="1">
        <v>0</v>
      </c>
      <c r="M5" s="1">
        <f>+I5*0.001+G48</f>
        <v>84831.856471999999</v>
      </c>
      <c r="N5" s="1">
        <f>G47+J5*0.01</f>
        <v>1673.7559999999999</v>
      </c>
      <c r="O5" s="1">
        <f>J27+F40</f>
        <v>13652454.468522808</v>
      </c>
      <c r="P5" s="1">
        <f>P4</f>
        <v>455.6</v>
      </c>
      <c r="Q5" s="1">
        <f>E12+E14</f>
        <v>11.417</v>
      </c>
      <c r="R5" s="1">
        <v>0</v>
      </c>
      <c r="S5" s="1">
        <f>O5*0.001+F48</f>
        <v>370152.4544685228</v>
      </c>
      <c r="T5" s="1">
        <f>F47+P5*0.01</f>
        <v>6752.7559999999994</v>
      </c>
      <c r="U5" t="s">
        <v>671</v>
      </c>
    </row>
    <row r="6" spans="1:21" ht="15.75" thickBot="1" x14ac:dyDescent="0.3"/>
    <row r="7" spans="1:21" x14ac:dyDescent="0.25">
      <c r="A7" s="145" t="s">
        <v>86</v>
      </c>
      <c r="B7" s="146"/>
      <c r="C7" s="146"/>
      <c r="D7" s="146"/>
      <c r="E7" s="146"/>
      <c r="F7" s="146"/>
      <c r="G7" s="146"/>
      <c r="H7" s="146"/>
      <c r="I7" s="146"/>
      <c r="J7" s="146"/>
      <c r="K7" s="146"/>
      <c r="L7" s="146"/>
      <c r="M7" s="147"/>
    </row>
    <row r="8" spans="1:21" x14ac:dyDescent="0.25">
      <c r="A8" s="150"/>
      <c r="M8" s="149"/>
    </row>
    <row r="9" spans="1:21" x14ac:dyDescent="0.25">
      <c r="A9" s="148" t="s">
        <v>789</v>
      </c>
      <c r="M9" s="149"/>
    </row>
    <row r="10" spans="1:21" x14ac:dyDescent="0.25">
      <c r="A10" s="34"/>
      <c r="B10" s="1" t="s">
        <v>165</v>
      </c>
      <c r="C10" s="1"/>
      <c r="D10" s="1"/>
      <c r="E10" s="1" t="s">
        <v>368</v>
      </c>
      <c r="F10" s="1" t="s">
        <v>790</v>
      </c>
      <c r="G10" s="1"/>
      <c r="H10" s="1"/>
      <c r="M10" s="149"/>
    </row>
    <row r="11" spans="1:21" ht="15" customHeight="1" x14ac:dyDescent="0.25">
      <c r="A11" s="34" t="s">
        <v>791</v>
      </c>
      <c r="B11" s="1" t="s">
        <v>792</v>
      </c>
      <c r="C11" s="1">
        <v>6.1600000000000002E-2</v>
      </c>
      <c r="D11" s="1" t="s">
        <v>793</v>
      </c>
      <c r="E11" s="1">
        <f>C11</f>
        <v>6.1600000000000002E-2</v>
      </c>
      <c r="F11" s="1"/>
      <c r="G11" s="1"/>
      <c r="H11" s="268">
        <v>78</v>
      </c>
      <c r="K11" s="8"/>
      <c r="M11" s="149"/>
      <c r="N11" s="8"/>
      <c r="Q11" s="368"/>
    </row>
    <row r="12" spans="1:21" ht="30" x14ac:dyDescent="0.25">
      <c r="A12" s="105" t="s">
        <v>794</v>
      </c>
      <c r="B12" s="73" t="s">
        <v>190</v>
      </c>
      <c r="C12" s="1">
        <v>0.96699999999999997</v>
      </c>
      <c r="D12" s="94" t="s">
        <v>119</v>
      </c>
      <c r="E12" s="39">
        <f>C12</f>
        <v>0.96699999999999997</v>
      </c>
      <c r="F12" s="1">
        <f>E12*0.211</f>
        <v>0.204037</v>
      </c>
      <c r="G12" s="73"/>
      <c r="H12" s="3">
        <v>78</v>
      </c>
      <c r="K12" s="8"/>
      <c r="M12" s="149"/>
      <c r="N12" s="8"/>
      <c r="Q12" s="368"/>
    </row>
    <row r="13" spans="1:21" ht="15" customHeight="1" x14ac:dyDescent="0.25">
      <c r="A13" s="269" t="s">
        <v>32</v>
      </c>
      <c r="B13" s="1" t="s">
        <v>795</v>
      </c>
      <c r="C13" s="1">
        <f>0.985</f>
        <v>0.98499999999999999</v>
      </c>
      <c r="D13" s="1"/>
      <c r="E13" s="1"/>
      <c r="F13" s="1"/>
      <c r="G13" s="1" t="s">
        <v>796</v>
      </c>
      <c r="H13" s="1">
        <v>76</v>
      </c>
      <c r="K13" s="8"/>
      <c r="M13" s="149"/>
    </row>
    <row r="14" spans="1:21" ht="15" customHeight="1" x14ac:dyDescent="0.25">
      <c r="A14" s="116" t="s">
        <v>797</v>
      </c>
      <c r="B14" s="73" t="s">
        <v>190</v>
      </c>
      <c r="C14" s="1">
        <f>E14</f>
        <v>10.45</v>
      </c>
      <c r="D14" s="73" t="s">
        <v>190</v>
      </c>
      <c r="E14" s="39">
        <v>10.45</v>
      </c>
      <c r="F14" s="1">
        <v>2.2049499999999997</v>
      </c>
      <c r="G14" s="1" t="s">
        <v>798</v>
      </c>
      <c r="H14" s="1">
        <v>78</v>
      </c>
      <c r="K14" s="8"/>
      <c r="M14" s="149"/>
    </row>
    <row r="15" spans="1:21" ht="15" customHeight="1" x14ac:dyDescent="0.25">
      <c r="A15" s="105" t="s">
        <v>799</v>
      </c>
      <c r="B15" s="73"/>
      <c r="C15" s="1">
        <v>1</v>
      </c>
      <c r="D15" s="73"/>
      <c r="E15" s="1"/>
      <c r="F15" s="1"/>
      <c r="G15" s="1" t="s">
        <v>800</v>
      </c>
      <c r="H15" s="1"/>
      <c r="M15" s="149"/>
    </row>
    <row r="16" spans="1:21" ht="15" customHeight="1" x14ac:dyDescent="0.25">
      <c r="A16" s="34" t="s">
        <v>801</v>
      </c>
      <c r="B16" s="1" t="s">
        <v>802</v>
      </c>
      <c r="C16" s="1">
        <f>50*1000*365</f>
        <v>18250000</v>
      </c>
      <c r="D16" s="1"/>
      <c r="E16" s="1"/>
      <c r="F16" s="1"/>
      <c r="G16" s="1"/>
      <c r="H16" s="1">
        <v>82</v>
      </c>
      <c r="M16" s="149"/>
    </row>
    <row r="17" spans="1:15" ht="15" customHeight="1" x14ac:dyDescent="0.25">
      <c r="A17" s="291" t="s">
        <v>803</v>
      </c>
      <c r="B17" s="282">
        <v>20</v>
      </c>
      <c r="C17" s="282"/>
      <c r="D17" s="282"/>
      <c r="E17" s="282"/>
      <c r="F17" s="282"/>
      <c r="G17" s="282"/>
      <c r="H17" s="282">
        <v>87</v>
      </c>
      <c r="M17" s="149"/>
    </row>
    <row r="18" spans="1:15" ht="15" customHeight="1" x14ac:dyDescent="0.25">
      <c r="A18" s="34" t="s">
        <v>115</v>
      </c>
      <c r="B18" s="1" t="s">
        <v>848</v>
      </c>
      <c r="C18" s="1"/>
      <c r="D18" s="1"/>
      <c r="E18" s="1"/>
      <c r="F18" s="1"/>
      <c r="G18" s="1" t="s">
        <v>849</v>
      </c>
      <c r="H18" s="71"/>
      <c r="M18" s="149"/>
    </row>
    <row r="19" spans="1:15" ht="15.75" thickBot="1" x14ac:dyDescent="0.3">
      <c r="A19" s="156"/>
      <c r="B19" s="157"/>
      <c r="C19" s="157"/>
      <c r="D19" s="157"/>
      <c r="E19" s="157"/>
      <c r="F19" s="157"/>
      <c r="G19" s="157"/>
      <c r="H19" s="157"/>
      <c r="I19" s="157"/>
      <c r="J19" s="157"/>
      <c r="K19" s="157"/>
      <c r="L19" s="157"/>
      <c r="M19" s="158"/>
    </row>
    <row r="20" spans="1:15" ht="15.75" thickBot="1" x14ac:dyDescent="0.3">
      <c r="A20" s="21"/>
      <c r="L20" s="157"/>
      <c r="M20" s="157"/>
      <c r="N20" s="157"/>
    </row>
    <row r="21" spans="1:15" x14ac:dyDescent="0.25">
      <c r="A21" s="175"/>
      <c r="B21" s="146"/>
      <c r="C21" s="146"/>
      <c r="D21" s="146"/>
      <c r="E21" s="146"/>
      <c r="F21" s="146"/>
      <c r="G21" s="146"/>
      <c r="H21" s="146"/>
      <c r="I21" s="146"/>
      <c r="J21" s="146"/>
      <c r="K21" s="146"/>
      <c r="O21" s="147"/>
    </row>
    <row r="22" spans="1:15" x14ac:dyDescent="0.25">
      <c r="A22" s="150" t="s">
        <v>804</v>
      </c>
      <c r="O22" s="149"/>
    </row>
    <row r="23" spans="1:15" x14ac:dyDescent="0.25">
      <c r="A23" s="148"/>
      <c r="O23" s="149"/>
    </row>
    <row r="24" spans="1:15" x14ac:dyDescent="0.25">
      <c r="A24" s="34"/>
      <c r="B24" s="1"/>
      <c r="C24" s="1" t="s">
        <v>165</v>
      </c>
      <c r="D24" s="1"/>
      <c r="E24" s="1" t="s">
        <v>805</v>
      </c>
      <c r="F24" s="1" t="s">
        <v>26</v>
      </c>
      <c r="G24" s="1" t="s">
        <v>806</v>
      </c>
      <c r="H24" s="1" t="s">
        <v>138</v>
      </c>
      <c r="I24" s="1" t="s">
        <v>139</v>
      </c>
      <c r="J24" s="1" t="s">
        <v>138</v>
      </c>
      <c r="K24" s="1" t="s">
        <v>139</v>
      </c>
      <c r="L24" s="1" t="s">
        <v>538</v>
      </c>
      <c r="M24" s="1" t="s">
        <v>807</v>
      </c>
      <c r="O24" s="149"/>
    </row>
    <row r="25" spans="1:15" x14ac:dyDescent="0.25">
      <c r="A25" s="269" t="s">
        <v>808</v>
      </c>
      <c r="B25" s="1" t="s">
        <v>607</v>
      </c>
      <c r="C25" s="1" t="s">
        <v>809</v>
      </c>
      <c r="D25" s="1">
        <v>32</v>
      </c>
      <c r="E25" s="1">
        <f>D25*10^-6</f>
        <v>3.1999999999999999E-5</v>
      </c>
      <c r="F25" s="1">
        <v>82</v>
      </c>
      <c r="G25" s="1">
        <f>E25*B$17*C$16</f>
        <v>11679.999999999998</v>
      </c>
      <c r="H25" s="1">
        <f>E25*[1]Sheet1!$M$12</f>
        <v>1.7912099519999999E-3</v>
      </c>
      <c r="I25" s="1">
        <f>E25*[1]Sheet1!$L$12</f>
        <v>4.1840000000000003E-4</v>
      </c>
      <c r="J25" s="1">
        <f>H25*C$16*B$17</f>
        <v>653791.63247999991</v>
      </c>
      <c r="K25" s="1">
        <f>I25*C$16*B$17</f>
        <v>152716</v>
      </c>
      <c r="L25" s="1" t="s">
        <v>810</v>
      </c>
      <c r="M25" s="1">
        <v>24</v>
      </c>
      <c r="O25" s="149"/>
    </row>
    <row r="26" spans="1:15" x14ac:dyDescent="0.25">
      <c r="A26" s="269"/>
      <c r="B26" s="1" t="s">
        <v>811</v>
      </c>
      <c r="C26" s="1" t="s">
        <v>812</v>
      </c>
      <c r="D26" s="1">
        <v>161</v>
      </c>
      <c r="E26" s="1">
        <f>D26*10^-9</f>
        <v>1.61E-7</v>
      </c>
      <c r="F26" s="1">
        <v>82</v>
      </c>
      <c r="G26" s="1">
        <f t="shared" ref="G26:G28" si="0">E26*B$17*C$16</f>
        <v>58.765000000000001</v>
      </c>
      <c r="H26" s="1">
        <f>E26*[1]Sheet1!$M$10</f>
        <v>5.0092895999999998E-2</v>
      </c>
      <c r="I26" s="1">
        <f>E26*[1]Sheet1!$L$10</f>
        <v>2.2379000000000001E-3</v>
      </c>
      <c r="J26" s="1">
        <f t="shared" ref="J26:J27" si="1">H26*C$16*B$17</f>
        <v>18283907.039999999</v>
      </c>
      <c r="K26" s="1">
        <f t="shared" ref="K26:K27" si="2">I26*C$16*B$17</f>
        <v>816833.5</v>
      </c>
      <c r="L26" s="1" t="s">
        <v>810</v>
      </c>
      <c r="M26" s="1">
        <v>24</v>
      </c>
      <c r="O26" s="149"/>
    </row>
    <row r="27" spans="1:15" x14ac:dyDescent="0.25">
      <c r="A27" s="269" t="s">
        <v>813</v>
      </c>
      <c r="B27" s="73"/>
      <c r="C27" s="1" t="s">
        <v>809</v>
      </c>
      <c r="D27" s="1">
        <v>320</v>
      </c>
      <c r="E27" s="1">
        <f>D27*10^-6</f>
        <v>3.1999999999999997E-4</v>
      </c>
      <c r="F27" s="1">
        <v>82</v>
      </c>
      <c r="G27" s="1">
        <f t="shared" si="0"/>
        <v>116799.99999999999</v>
      </c>
      <c r="H27" s="1">
        <f>E27*1.2048*10^2*0.2778</f>
        <v>1.0710190079999999E-2</v>
      </c>
      <c r="I27" s="1">
        <f>E27*6.352</f>
        <v>2.0326400000000001E-3</v>
      </c>
      <c r="J27" s="1">
        <f t="shared" si="1"/>
        <v>3909219.3791999999</v>
      </c>
      <c r="K27" s="1">
        <f t="shared" si="2"/>
        <v>741913.59999999998</v>
      </c>
      <c r="L27" s="1" t="s">
        <v>814</v>
      </c>
      <c r="M27" s="1">
        <v>56</v>
      </c>
      <c r="O27" s="149"/>
    </row>
    <row r="28" spans="1:15" x14ac:dyDescent="0.25">
      <c r="A28" s="269" t="s">
        <v>815</v>
      </c>
      <c r="B28" s="73"/>
      <c r="C28" s="1" t="s">
        <v>809</v>
      </c>
      <c r="D28" s="1">
        <v>166</v>
      </c>
      <c r="E28" s="1">
        <f>D28*10^-6</f>
        <v>1.66E-4</v>
      </c>
      <c r="F28" s="1">
        <v>82</v>
      </c>
      <c r="G28" s="1">
        <f t="shared" si="0"/>
        <v>60590</v>
      </c>
      <c r="H28" s="1">
        <v>0</v>
      </c>
      <c r="I28" s="1"/>
      <c r="J28" s="1"/>
      <c r="K28" s="1"/>
      <c r="L28" s="1" t="s">
        <v>1155</v>
      </c>
      <c r="M28" s="2"/>
      <c r="O28" s="149"/>
    </row>
    <row r="29" spans="1:15" x14ac:dyDescent="0.25">
      <c r="A29" s="34"/>
      <c r="B29" s="1"/>
      <c r="C29" s="1"/>
      <c r="D29" s="1"/>
      <c r="E29" s="1"/>
      <c r="F29" s="1"/>
      <c r="G29" s="1"/>
      <c r="H29" s="1"/>
      <c r="I29" s="1"/>
      <c r="J29" s="1"/>
      <c r="K29" s="1"/>
      <c r="L29" s="1"/>
      <c r="M29" s="1"/>
      <c r="O29" s="149"/>
    </row>
    <row r="30" spans="1:15" x14ac:dyDescent="0.25">
      <c r="A30" s="270" t="s">
        <v>365</v>
      </c>
      <c r="B30" s="12"/>
      <c r="C30" s="12"/>
      <c r="D30" s="12"/>
      <c r="E30" s="12"/>
      <c r="F30" s="1"/>
      <c r="G30" s="12">
        <f>SUM(G25:G28)</f>
        <v>189128.76499999998</v>
      </c>
      <c r="H30" s="12"/>
      <c r="I30" s="12"/>
      <c r="J30" s="271">
        <f>SUM(J25:J27)</f>
        <v>22846918.051679999</v>
      </c>
      <c r="K30" s="271">
        <f>SUM(K25:K27)</f>
        <v>1711463.1</v>
      </c>
      <c r="L30" s="1"/>
      <c r="M30" s="1"/>
      <c r="O30" s="149"/>
    </row>
    <row r="31" spans="1:15" x14ac:dyDescent="0.25">
      <c r="A31" s="148"/>
      <c r="O31" s="149"/>
    </row>
    <row r="32" spans="1:15" x14ac:dyDescent="0.25">
      <c r="A32" s="150" t="s">
        <v>137</v>
      </c>
      <c r="O32" s="149"/>
    </row>
    <row r="33" spans="1:15" x14ac:dyDescent="0.25">
      <c r="A33" s="265"/>
      <c r="B33" s="23"/>
      <c r="C33" s="23"/>
      <c r="D33" s="23"/>
      <c r="E33" s="23"/>
      <c r="F33" s="23"/>
      <c r="O33" s="149"/>
    </row>
    <row r="34" spans="1:15" x14ac:dyDescent="0.25">
      <c r="A34" s="148" t="s">
        <v>816</v>
      </c>
      <c r="O34" s="149"/>
    </row>
    <row r="35" spans="1:15" x14ac:dyDescent="0.25">
      <c r="A35" s="148"/>
      <c r="F35" t="s">
        <v>138</v>
      </c>
      <c r="G35" t="s">
        <v>139</v>
      </c>
      <c r="O35" s="149"/>
    </row>
    <row r="36" spans="1:15" x14ac:dyDescent="0.25">
      <c r="A36" s="34" t="s">
        <v>140</v>
      </c>
      <c r="B36" s="1" t="s">
        <v>141</v>
      </c>
      <c r="C36" s="1">
        <v>2</v>
      </c>
      <c r="D36" s="1" t="s">
        <v>142</v>
      </c>
      <c r="E36" s="17">
        <v>2</v>
      </c>
      <c r="F36" s="16">
        <f>113.9*C36</f>
        <v>227.8</v>
      </c>
      <c r="G36" s="16">
        <f>29.9*2</f>
        <v>59.8</v>
      </c>
      <c r="H36" s="1" t="s">
        <v>279</v>
      </c>
      <c r="I36" s="71" t="s">
        <v>1128</v>
      </c>
      <c r="O36" s="149"/>
    </row>
    <row r="37" spans="1:15" x14ac:dyDescent="0.25">
      <c r="A37" s="34" t="s">
        <v>144</v>
      </c>
      <c r="B37" s="1" t="s">
        <v>141</v>
      </c>
      <c r="C37" s="1">
        <v>2</v>
      </c>
      <c r="D37" s="1"/>
      <c r="E37" s="17">
        <v>2</v>
      </c>
      <c r="F37" s="16">
        <f>113.9*C37</f>
        <v>227.8</v>
      </c>
      <c r="G37" s="16">
        <f>29.9*2</f>
        <v>59.8</v>
      </c>
      <c r="H37" s="1" t="s">
        <v>145</v>
      </c>
      <c r="I37" s="71" t="s">
        <v>1128</v>
      </c>
      <c r="O37" s="149"/>
    </row>
    <row r="38" spans="1:15" x14ac:dyDescent="0.25">
      <c r="A38" s="148"/>
      <c r="O38" s="149"/>
    </row>
    <row r="39" spans="1:15" x14ac:dyDescent="0.25">
      <c r="A39" s="34" t="s">
        <v>146</v>
      </c>
      <c r="B39" s="1" t="s">
        <v>147</v>
      </c>
      <c r="C39" s="1">
        <v>200</v>
      </c>
      <c r="D39" s="1" t="s">
        <v>148</v>
      </c>
      <c r="E39" s="1"/>
      <c r="F39" s="17">
        <f>G39/0.2407</f>
        <v>9743235.0893228073</v>
      </c>
      <c r="G39" s="17">
        <f>C39*62/1000*G30</f>
        <v>2345196.6859999998</v>
      </c>
      <c r="H39" s="1" t="s">
        <v>280</v>
      </c>
      <c r="I39" s="71" t="s">
        <v>1124</v>
      </c>
      <c r="O39" s="149"/>
    </row>
    <row r="40" spans="1:15" x14ac:dyDescent="0.25">
      <c r="A40" s="34" t="s">
        <v>150</v>
      </c>
      <c r="B40" s="1" t="s">
        <v>147</v>
      </c>
      <c r="C40" s="1">
        <v>200</v>
      </c>
      <c r="D40" s="1" t="s">
        <v>148</v>
      </c>
      <c r="E40" s="1"/>
      <c r="F40" s="17">
        <f>G40/0.2407</f>
        <v>9743235.0893228073</v>
      </c>
      <c r="G40" s="17">
        <f>C40*62/1000*G30</f>
        <v>2345196.6859999998</v>
      </c>
      <c r="H40" s="1" t="s">
        <v>280</v>
      </c>
      <c r="I40" s="71" t="s">
        <v>1124</v>
      </c>
      <c r="O40" s="149"/>
    </row>
    <row r="41" spans="1:15" ht="15.75" thickBot="1" x14ac:dyDescent="0.3">
      <c r="A41" s="156"/>
      <c r="B41" s="157"/>
      <c r="C41" s="157"/>
      <c r="D41" s="157"/>
      <c r="E41" s="157"/>
      <c r="F41" s="157"/>
      <c r="G41" s="157"/>
      <c r="H41" s="157"/>
      <c r="I41" s="157"/>
      <c r="J41" s="157"/>
      <c r="K41" s="157"/>
      <c r="L41" s="157"/>
      <c r="M41" s="157"/>
      <c r="N41" s="157"/>
      <c r="O41" s="158"/>
    </row>
    <row r="42" spans="1:15" ht="15.75" thickBot="1" x14ac:dyDescent="0.3"/>
    <row r="43" spans="1:15" x14ac:dyDescent="0.25">
      <c r="A43" s="145" t="s">
        <v>87</v>
      </c>
      <c r="B43" s="146"/>
      <c r="C43" s="146"/>
      <c r="D43" s="146"/>
      <c r="E43" s="146"/>
      <c r="F43" s="146"/>
      <c r="G43" s="146"/>
      <c r="H43" s="146"/>
      <c r="I43" s="146"/>
      <c r="J43" s="147"/>
    </row>
    <row r="44" spans="1:15" x14ac:dyDescent="0.25">
      <c r="A44" s="148"/>
      <c r="J44" s="149"/>
    </row>
    <row r="45" spans="1:15" x14ac:dyDescent="0.25">
      <c r="A45" s="150" t="s">
        <v>152</v>
      </c>
      <c r="F45" t="s">
        <v>153</v>
      </c>
      <c r="G45" t="s">
        <v>154</v>
      </c>
      <c r="J45" s="149"/>
    </row>
    <row r="46" spans="1:15" x14ac:dyDescent="0.25">
      <c r="A46" s="34" t="s">
        <v>155</v>
      </c>
      <c r="B46" s="1" t="s">
        <v>156</v>
      </c>
      <c r="C46" s="19">
        <v>115</v>
      </c>
      <c r="D46" s="1"/>
      <c r="E46" s="1"/>
      <c r="F46" s="1"/>
      <c r="G46" s="1"/>
      <c r="H46" s="1" t="s">
        <v>759</v>
      </c>
      <c r="I46" s="1">
        <v>83</v>
      </c>
      <c r="J46" s="149"/>
    </row>
    <row r="47" spans="1:15" x14ac:dyDescent="0.25">
      <c r="A47" s="272" t="s">
        <v>157</v>
      </c>
      <c r="B47" s="1" t="s">
        <v>158</v>
      </c>
      <c r="C47" s="1"/>
      <c r="D47" s="1" t="s">
        <v>142</v>
      </c>
      <c r="E47" s="1"/>
      <c r="F47" s="16">
        <f>1.63*C46*18*2</f>
        <v>6748.2</v>
      </c>
      <c r="G47" s="16">
        <f>0.404*C46*18*2</f>
        <v>1672.56</v>
      </c>
      <c r="H47" s="1" t="s">
        <v>760</v>
      </c>
      <c r="I47" s="1" t="s">
        <v>1131</v>
      </c>
      <c r="J47" s="149"/>
    </row>
    <row r="48" spans="1:15" x14ac:dyDescent="0.25">
      <c r="A48" s="272" t="s">
        <v>159</v>
      </c>
      <c r="B48" s="1" t="s">
        <v>160</v>
      </c>
      <c r="C48" s="1">
        <v>15.5</v>
      </c>
      <c r="D48" s="1" t="s">
        <v>164</v>
      </c>
      <c r="E48" s="1"/>
      <c r="F48" s="17">
        <f>G48/0.22</f>
        <v>356500</v>
      </c>
      <c r="G48" s="17">
        <f>C48*C46*44</f>
        <v>78430</v>
      </c>
      <c r="H48" s="1" t="s">
        <v>761</v>
      </c>
      <c r="I48" s="1" t="s">
        <v>1127</v>
      </c>
      <c r="J48" s="149"/>
    </row>
    <row r="49" spans="1:10" x14ac:dyDescent="0.25">
      <c r="A49" s="148"/>
      <c r="J49" s="149"/>
    </row>
    <row r="50" spans="1:10" x14ac:dyDescent="0.25">
      <c r="A50" s="107" t="s">
        <v>268</v>
      </c>
      <c r="B50" s="1" t="s">
        <v>269</v>
      </c>
      <c r="C50" s="1" t="s">
        <v>8</v>
      </c>
      <c r="J50" s="149"/>
    </row>
    <row r="51" spans="1:10" x14ac:dyDescent="0.25">
      <c r="A51" s="34" t="s">
        <v>270</v>
      </c>
      <c r="B51" s="1" t="s">
        <v>271</v>
      </c>
      <c r="C51" s="1">
        <v>33</v>
      </c>
      <c r="J51" s="149"/>
    </row>
    <row r="52" spans="1:10" x14ac:dyDescent="0.25">
      <c r="A52" s="148"/>
      <c r="J52" s="149"/>
    </row>
    <row r="53" spans="1:10" x14ac:dyDescent="0.25">
      <c r="A53" s="148"/>
      <c r="J53" s="149"/>
    </row>
    <row r="54" spans="1:10" x14ac:dyDescent="0.25">
      <c r="A54" s="148"/>
      <c r="J54" s="149"/>
    </row>
    <row r="55" spans="1:10" ht="15.75" thickBot="1" x14ac:dyDescent="0.3">
      <c r="A55" s="156"/>
      <c r="B55" s="157"/>
      <c r="C55" s="157"/>
      <c r="D55" s="157"/>
      <c r="E55" s="157"/>
      <c r="F55" s="157"/>
      <c r="G55" s="157"/>
      <c r="H55" s="157"/>
      <c r="I55" s="157"/>
      <c r="J55" s="158"/>
    </row>
  </sheetData>
  <mergeCells count="3">
    <mergeCell ref="I2:N2"/>
    <mergeCell ref="O2:T2"/>
    <mergeCell ref="Q11:Q1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83829-EA61-41C9-BF4B-5FBC7E0715F7}">
  <dimension ref="A2:W58"/>
  <sheetViews>
    <sheetView zoomScale="70" zoomScaleNormal="70" workbookViewId="0">
      <selection activeCell="D55" sqref="D55"/>
    </sheetView>
  </sheetViews>
  <sheetFormatPr defaultRowHeight="15" x14ac:dyDescent="0.25"/>
  <cols>
    <col min="2" max="2" width="37" customWidth="1"/>
    <col min="3" max="3" width="43.85546875" bestFit="1" customWidth="1"/>
    <col min="4" max="4" width="14.42578125" customWidth="1"/>
    <col min="6" max="6" width="12" bestFit="1" customWidth="1"/>
    <col min="7" max="8" width="12.42578125" bestFit="1" customWidth="1"/>
    <col min="9" max="9" width="12" bestFit="1" customWidth="1"/>
    <col min="10" max="10" width="11.7109375" bestFit="1" customWidth="1"/>
    <col min="16" max="16" width="11.7109375" bestFit="1" customWidth="1"/>
    <col min="23" max="23" width="10.5703125" customWidth="1"/>
  </cols>
  <sheetData>
    <row r="2" spans="1:23" x14ac:dyDescent="0.25">
      <c r="J2" s="381" t="s">
        <v>89</v>
      </c>
      <c r="K2" s="381"/>
      <c r="L2" s="381"/>
      <c r="M2" s="381"/>
      <c r="N2" s="381"/>
      <c r="O2" s="381"/>
      <c r="P2" s="381" t="s">
        <v>90</v>
      </c>
      <c r="Q2" s="381"/>
      <c r="R2" s="381"/>
      <c r="S2" s="381"/>
      <c r="T2" s="381"/>
      <c r="U2" s="381"/>
      <c r="V2" s="381" t="s">
        <v>817</v>
      </c>
      <c r="W2" s="382" t="s">
        <v>46</v>
      </c>
    </row>
    <row r="3" spans="1:23" x14ac:dyDescent="0.25">
      <c r="B3" s="12" t="s">
        <v>5</v>
      </c>
      <c r="C3" s="12" t="s">
        <v>7</v>
      </c>
      <c r="D3" s="12" t="s">
        <v>188</v>
      </c>
      <c r="E3" s="12" t="s">
        <v>30</v>
      </c>
      <c r="F3" s="12" t="s">
        <v>82</v>
      </c>
      <c r="G3" s="12" t="s">
        <v>32</v>
      </c>
      <c r="H3" s="12" t="s">
        <v>6</v>
      </c>
      <c r="I3" s="12" t="s">
        <v>83</v>
      </c>
      <c r="J3" s="12" t="s">
        <v>84</v>
      </c>
      <c r="K3" s="12" t="s">
        <v>85</v>
      </c>
      <c r="L3" s="12" t="s">
        <v>86</v>
      </c>
      <c r="M3" s="12" t="s">
        <v>85</v>
      </c>
      <c r="N3" s="12" t="s">
        <v>87</v>
      </c>
      <c r="O3" s="12" t="s">
        <v>85</v>
      </c>
      <c r="P3" s="12" t="s">
        <v>84</v>
      </c>
      <c r="Q3" s="12" t="s">
        <v>85</v>
      </c>
      <c r="R3" s="12" t="s">
        <v>86</v>
      </c>
      <c r="S3" s="12" t="s">
        <v>85</v>
      </c>
      <c r="T3" s="12" t="s">
        <v>87</v>
      </c>
      <c r="U3" s="12" t="s">
        <v>85</v>
      </c>
      <c r="V3" s="381"/>
      <c r="W3" s="383"/>
    </row>
    <row r="4" spans="1:23" x14ac:dyDescent="0.25">
      <c r="B4" s="1" t="s">
        <v>818</v>
      </c>
      <c r="C4" s="1" t="s">
        <v>13</v>
      </c>
      <c r="D4" s="194">
        <f>D17</f>
        <v>9117217.7119881157</v>
      </c>
      <c r="E4" s="1">
        <v>1</v>
      </c>
      <c r="F4" s="1">
        <v>25</v>
      </c>
      <c r="G4" s="1">
        <f>D14</f>
        <v>0.95238095238095233</v>
      </c>
      <c r="H4" s="1" t="s">
        <v>12</v>
      </c>
      <c r="I4" s="1" t="s">
        <v>706</v>
      </c>
      <c r="J4" s="1">
        <f>I36</f>
        <v>2441646.2898353268</v>
      </c>
      <c r="K4" s="1">
        <f>H39+H40</f>
        <v>119.6</v>
      </c>
      <c r="L4" s="1">
        <f>G12+G15</f>
        <v>0</v>
      </c>
      <c r="M4" s="1">
        <v>0</v>
      </c>
      <c r="N4" s="1">
        <f>J4*0.001+H$52</f>
        <v>80871.64628983532</v>
      </c>
      <c r="O4" s="1">
        <f>K4*0.001+H$51</f>
        <v>1672.6795999999999</v>
      </c>
      <c r="P4" s="1">
        <f>H36</f>
        <v>10353970.887720995</v>
      </c>
      <c r="Q4" s="1">
        <f>G39+G40</f>
        <v>455.6</v>
      </c>
      <c r="R4" s="1">
        <f>F12+F15</f>
        <v>24.790000000000003</v>
      </c>
      <c r="S4" s="1">
        <v>0</v>
      </c>
      <c r="T4" s="1">
        <f>P4*0.001+G$52</f>
        <v>366853.97088772099</v>
      </c>
      <c r="U4" s="1">
        <f>Q4*0.001+G$51</f>
        <v>6748.6556</v>
      </c>
      <c r="V4" s="1" t="s">
        <v>630</v>
      </c>
      <c r="W4" s="1">
        <f>D$19</f>
        <v>0</v>
      </c>
    </row>
    <row r="5" spans="1:23" x14ac:dyDescent="0.25">
      <c r="B5" s="1" t="s">
        <v>818</v>
      </c>
      <c r="C5" s="1" t="s">
        <v>23</v>
      </c>
      <c r="D5" s="194">
        <f>D17</f>
        <v>9117217.7119881157</v>
      </c>
      <c r="E5" s="1">
        <v>1</v>
      </c>
      <c r="F5" s="1">
        <v>25</v>
      </c>
      <c r="G5" s="1">
        <f>D14</f>
        <v>0.95238095238095233</v>
      </c>
      <c r="H5" s="1" t="s">
        <v>12</v>
      </c>
      <c r="I5" s="1" t="s">
        <v>706</v>
      </c>
      <c r="J5" s="1">
        <f>I36</f>
        <v>2441646.2898353268</v>
      </c>
      <c r="K5" s="1">
        <f>K4</f>
        <v>119.6</v>
      </c>
      <c r="L5" s="1">
        <f>G13+G16</f>
        <v>5.2306900000000001</v>
      </c>
      <c r="M5" s="1">
        <v>0</v>
      </c>
      <c r="N5" s="1">
        <f>J5*0.001+H$52</f>
        <v>80871.64628983532</v>
      </c>
      <c r="O5" s="1">
        <f>K5*0.001+H$51</f>
        <v>1672.6795999999999</v>
      </c>
      <c r="P5" s="1">
        <f>H36</f>
        <v>10353970.887720995</v>
      </c>
      <c r="Q5" s="1">
        <f>Q4</f>
        <v>455.6</v>
      </c>
      <c r="R5" s="1">
        <f>F13+F15</f>
        <v>24.790000000000003</v>
      </c>
      <c r="S5" s="1">
        <v>0</v>
      </c>
      <c r="T5" s="1">
        <f>P5*0.001+G$52</f>
        <v>366853.97088772099</v>
      </c>
      <c r="U5" s="1">
        <f>Q5*0.001+G$51</f>
        <v>6748.6556</v>
      </c>
      <c r="V5" s="1" t="s">
        <v>630</v>
      </c>
      <c r="W5" s="1">
        <f>D$19</f>
        <v>0</v>
      </c>
    </row>
    <row r="6" spans="1:23" x14ac:dyDescent="0.25">
      <c r="B6" s="1" t="s">
        <v>819</v>
      </c>
      <c r="C6" s="1" t="s">
        <v>13</v>
      </c>
      <c r="D6" s="194">
        <f>D17</f>
        <v>9117217.7119881157</v>
      </c>
      <c r="E6" s="1">
        <v>1</v>
      </c>
      <c r="F6" s="1">
        <v>25</v>
      </c>
      <c r="G6" s="1">
        <f>D14</f>
        <v>0.95238095238095233</v>
      </c>
      <c r="H6" s="1" t="s">
        <v>12</v>
      </c>
      <c r="I6" s="1" t="s">
        <v>706</v>
      </c>
      <c r="J6" s="1">
        <f>I36</f>
        <v>2441646.2898353268</v>
      </c>
      <c r="K6" s="1">
        <f>H39+H40</f>
        <v>119.6</v>
      </c>
      <c r="L6" s="1">
        <f>G12</f>
        <v>0</v>
      </c>
      <c r="M6" s="1">
        <v>0</v>
      </c>
      <c r="N6" s="1">
        <f>J6*0.001+H$52</f>
        <v>80871.64628983532</v>
      </c>
      <c r="O6" s="1">
        <f>K6*0.001+H$51</f>
        <v>1672.6795999999999</v>
      </c>
      <c r="P6" s="1">
        <f>H36</f>
        <v>10353970.887720995</v>
      </c>
      <c r="Q6" s="1">
        <f>G39+G40</f>
        <v>455.6</v>
      </c>
      <c r="R6" s="1">
        <f>F12</f>
        <v>16.850000000000001</v>
      </c>
      <c r="S6" s="1">
        <v>0</v>
      </c>
      <c r="T6" s="1">
        <f>P6*0.001+G$52</f>
        <v>366853.97088772099</v>
      </c>
      <c r="U6" s="1">
        <f>Q6*0.001+G$51</f>
        <v>6748.6556</v>
      </c>
      <c r="V6" s="1" t="s">
        <v>632</v>
      </c>
      <c r="W6" s="1">
        <f>D$19</f>
        <v>0</v>
      </c>
    </row>
    <row r="7" spans="1:23" x14ac:dyDescent="0.25">
      <c r="B7" s="1" t="s">
        <v>819</v>
      </c>
      <c r="C7" s="1" t="s">
        <v>23</v>
      </c>
      <c r="D7" s="194">
        <f>D17</f>
        <v>9117217.7119881157</v>
      </c>
      <c r="E7" s="1">
        <v>1</v>
      </c>
      <c r="F7" s="1">
        <v>25</v>
      </c>
      <c r="G7" s="1">
        <f>D14</f>
        <v>0.95238095238095233</v>
      </c>
      <c r="H7" s="1" t="s">
        <v>12</v>
      </c>
      <c r="I7" s="1" t="s">
        <v>706</v>
      </c>
      <c r="J7" s="194">
        <f>I36</f>
        <v>2441646.2898353268</v>
      </c>
      <c r="K7" s="1">
        <f>K6</f>
        <v>119.6</v>
      </c>
      <c r="L7" s="1">
        <f>G13</f>
        <v>3.5553500000000002</v>
      </c>
      <c r="M7" s="1">
        <v>0</v>
      </c>
      <c r="N7" s="194">
        <f>J7*0.001+H$52</f>
        <v>80871.64628983532</v>
      </c>
      <c r="O7" s="1">
        <f>K7*0.001+H$51</f>
        <v>1672.6795999999999</v>
      </c>
      <c r="P7" s="1">
        <f>H36</f>
        <v>10353970.887720995</v>
      </c>
      <c r="Q7" s="1">
        <f>Q6</f>
        <v>455.6</v>
      </c>
      <c r="R7" s="1">
        <f>F13</f>
        <v>16.850000000000001</v>
      </c>
      <c r="S7" s="1">
        <v>0</v>
      </c>
      <c r="T7" s="1">
        <f>P7*0.001+G$52</f>
        <v>366853.97088772099</v>
      </c>
      <c r="U7" s="1">
        <f>Q7*0.001+G$51</f>
        <v>6748.6556</v>
      </c>
      <c r="V7" s="1" t="s">
        <v>632</v>
      </c>
      <c r="W7" s="1">
        <f>D$19</f>
        <v>0</v>
      </c>
    </row>
    <row r="8" spans="1:23" ht="15.75" thickBot="1" x14ac:dyDescent="0.3"/>
    <row r="9" spans="1:23" x14ac:dyDescent="0.25">
      <c r="A9" s="175"/>
      <c r="B9" s="146"/>
      <c r="C9" s="146"/>
      <c r="D9" s="146"/>
      <c r="E9" s="146"/>
      <c r="F9" s="146"/>
      <c r="G9" s="146"/>
      <c r="H9" s="146"/>
      <c r="I9" s="146"/>
      <c r="J9" s="146"/>
      <c r="K9" s="147"/>
    </row>
    <row r="10" spans="1:23" x14ac:dyDescent="0.25">
      <c r="A10" s="148"/>
      <c r="B10" s="12" t="s">
        <v>86</v>
      </c>
      <c r="C10" s="12" t="s">
        <v>165</v>
      </c>
      <c r="D10" s="12" t="s">
        <v>709</v>
      </c>
      <c r="E10" s="12" t="s">
        <v>165</v>
      </c>
      <c r="F10" s="12" t="s">
        <v>368</v>
      </c>
      <c r="G10" s="12" t="s">
        <v>228</v>
      </c>
      <c r="H10" s="12"/>
      <c r="I10" s="12" t="s">
        <v>8</v>
      </c>
      <c r="K10" s="149"/>
    </row>
    <row r="11" spans="1:23" x14ac:dyDescent="0.25">
      <c r="A11" s="148"/>
      <c r="B11" s="1" t="s">
        <v>820</v>
      </c>
      <c r="C11" s="1" t="s">
        <v>302</v>
      </c>
      <c r="D11" s="1">
        <v>0.17799999999999999</v>
      </c>
      <c r="E11" s="1"/>
      <c r="F11" s="1">
        <f>3/17</f>
        <v>0.17647058823529413</v>
      </c>
      <c r="G11" s="1"/>
      <c r="H11" s="1"/>
      <c r="I11" s="1">
        <v>78</v>
      </c>
      <c r="K11" s="149"/>
    </row>
    <row r="12" spans="1:23" x14ac:dyDescent="0.25">
      <c r="A12" s="148"/>
      <c r="B12" s="1" t="s">
        <v>821</v>
      </c>
      <c r="C12" s="1" t="s">
        <v>190</v>
      </c>
      <c r="D12" s="1">
        <f>(11.2+22.5)/2</f>
        <v>16.850000000000001</v>
      </c>
      <c r="E12" s="9" t="s">
        <v>822</v>
      </c>
      <c r="F12" s="39">
        <f>D12</f>
        <v>16.850000000000001</v>
      </c>
      <c r="G12" s="1">
        <v>0</v>
      </c>
      <c r="H12" s="1" t="s">
        <v>823</v>
      </c>
      <c r="I12" s="1">
        <v>78</v>
      </c>
      <c r="K12" s="149"/>
    </row>
    <row r="13" spans="1:23" x14ac:dyDescent="0.25">
      <c r="A13" s="148"/>
      <c r="B13" s="1" t="s">
        <v>821</v>
      </c>
      <c r="C13" s="32" t="s">
        <v>190</v>
      </c>
      <c r="D13" s="32"/>
      <c r="E13" s="273" t="s">
        <v>824</v>
      </c>
      <c r="F13" s="77">
        <f>F12</f>
        <v>16.850000000000001</v>
      </c>
      <c r="G13" s="32">
        <f>F13*0.211</f>
        <v>3.5553500000000002</v>
      </c>
      <c r="H13" s="1" t="s">
        <v>823</v>
      </c>
      <c r="I13" s="1">
        <v>78</v>
      </c>
      <c r="K13" s="149"/>
    </row>
    <row r="14" spans="1:23" x14ac:dyDescent="0.25">
      <c r="A14" s="148"/>
      <c r="B14" s="73" t="s">
        <v>32</v>
      </c>
      <c r="C14" s="1" t="s">
        <v>795</v>
      </c>
      <c r="D14" s="1">
        <f>1/1.05</f>
        <v>0.95238095238095233</v>
      </c>
      <c r="E14" s="1"/>
      <c r="F14" s="1"/>
      <c r="G14" s="1"/>
      <c r="H14" s="1" t="s">
        <v>825</v>
      </c>
      <c r="I14" s="1">
        <v>20</v>
      </c>
      <c r="K14" s="274"/>
    </row>
    <row r="15" spans="1:23" x14ac:dyDescent="0.25">
      <c r="A15" s="148"/>
      <c r="B15" s="1" t="s">
        <v>826</v>
      </c>
      <c r="C15" s="1"/>
      <c r="D15" s="1">
        <v>7.94</v>
      </c>
      <c r="E15" s="1"/>
      <c r="F15" s="39">
        <f>D15</f>
        <v>7.94</v>
      </c>
      <c r="G15" s="1"/>
      <c r="H15" s="1" t="s">
        <v>823</v>
      </c>
      <c r="I15" s="1">
        <v>78</v>
      </c>
      <c r="K15" s="149"/>
    </row>
    <row r="16" spans="1:23" x14ac:dyDescent="0.25">
      <c r="A16" s="148"/>
      <c r="B16" s="1" t="s">
        <v>826</v>
      </c>
      <c r="C16" s="1"/>
      <c r="D16" s="1">
        <v>7.94</v>
      </c>
      <c r="E16" s="1"/>
      <c r="F16" s="39">
        <f>D16</f>
        <v>7.94</v>
      </c>
      <c r="G16" s="1">
        <f>F16*0.211</f>
        <v>1.6753400000000001</v>
      </c>
      <c r="H16" s="1" t="s">
        <v>823</v>
      </c>
      <c r="I16" s="1">
        <v>78</v>
      </c>
      <c r="K16" s="149"/>
    </row>
    <row r="17" spans="1:13" ht="20.25" x14ac:dyDescent="0.35">
      <c r="A17" s="148"/>
      <c r="B17" s="1" t="s">
        <v>827</v>
      </c>
      <c r="C17" s="1" t="s">
        <v>828</v>
      </c>
      <c r="D17" s="275">
        <f>(1/0.00000000039047)*D11/50</f>
        <v>9117217.7119881157</v>
      </c>
      <c r="E17" s="1"/>
      <c r="F17" s="1"/>
      <c r="G17" s="1"/>
      <c r="H17" s="1" t="s">
        <v>829</v>
      </c>
      <c r="I17" s="2">
        <v>88</v>
      </c>
      <c r="K17" s="149"/>
    </row>
    <row r="18" spans="1:13" x14ac:dyDescent="0.25">
      <c r="A18" s="148"/>
      <c r="B18" s="1" t="s">
        <v>114</v>
      </c>
      <c r="C18" s="1" t="s">
        <v>288</v>
      </c>
      <c r="D18" s="1">
        <v>50</v>
      </c>
      <c r="E18" s="1"/>
      <c r="F18" s="1"/>
      <c r="G18" s="1"/>
      <c r="H18" s="1" t="s">
        <v>829</v>
      </c>
      <c r="I18" s="2">
        <v>56</v>
      </c>
      <c r="K18" s="149"/>
    </row>
    <row r="19" spans="1:13" x14ac:dyDescent="0.25">
      <c r="A19" s="148"/>
      <c r="B19" s="1" t="s">
        <v>115</v>
      </c>
      <c r="C19" s="1" t="s">
        <v>109</v>
      </c>
      <c r="D19" s="1">
        <v>0</v>
      </c>
      <c r="E19" s="1"/>
      <c r="F19" s="1"/>
      <c r="G19" s="1"/>
      <c r="H19" s="1" t="s">
        <v>830</v>
      </c>
      <c r="I19" s="1">
        <v>20</v>
      </c>
      <c r="K19" s="149"/>
    </row>
    <row r="20" spans="1:13" x14ac:dyDescent="0.25">
      <c r="A20" s="148"/>
      <c r="K20" s="149"/>
    </row>
    <row r="21" spans="1:13" ht="15.75" thickBot="1" x14ac:dyDescent="0.3">
      <c r="A21" s="156"/>
      <c r="B21" s="220"/>
      <c r="C21" s="157"/>
      <c r="D21" s="157"/>
      <c r="E21" s="157"/>
      <c r="F21" s="157"/>
      <c r="G21" s="157"/>
      <c r="H21" s="157"/>
      <c r="I21" s="157"/>
      <c r="J21" s="157"/>
      <c r="K21" s="158"/>
    </row>
    <row r="22" spans="1:13" ht="15.75" thickBot="1" x14ac:dyDescent="0.3">
      <c r="B22" s="67"/>
    </row>
    <row r="23" spans="1:13" x14ac:dyDescent="0.25">
      <c r="A23" s="175"/>
      <c r="B23" s="146"/>
      <c r="C23" s="146"/>
      <c r="D23" s="146"/>
      <c r="E23" s="146"/>
      <c r="F23" s="146"/>
      <c r="G23" s="146"/>
      <c r="H23" s="146"/>
      <c r="I23" s="146"/>
      <c r="J23" s="146"/>
      <c r="K23" s="146"/>
      <c r="L23" s="146"/>
      <c r="M23" s="147"/>
    </row>
    <row r="24" spans="1:13" x14ac:dyDescent="0.25">
      <c r="A24" s="148"/>
      <c r="B24" s="21" t="s">
        <v>137</v>
      </c>
      <c r="M24" s="149"/>
    </row>
    <row r="25" spans="1:13" ht="20.25" x14ac:dyDescent="0.35">
      <c r="A25" s="148"/>
      <c r="B25" s="21"/>
      <c r="H25" s="275"/>
      <c r="I25" s="195"/>
      <c r="M25" s="149"/>
    </row>
    <row r="26" spans="1:13" x14ac:dyDescent="0.25">
      <c r="A26" s="148"/>
      <c r="B26" t="s">
        <v>831</v>
      </c>
      <c r="M26" s="149"/>
    </row>
    <row r="27" spans="1:13" ht="15.75" thickBot="1" x14ac:dyDescent="0.3">
      <c r="A27" s="148"/>
      <c r="E27" t="s">
        <v>165</v>
      </c>
      <c r="F27" t="s">
        <v>212</v>
      </c>
      <c r="M27" s="149"/>
    </row>
    <row r="28" spans="1:13" x14ac:dyDescent="0.25">
      <c r="A28" s="148"/>
      <c r="B28" s="31" t="s">
        <v>832</v>
      </c>
      <c r="C28" s="276" t="s">
        <v>833</v>
      </c>
      <c r="D28" s="276">
        <f>3.9794*10^-10</f>
        <v>3.9794000000000002E-10</v>
      </c>
      <c r="E28" s="276" t="s">
        <v>834</v>
      </c>
      <c r="F28" s="276">
        <v>88</v>
      </c>
      <c r="G28" s="276"/>
      <c r="H28" s="277"/>
      <c r="I28" s="278"/>
      <c r="J28" s="23"/>
      <c r="K28" s="279" t="s">
        <v>835</v>
      </c>
      <c r="L28" s="23"/>
      <c r="M28" s="149"/>
    </row>
    <row r="29" spans="1:13" x14ac:dyDescent="0.25">
      <c r="A29" s="148"/>
      <c r="B29" s="31" t="s">
        <v>832</v>
      </c>
      <c r="C29" s="32" t="s">
        <v>836</v>
      </c>
      <c r="D29" s="233">
        <v>5.3483E-10</v>
      </c>
      <c r="E29" s="32" t="s">
        <v>837</v>
      </c>
      <c r="F29" s="2">
        <v>89</v>
      </c>
      <c r="G29" s="32"/>
      <c r="H29" s="1"/>
      <c r="I29" s="33"/>
      <c r="J29" s="23"/>
      <c r="K29" s="23"/>
      <c r="L29" s="23"/>
      <c r="M29" s="149"/>
    </row>
    <row r="30" spans="1:13" x14ac:dyDescent="0.25">
      <c r="A30" s="148"/>
      <c r="B30" s="31" t="s">
        <v>838</v>
      </c>
      <c r="C30" s="32" t="s">
        <v>839</v>
      </c>
      <c r="D30" s="233">
        <f>D28-D29*D11</f>
        <v>3.0274026000000005E-10</v>
      </c>
      <c r="E30" s="32" t="s">
        <v>834</v>
      </c>
      <c r="F30" s="32"/>
      <c r="G30" s="32"/>
      <c r="H30" s="32"/>
      <c r="I30" s="57"/>
      <c r="J30" s="23"/>
      <c r="K30" s="23"/>
      <c r="L30" s="23"/>
      <c r="M30" s="149"/>
    </row>
    <row r="31" spans="1:13" x14ac:dyDescent="0.25">
      <c r="A31" s="148"/>
      <c r="B31" s="31" t="s">
        <v>838</v>
      </c>
      <c r="C31" s="32" t="s">
        <v>839</v>
      </c>
      <c r="D31" s="233">
        <f>D30/D11</f>
        <v>1.7007879775280902E-9</v>
      </c>
      <c r="E31" s="32" t="s">
        <v>837</v>
      </c>
      <c r="F31" s="32"/>
      <c r="G31" s="32"/>
      <c r="H31" s="32"/>
      <c r="I31" s="57"/>
      <c r="M31" s="149"/>
    </row>
    <row r="32" spans="1:13" x14ac:dyDescent="0.25">
      <c r="A32" s="148"/>
      <c r="B32" s="31" t="s">
        <v>840</v>
      </c>
      <c r="C32" s="32" t="s">
        <v>841</v>
      </c>
      <c r="D32" s="233">
        <v>157460000</v>
      </c>
      <c r="E32" s="32" t="s">
        <v>96</v>
      </c>
      <c r="F32" s="32">
        <v>56</v>
      </c>
      <c r="G32" s="32"/>
      <c r="H32" s="32"/>
      <c r="I32" s="57"/>
      <c r="M32" s="149"/>
    </row>
    <row r="33" spans="1:13" ht="15.75" thickBot="1" x14ac:dyDescent="0.3">
      <c r="A33" s="148"/>
      <c r="B33" s="280" t="s">
        <v>842</v>
      </c>
      <c r="C33" s="32" t="s">
        <v>843</v>
      </c>
      <c r="D33" s="281">
        <f>2403600000*0.2778</f>
        <v>667720080</v>
      </c>
      <c r="E33" s="281" t="s">
        <v>368</v>
      </c>
      <c r="F33" s="281">
        <v>56</v>
      </c>
      <c r="H33" s="282"/>
      <c r="I33" s="283"/>
      <c r="M33" s="149"/>
    </row>
    <row r="34" spans="1:13" x14ac:dyDescent="0.25">
      <c r="A34" s="148"/>
      <c r="B34" s="284"/>
      <c r="C34" s="277"/>
      <c r="D34" s="277"/>
      <c r="E34" s="277"/>
      <c r="F34" s="277"/>
      <c r="G34" s="277"/>
      <c r="H34" s="285" t="s">
        <v>844</v>
      </c>
      <c r="I34" s="286" t="s">
        <v>845</v>
      </c>
      <c r="M34" s="149"/>
    </row>
    <row r="35" spans="1:13" x14ac:dyDescent="0.25">
      <c r="A35" s="148"/>
      <c r="B35" s="34"/>
      <c r="C35" s="1" t="s">
        <v>822</v>
      </c>
      <c r="D35" s="1"/>
      <c r="E35" s="1"/>
      <c r="F35" s="1"/>
      <c r="G35" s="1"/>
      <c r="H35" s="233">
        <f>D33*D31</f>
        <v>1.1356502844180947</v>
      </c>
      <c r="I35" s="287">
        <f>D32*D31</f>
        <v>0.2678060749415731</v>
      </c>
      <c r="M35" s="149"/>
    </row>
    <row r="36" spans="1:13" ht="15.75" thickBot="1" x14ac:dyDescent="0.3">
      <c r="A36" s="148"/>
      <c r="B36" s="30"/>
      <c r="C36" s="55" t="s">
        <v>476</v>
      </c>
      <c r="D36" s="55"/>
      <c r="E36" s="55"/>
      <c r="F36" s="55"/>
      <c r="G36" s="55"/>
      <c r="H36" s="288">
        <f>D17*H35</f>
        <v>10353970.887720995</v>
      </c>
      <c r="I36" s="288">
        <f>D17*I35</f>
        <v>2441646.2898353268</v>
      </c>
      <c r="J36" s="281"/>
      <c r="M36" s="149"/>
    </row>
    <row r="37" spans="1:13" x14ac:dyDescent="0.25">
      <c r="A37" s="148"/>
      <c r="M37" s="149"/>
    </row>
    <row r="38" spans="1:13" x14ac:dyDescent="0.25">
      <c r="A38" s="148"/>
      <c r="G38" t="s">
        <v>138</v>
      </c>
      <c r="H38" t="s">
        <v>139</v>
      </c>
      <c r="M38" s="149"/>
    </row>
    <row r="39" spans="1:13" x14ac:dyDescent="0.25">
      <c r="A39" s="148"/>
      <c r="B39" s="1" t="s">
        <v>140</v>
      </c>
      <c r="C39" s="1" t="s">
        <v>141</v>
      </c>
      <c r="D39" s="1">
        <v>2</v>
      </c>
      <c r="E39" s="1" t="s">
        <v>142</v>
      </c>
      <c r="F39" s="17">
        <v>2</v>
      </c>
      <c r="G39" s="16">
        <f>113.9*D39</f>
        <v>227.8</v>
      </c>
      <c r="H39" s="16">
        <f>29.9*2</f>
        <v>59.8</v>
      </c>
      <c r="I39" s="1" t="s">
        <v>279</v>
      </c>
      <c r="J39" s="71" t="s">
        <v>1123</v>
      </c>
      <c r="K39" s="1"/>
      <c r="L39" s="1" t="s">
        <v>781</v>
      </c>
      <c r="M39" s="149"/>
    </row>
    <row r="40" spans="1:13" x14ac:dyDescent="0.25">
      <c r="A40" s="148"/>
      <c r="B40" s="1" t="s">
        <v>144</v>
      </c>
      <c r="C40" s="1" t="s">
        <v>141</v>
      </c>
      <c r="D40" s="1">
        <v>2</v>
      </c>
      <c r="E40" s="1"/>
      <c r="F40" s="17">
        <v>2</v>
      </c>
      <c r="G40" s="16">
        <f>113.9*D40</f>
        <v>227.8</v>
      </c>
      <c r="H40" s="16">
        <f>29.9*2</f>
        <v>59.8</v>
      </c>
      <c r="I40" s="1" t="s">
        <v>145</v>
      </c>
      <c r="J40" s="71" t="s">
        <v>1123</v>
      </c>
      <c r="K40" s="1"/>
      <c r="L40" s="1" t="s">
        <v>781</v>
      </c>
      <c r="M40" s="149"/>
    </row>
    <row r="41" spans="1:13" x14ac:dyDescent="0.25">
      <c r="A41" s="148"/>
      <c r="F41" s="289"/>
      <c r="G41" s="290"/>
      <c r="H41" s="290"/>
      <c r="M41" s="149"/>
    </row>
    <row r="42" spans="1:13" x14ac:dyDescent="0.25">
      <c r="A42" s="148"/>
      <c r="B42" t="s">
        <v>846</v>
      </c>
      <c r="M42" s="149"/>
    </row>
    <row r="43" spans="1:13" ht="15.75" thickBot="1" x14ac:dyDescent="0.3">
      <c r="A43" s="156"/>
      <c r="B43" s="157"/>
      <c r="C43" s="157"/>
      <c r="D43" s="157"/>
      <c r="E43" s="157"/>
      <c r="F43" s="157"/>
      <c r="G43" s="157"/>
      <c r="H43" s="157"/>
      <c r="I43" s="157"/>
      <c r="J43" s="157"/>
      <c r="K43" s="157"/>
      <c r="L43" s="157"/>
      <c r="M43" s="158"/>
    </row>
    <row r="44" spans="1:13" ht="15.75" thickBot="1" x14ac:dyDescent="0.3"/>
    <row r="45" spans="1:13" x14ac:dyDescent="0.25">
      <c r="A45" s="175"/>
      <c r="B45" s="210" t="s">
        <v>87</v>
      </c>
      <c r="C45" s="146"/>
      <c r="D45" s="146"/>
      <c r="E45" s="146"/>
      <c r="F45" s="146"/>
      <c r="G45" s="146"/>
      <c r="H45" s="146"/>
      <c r="I45" s="146"/>
      <c r="J45" s="146"/>
      <c r="K45" s="146"/>
      <c r="L45" s="146"/>
      <c r="M45" s="147"/>
    </row>
    <row r="46" spans="1:13" x14ac:dyDescent="0.25">
      <c r="A46" s="148"/>
      <c r="M46" s="149"/>
    </row>
    <row r="47" spans="1:13" x14ac:dyDescent="0.25">
      <c r="A47" s="148"/>
      <c r="B47" t="s">
        <v>847</v>
      </c>
      <c r="M47" s="149"/>
    </row>
    <row r="48" spans="1:13" x14ac:dyDescent="0.25">
      <c r="A48" s="148"/>
      <c r="M48" s="149"/>
    </row>
    <row r="49" spans="1:13" x14ac:dyDescent="0.25">
      <c r="A49" s="148"/>
      <c r="B49" s="21" t="s">
        <v>152</v>
      </c>
      <c r="G49" t="s">
        <v>153</v>
      </c>
      <c r="H49" t="s">
        <v>154</v>
      </c>
      <c r="M49" s="149"/>
    </row>
    <row r="50" spans="1:13" x14ac:dyDescent="0.25">
      <c r="A50" s="148"/>
      <c r="B50" s="1" t="s">
        <v>155</v>
      </c>
      <c r="C50" s="1" t="s">
        <v>156</v>
      </c>
      <c r="D50" s="19">
        <v>115</v>
      </c>
      <c r="E50" s="1"/>
      <c r="F50" s="1"/>
      <c r="G50" s="1"/>
      <c r="H50" s="1"/>
      <c r="I50" s="1" t="s">
        <v>759</v>
      </c>
      <c r="J50" s="1">
        <v>83</v>
      </c>
      <c r="M50" s="149"/>
    </row>
    <row r="51" spans="1:13" x14ac:dyDescent="0.25">
      <c r="A51" s="148"/>
      <c r="B51" s="28" t="s">
        <v>157</v>
      </c>
      <c r="C51" s="1" t="s">
        <v>158</v>
      </c>
      <c r="D51" s="1"/>
      <c r="E51" s="1" t="s">
        <v>142</v>
      </c>
      <c r="F51" s="1"/>
      <c r="G51" s="16">
        <f>1.63*D50*18*2</f>
        <v>6748.2</v>
      </c>
      <c r="H51" s="16">
        <f>0.404*D50*18*2</f>
        <v>1672.56</v>
      </c>
      <c r="I51" s="1" t="s">
        <v>760</v>
      </c>
      <c r="J51" s="1" t="s">
        <v>1131</v>
      </c>
      <c r="M51" s="149"/>
    </row>
    <row r="52" spans="1:13" x14ac:dyDescent="0.25">
      <c r="A52" s="148"/>
      <c r="B52" s="28" t="s">
        <v>159</v>
      </c>
      <c r="C52" s="1" t="s">
        <v>160</v>
      </c>
      <c r="D52" s="1">
        <v>15.5</v>
      </c>
      <c r="E52" s="1" t="s">
        <v>164</v>
      </c>
      <c r="F52" s="1"/>
      <c r="G52" s="17">
        <f>H52/0.22</f>
        <v>356500</v>
      </c>
      <c r="H52" s="17">
        <f>D52*D50*44</f>
        <v>78430</v>
      </c>
      <c r="I52" s="1" t="s">
        <v>761</v>
      </c>
      <c r="J52" s="1" t="s">
        <v>1127</v>
      </c>
      <c r="M52" s="149"/>
    </row>
    <row r="53" spans="1:13" x14ac:dyDescent="0.25">
      <c r="A53" s="148"/>
      <c r="M53" s="149"/>
    </row>
    <row r="54" spans="1:13" x14ac:dyDescent="0.25">
      <c r="A54" s="148"/>
      <c r="B54" s="107" t="s">
        <v>268</v>
      </c>
      <c r="C54" s="1" t="s">
        <v>269</v>
      </c>
      <c r="D54" s="1" t="s">
        <v>8</v>
      </c>
      <c r="M54" s="149"/>
    </row>
    <row r="55" spans="1:13" x14ac:dyDescent="0.25">
      <c r="A55" s="148"/>
      <c r="B55" s="34" t="s">
        <v>270</v>
      </c>
      <c r="C55" s="1" t="s">
        <v>271</v>
      </c>
      <c r="D55" s="1">
        <v>33</v>
      </c>
      <c r="M55" s="149"/>
    </row>
    <row r="56" spans="1:13" x14ac:dyDescent="0.25">
      <c r="A56" s="148"/>
      <c r="M56" s="149"/>
    </row>
    <row r="57" spans="1:13" x14ac:dyDescent="0.25">
      <c r="A57" s="148"/>
      <c r="M57" s="149"/>
    </row>
    <row r="58" spans="1:13" ht="15.75" thickBot="1" x14ac:dyDescent="0.3">
      <c r="A58" s="156"/>
      <c r="B58" s="157"/>
      <c r="C58" s="157"/>
      <c r="D58" s="157"/>
      <c r="E58" s="157"/>
      <c r="F58" s="157"/>
      <c r="G58" s="157"/>
      <c r="H58" s="157"/>
      <c r="I58" s="157"/>
      <c r="J58" s="157"/>
      <c r="K58" s="157"/>
      <c r="L58" s="157"/>
      <c r="M58" s="158"/>
    </row>
  </sheetData>
  <mergeCells count="4">
    <mergeCell ref="J2:O2"/>
    <mergeCell ref="P2:U2"/>
    <mergeCell ref="V2:V3"/>
    <mergeCell ref="W2:W3"/>
  </mergeCells>
  <hyperlinks>
    <hyperlink ref="F29" r:id="rId1" display="https://ecoquery.ecoinvent.org/3.9.1/cutoff/dataset/26691/exchanges, 25 years with 8.994 tH2/hr" xr:uid="{4C7A5421-9032-4F8C-88CD-75DA469FEF27}"/>
    <hyperlink ref="I18" r:id="rId2" display="https://ecoquery.ecoinvent.org/3.9.1/cutoff/dataset/26691/exchanges, 25 years with 8.994 tH2/hr" xr:uid="{F6AED6BE-52B6-4DCD-8A39-42BCFE5205A8}"/>
    <hyperlink ref="I17" r:id="rId3" display="https://ecoquery.ecoinvent.org/3.9.1/cutoff/dataset/26691/exchanges, 25 years with 8.994 tH2/hr" xr:uid="{B478ACBC-8657-4595-BA2E-91853793900F}"/>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8CA9C-A0EF-40D3-94C4-6ACB4CC83B24}">
  <dimension ref="A1:W15"/>
  <sheetViews>
    <sheetView zoomScale="85" zoomScaleNormal="85" workbookViewId="0">
      <selection activeCell="J19" sqref="J19"/>
    </sheetView>
  </sheetViews>
  <sheetFormatPr defaultRowHeight="15" x14ac:dyDescent="0.25"/>
  <cols>
    <col min="3" max="3" width="22.5703125" bestFit="1" customWidth="1"/>
    <col min="4" max="4" width="21.42578125" bestFit="1" customWidth="1"/>
    <col min="5" max="5" width="14.85546875" bestFit="1" customWidth="1"/>
    <col min="10" max="10" width="19.85546875" bestFit="1" customWidth="1"/>
    <col min="11" max="11" width="19" customWidth="1"/>
    <col min="12" max="12" width="15.42578125" customWidth="1"/>
    <col min="13" max="13" width="15.140625" customWidth="1"/>
    <col min="14" max="14" width="12.42578125" customWidth="1"/>
    <col min="15" max="15" width="9" customWidth="1"/>
    <col min="16" max="16" width="22.140625" bestFit="1" customWidth="1"/>
    <col min="21" max="22" width="10.5703125" bestFit="1" customWidth="1"/>
    <col min="23" max="23" width="9.28515625" bestFit="1" customWidth="1"/>
  </cols>
  <sheetData>
    <row r="1" spans="1:23" ht="60" x14ac:dyDescent="0.25">
      <c r="A1" s="10" t="s">
        <v>75</v>
      </c>
      <c r="B1" s="10" t="s">
        <v>28</v>
      </c>
      <c r="C1" s="10" t="s">
        <v>5</v>
      </c>
      <c r="D1" s="10" t="s">
        <v>7</v>
      </c>
      <c r="E1" s="10" t="s">
        <v>29</v>
      </c>
      <c r="F1" s="10" t="s">
        <v>30</v>
      </c>
      <c r="G1" s="10" t="s">
        <v>31</v>
      </c>
      <c r="H1" s="10" t="s">
        <v>32</v>
      </c>
      <c r="I1" s="10" t="s">
        <v>1</v>
      </c>
      <c r="J1" s="10" t="s">
        <v>33</v>
      </c>
      <c r="K1" s="11" t="s">
        <v>34</v>
      </c>
      <c r="L1" s="11" t="s">
        <v>35</v>
      </c>
      <c r="M1" s="11" t="s">
        <v>36</v>
      </c>
      <c r="N1" s="11" t="s">
        <v>37</v>
      </c>
      <c r="O1" s="11" t="s">
        <v>38</v>
      </c>
      <c r="P1" s="11" t="s">
        <v>39</v>
      </c>
      <c r="Q1" s="7" t="s">
        <v>40</v>
      </c>
      <c r="R1" s="7" t="s">
        <v>41</v>
      </c>
      <c r="S1" s="7" t="s">
        <v>42</v>
      </c>
      <c r="T1" s="7" t="s">
        <v>43</v>
      </c>
      <c r="U1" s="7" t="s">
        <v>44</v>
      </c>
      <c r="V1" s="7" t="s">
        <v>45</v>
      </c>
      <c r="W1" s="7" t="s">
        <v>46</v>
      </c>
    </row>
    <row r="2" spans="1:23" x14ac:dyDescent="0.25">
      <c r="A2" s="85" t="s">
        <v>76</v>
      </c>
      <c r="B2" s="1" t="s">
        <v>47</v>
      </c>
      <c r="C2" s="1" t="str">
        <f>'2.1'!A5</f>
        <v>Centralised PEM</v>
      </c>
      <c r="D2" s="1" t="str">
        <f>'2.1'!B5</f>
        <v>E</v>
      </c>
      <c r="E2" s="1">
        <f>'2.1'!C5</f>
        <v>15746899.155132124</v>
      </c>
      <c r="F2" s="1">
        <f>'2.1'!D5</f>
        <v>0.9</v>
      </c>
      <c r="G2" s="1">
        <f>'2.1'!E5</f>
        <v>7</v>
      </c>
      <c r="H2" s="1">
        <f>'2.1'!F5</f>
        <v>0.95</v>
      </c>
      <c r="I2" s="1" t="str">
        <f>'2.1'!G5</f>
        <v>Offshore</v>
      </c>
      <c r="J2" s="1" t="str">
        <f>'2.1'!H5</f>
        <v>Centralised</v>
      </c>
      <c r="K2" s="1">
        <f>'2.1'!I5</f>
        <v>4545867.5</v>
      </c>
      <c r="L2" s="1">
        <f>'2.1'!J5</f>
        <v>123.40119760479044</v>
      </c>
      <c r="M2" s="1">
        <f>'2.1'!K5</f>
        <v>0</v>
      </c>
      <c r="N2" s="1">
        <f>'2.1'!L5</f>
        <v>0</v>
      </c>
      <c r="O2" s="1">
        <f>'2.1'!M5</f>
        <v>55688.675000000003</v>
      </c>
      <c r="P2" s="1">
        <f>'2.1'!N5</f>
        <v>219.39401197604792</v>
      </c>
      <c r="Q2" s="1">
        <f>'2.1'!O5</f>
        <v>21255075</v>
      </c>
      <c r="R2" s="1">
        <f>'2.1'!P5</f>
        <v>455.66467065868272</v>
      </c>
      <c r="S2" s="1">
        <f>'2.1'!Q5</f>
        <v>51.255768595999996</v>
      </c>
      <c r="T2" s="1">
        <f>'2.1'!R5</f>
        <v>0</v>
      </c>
      <c r="U2" s="1">
        <f>'2.1'!S5</f>
        <v>259050.75</v>
      </c>
      <c r="V2" s="1">
        <f>'2.1'!T5</f>
        <v>884.75664670658671</v>
      </c>
      <c r="W2" s="1">
        <f>'2.1'!U5</f>
        <v>2.0499999999999997E-2</v>
      </c>
    </row>
    <row r="3" spans="1:23" x14ac:dyDescent="0.25">
      <c r="A3" s="85" t="s">
        <v>76</v>
      </c>
      <c r="B3" s="1" t="s">
        <v>48</v>
      </c>
      <c r="C3" s="1" t="str">
        <f>'2.1'!A6</f>
        <v>Centralised PEM</v>
      </c>
      <c r="D3" s="1" t="str">
        <f>'2.1'!B6</f>
        <v>E</v>
      </c>
      <c r="E3" s="1">
        <f>'2.1'!C6</f>
        <v>15746899.155132124</v>
      </c>
      <c r="F3" s="1">
        <f>'2.1'!D6</f>
        <v>0.9</v>
      </c>
      <c r="G3" s="1">
        <f>'2.1'!E6</f>
        <v>7</v>
      </c>
      <c r="H3" s="1">
        <f>'2.1'!F6</f>
        <v>0.95</v>
      </c>
      <c r="I3" s="1" t="str">
        <f>'2.1'!G6</f>
        <v>Onshore</v>
      </c>
      <c r="J3" s="1" t="str">
        <f>'2.1'!H6</f>
        <v>Centralised - PEM</v>
      </c>
      <c r="K3" s="1">
        <f>'2.1'!I6</f>
        <v>4564927.1060000006</v>
      </c>
      <c r="L3" s="1">
        <f>'2.1'!J6</f>
        <v>0</v>
      </c>
      <c r="M3" s="1">
        <f>'2.1'!K6</f>
        <v>0</v>
      </c>
      <c r="N3" s="1">
        <f>'2.1'!L6</f>
        <v>0</v>
      </c>
      <c r="O3" s="1">
        <f>'2.1'!M6</f>
        <v>45649.271060000006</v>
      </c>
      <c r="P3" s="1">
        <f>'2.1'!N6</f>
        <v>0</v>
      </c>
      <c r="Q3" s="1">
        <f>'2.1'!O6</f>
        <v>21334259.07145825</v>
      </c>
      <c r="R3" s="1">
        <f>'2.1'!P6</f>
        <v>0</v>
      </c>
      <c r="S3" s="1">
        <f>'2.1'!Q6</f>
        <v>51.189724659999996</v>
      </c>
      <c r="T3" s="1">
        <f>'2.1'!R6</f>
        <v>0</v>
      </c>
      <c r="U3" s="1">
        <f>'2.1'!S6</f>
        <v>259842.5907145825</v>
      </c>
      <c r="V3" s="1">
        <f>'2.1'!T6</f>
        <v>0</v>
      </c>
      <c r="W3" s="1">
        <f>'2.1'!U6</f>
        <v>2.0499999999999997E-2</v>
      </c>
    </row>
    <row r="4" spans="1:23" x14ac:dyDescent="0.25">
      <c r="A4" s="85" t="s">
        <v>77</v>
      </c>
      <c r="B4" t="s">
        <v>49</v>
      </c>
      <c r="C4" s="1" t="str">
        <f>'2.2.'!A5</f>
        <v>Decentralised PEM</v>
      </c>
      <c r="D4" s="1" t="str">
        <f>'2.2.'!B5</f>
        <v>E</v>
      </c>
      <c r="E4" s="1">
        <f>'2.2.'!C5</f>
        <v>661369.76451554918</v>
      </c>
      <c r="F4" s="1">
        <f>'2.2.'!D5</f>
        <v>0.9</v>
      </c>
      <c r="G4" s="1">
        <f>'2.2.'!E5</f>
        <v>7</v>
      </c>
      <c r="H4" s="1">
        <f>'2.2.'!F5</f>
        <v>0.95</v>
      </c>
      <c r="I4" s="1" t="str">
        <f>'2.2.'!G5</f>
        <v>Offshore</v>
      </c>
      <c r="J4" s="1" t="str">
        <f>'2.2.'!H5</f>
        <v>Decentralised - PEM</v>
      </c>
      <c r="K4" s="1">
        <f>'2.2.'!I5</f>
        <v>181834.7</v>
      </c>
      <c r="L4" s="1">
        <f>'2.2.'!J5</f>
        <v>343.41999999999996</v>
      </c>
      <c r="M4" s="1">
        <f>'2.2.'!K5</f>
        <v>0</v>
      </c>
      <c r="N4" s="1">
        <f>'2.2.'!L5</f>
        <v>0</v>
      </c>
      <c r="O4" s="1">
        <f>'2.2.'!M5</f>
        <v>18476.746999999999</v>
      </c>
      <c r="P4" s="1">
        <f>'2.2.'!N5</f>
        <v>324.27391830985914</v>
      </c>
      <c r="Q4" s="1">
        <f>'2.2.'!O5</f>
        <v>850203</v>
      </c>
      <c r="R4" s="1">
        <f>'2.2.'!P5</f>
        <v>455.6</v>
      </c>
      <c r="S4" s="1">
        <f>'2.2.'!Q5</f>
        <v>52.342719987142857</v>
      </c>
      <c r="T4" s="1">
        <f>'2.2.'!R5</f>
        <v>0</v>
      </c>
      <c r="U4" s="1">
        <f>'2.2.'!S5</f>
        <v>73447.23000000001</v>
      </c>
      <c r="V4" s="1">
        <f>'2.2.'!T5</f>
        <v>1270.6173870704226</v>
      </c>
      <c r="W4" s="1">
        <f>'2.2.'!U5</f>
        <v>2.0499999999999997E-2</v>
      </c>
    </row>
    <row r="5" spans="1:23" x14ac:dyDescent="0.25">
      <c r="A5" s="85" t="s">
        <v>77</v>
      </c>
      <c r="B5" s="1" t="s">
        <v>50</v>
      </c>
      <c r="C5" s="1" t="str">
        <f>'2.2.'!A6</f>
        <v>Decentralised PEM</v>
      </c>
      <c r="D5" s="1" t="str">
        <f>'2.2.'!B6</f>
        <v>E</v>
      </c>
      <c r="E5" s="1">
        <f>'2.2.'!C6</f>
        <v>661369.76451554918</v>
      </c>
      <c r="F5" s="1">
        <f>'2.2.'!D6</f>
        <v>0.9</v>
      </c>
      <c r="G5" s="1">
        <f>'2.2.'!E6</f>
        <v>7</v>
      </c>
      <c r="H5" s="1">
        <f>'2.2.'!F6</f>
        <v>0.95</v>
      </c>
      <c r="I5" s="1" t="str">
        <f>'2.2.'!G6</f>
        <v>Onshore</v>
      </c>
      <c r="J5" s="1" t="str">
        <f>'2.2.'!H6</f>
        <v>Decentralised - PEM</v>
      </c>
      <c r="K5" s="1" t="e">
        <f>'2.2.'!I6</f>
        <v>#REF!</v>
      </c>
      <c r="L5" s="1">
        <f>'2.2.'!J6</f>
        <v>0</v>
      </c>
      <c r="M5" s="1">
        <f>'2.2.'!K6</f>
        <v>0</v>
      </c>
      <c r="N5" s="1">
        <f>'2.2.'!L6</f>
        <v>0</v>
      </c>
      <c r="O5" s="1" t="e">
        <f>'2.2.'!M6</f>
        <v>#REF!</v>
      </c>
      <c r="P5" s="1">
        <f>'2.2.'!N6</f>
        <v>0</v>
      </c>
      <c r="Q5" s="1">
        <f>'2.2.'!O6</f>
        <v>852578.52214374742</v>
      </c>
      <c r="R5" s="1">
        <f>'2.2.'!P6</f>
        <v>0</v>
      </c>
      <c r="S5" s="1">
        <f>'2.2.'!Q6</f>
        <v>52.298915335714284</v>
      </c>
      <c r="T5" s="1">
        <f>'2.2.'!R6</f>
        <v>0</v>
      </c>
      <c r="U5" s="1">
        <f>'2.2.'!S6</f>
        <v>17825.785221437473</v>
      </c>
      <c r="V5" s="1">
        <f>'2.2.'!T6</f>
        <v>0</v>
      </c>
      <c r="W5" s="1">
        <f>'2.2.'!U6</f>
        <v>2.0499999999999997E-2</v>
      </c>
    </row>
    <row r="6" spans="1:23" x14ac:dyDescent="0.25">
      <c r="A6" s="85" t="s">
        <v>78</v>
      </c>
      <c r="B6" s="1" t="s">
        <v>51</v>
      </c>
      <c r="C6" s="1" t="str">
        <f>'2.3'!A5</f>
        <v>Centralised Alkaline</v>
      </c>
      <c r="D6" s="1" t="str">
        <f>'2.3'!B5</f>
        <v>E</v>
      </c>
      <c r="E6" s="1">
        <f>'2.3'!C5</f>
        <v>10161600</v>
      </c>
      <c r="F6" s="1">
        <f>'2.3'!D5</f>
        <v>0.9</v>
      </c>
      <c r="G6" s="1">
        <f>'2.3'!E5</f>
        <v>10</v>
      </c>
      <c r="H6" s="1">
        <f>'2.3'!F5</f>
        <v>0.95</v>
      </c>
      <c r="I6" s="1" t="str">
        <f>'2.3'!G5</f>
        <v>Offshore</v>
      </c>
      <c r="J6" s="1" t="str">
        <f>'2.3'!H5</f>
        <v>Centralised</v>
      </c>
      <c r="K6" s="1">
        <f>'2.3'!I5</f>
        <v>7375292.9560799999</v>
      </c>
      <c r="L6" s="1">
        <f>'2.3'!J5</f>
        <v>119.6</v>
      </c>
      <c r="M6" s="1">
        <f>'2.3'!K5</f>
        <v>0</v>
      </c>
      <c r="N6" s="1">
        <f>'2.3'!L5</f>
        <v>0</v>
      </c>
      <c r="O6" s="1">
        <f>'2.3'!M5</f>
        <v>81254.929560799996</v>
      </c>
      <c r="P6" s="1">
        <f>'2.3'!N5</f>
        <v>161.18</v>
      </c>
      <c r="Q6" s="1">
        <f>'2.3'!O5</f>
        <v>59126240.404123202</v>
      </c>
      <c r="R6" s="1">
        <f>'2.3'!P5</f>
        <v>455.6</v>
      </c>
      <c r="S6" s="1">
        <f>'2.3'!Q5</f>
        <v>53.948900000000002</v>
      </c>
      <c r="T6" s="1">
        <f>'2.3'!R5</f>
        <v>0</v>
      </c>
      <c r="U6" s="1">
        <f>'2.3'!S5</f>
        <v>625362.40404123208</v>
      </c>
      <c r="V6" s="1">
        <f>'2.3'!T5</f>
        <v>650.03600000000006</v>
      </c>
      <c r="W6" s="1">
        <f>'2.3'!U5</f>
        <v>2.0499999999999997E-2</v>
      </c>
    </row>
    <row r="7" spans="1:23" x14ac:dyDescent="0.25">
      <c r="A7" s="85" t="s">
        <v>78</v>
      </c>
      <c r="B7" s="1" t="s">
        <v>52</v>
      </c>
      <c r="C7" s="1" t="str">
        <f>'2.3'!A6</f>
        <v>Centralised Alkaline</v>
      </c>
      <c r="D7" s="1" t="str">
        <f>'2.3'!B6</f>
        <v>E</v>
      </c>
      <c r="E7" s="1">
        <f>'2.3'!C6</f>
        <v>10161600</v>
      </c>
      <c r="F7" s="1">
        <f>'2.3'!D6</f>
        <v>0.9</v>
      </c>
      <c r="G7" s="1">
        <f>'2.3'!E6</f>
        <v>10</v>
      </c>
      <c r="H7" s="1">
        <f>'2.3'!F6</f>
        <v>0.95</v>
      </c>
      <c r="I7" s="1" t="str">
        <f>'2.3'!G6</f>
        <v>Onshore</v>
      </c>
      <c r="J7" s="1" t="str">
        <f>'2.3'!H6</f>
        <v>Centralised - ALK</v>
      </c>
      <c r="K7" s="1">
        <f>'2.3'!I6</f>
        <v>7431403.5711200004</v>
      </c>
      <c r="L7" s="1">
        <f>'2.3'!J6</f>
        <v>0</v>
      </c>
      <c r="M7" s="1">
        <f>'2.3'!K6</f>
        <v>0</v>
      </c>
      <c r="N7" s="1">
        <f>'2.3'!L6</f>
        <v>0</v>
      </c>
      <c r="O7" s="1">
        <f>'2.3'!M6</f>
        <v>81816.035711200006</v>
      </c>
      <c r="P7" s="1">
        <f>'2.3'!N6</f>
        <v>0</v>
      </c>
      <c r="Q7" s="1">
        <f>'2.3'!O6</f>
        <v>59359354.716711491</v>
      </c>
      <c r="R7" s="1">
        <f>'2.3'!P6</f>
        <v>0</v>
      </c>
      <c r="S7" s="1">
        <f>'2.3'!Q6</f>
        <v>53.906500000000001</v>
      </c>
      <c r="T7" s="1">
        <f>'2.3'!R6</f>
        <v>0</v>
      </c>
      <c r="U7" s="1">
        <f>'2.3'!S6</f>
        <v>627693.54716711491</v>
      </c>
      <c r="V7" s="1">
        <f>'2.3'!T6</f>
        <v>0</v>
      </c>
      <c r="W7" s="1">
        <f>'2.3'!U6</f>
        <v>2.0499999999999997E-2</v>
      </c>
    </row>
    <row r="8" spans="1:23" x14ac:dyDescent="0.25">
      <c r="A8" s="85" t="s">
        <v>79</v>
      </c>
      <c r="B8" s="1" t="s">
        <v>53</v>
      </c>
      <c r="C8" s="1" t="str">
        <f>'2.4'!A5</f>
        <v>Decentralised Alkaline</v>
      </c>
      <c r="D8" s="1" t="str">
        <f>'2.4'!B5</f>
        <v>E</v>
      </c>
      <c r="E8" s="1">
        <f>'2.4'!C5</f>
        <v>508080</v>
      </c>
      <c r="F8" s="1">
        <f>'2.4'!D5</f>
        <v>0.9</v>
      </c>
      <c r="G8" s="1">
        <f>'2.4'!E5</f>
        <v>10</v>
      </c>
      <c r="H8" s="1">
        <f>'2.4'!F5</f>
        <v>0.95</v>
      </c>
      <c r="I8" s="1" t="str">
        <f>'2.4'!G5</f>
        <v>Offshore</v>
      </c>
      <c r="J8" s="1" t="str">
        <f>'2.4'!H5</f>
        <v>Decentralised - ALK</v>
      </c>
      <c r="K8" s="1">
        <f>'2.4'!I5</f>
        <v>368764.64780400001</v>
      </c>
      <c r="L8" s="1">
        <f>'2.4'!J5</f>
        <v>119.6</v>
      </c>
      <c r="M8" s="1">
        <f>'2.4'!K5</f>
        <v>0</v>
      </c>
      <c r="N8" s="1">
        <f>'2.4'!L5</f>
        <v>0</v>
      </c>
      <c r="O8" s="1">
        <f>'2.4'!M5</f>
        <v>16658.399999999998</v>
      </c>
      <c r="P8" s="1">
        <f>'2.4'!N5</f>
        <v>320.83971830985917</v>
      </c>
      <c r="Q8" s="1">
        <f>'2.4'!O5</f>
        <v>2956312.0202061599</v>
      </c>
      <c r="R8" s="1">
        <f>'2.4'!P5</f>
        <v>455.6</v>
      </c>
      <c r="S8" s="1">
        <f>'2.4'!Q5</f>
        <v>53.948900000000002</v>
      </c>
      <c r="T8" s="1">
        <f>'2.4'!R5</f>
        <v>0</v>
      </c>
      <c r="U8" s="1">
        <f>'2.4'!S5</f>
        <v>64945.200000000004</v>
      </c>
      <c r="V8" s="1">
        <f>'2.4'!T5</f>
        <v>1267.374647887324</v>
      </c>
      <c r="W8" s="1">
        <f>'2.4'!U5</f>
        <v>2.0499999999999997E-2</v>
      </c>
    </row>
    <row r="9" spans="1:23" x14ac:dyDescent="0.25">
      <c r="A9" s="85" t="s">
        <v>79</v>
      </c>
      <c r="B9" s="1" t="s">
        <v>54</v>
      </c>
      <c r="C9" s="1" t="str">
        <f>'2.4'!A6</f>
        <v>Decentralised Alkaline</v>
      </c>
      <c r="D9" s="1" t="str">
        <f>'2.4'!B6</f>
        <v>E</v>
      </c>
      <c r="E9" s="1">
        <f>'2.4'!C6</f>
        <v>508080</v>
      </c>
      <c r="F9" s="1">
        <f>'2.4'!D6</f>
        <v>0.9</v>
      </c>
      <c r="G9" s="1">
        <f>'2.4'!E6</f>
        <v>10</v>
      </c>
      <c r="H9" s="1">
        <f>'2.4'!F6</f>
        <v>0.95</v>
      </c>
      <c r="I9" s="1" t="str">
        <f>'2.4'!G6</f>
        <v>Onshore</v>
      </c>
      <c r="J9" s="1" t="str">
        <f>'2.4'!H6</f>
        <v>Decentralised - ALK</v>
      </c>
      <c r="K9" s="1">
        <f>'2.4'!I6</f>
        <v>371570.17855600006</v>
      </c>
      <c r="L9" s="1">
        <f>'2.4'!J6</f>
        <v>0</v>
      </c>
      <c r="M9" s="1">
        <f>'2.4'!K6</f>
        <v>0</v>
      </c>
      <c r="N9" s="1">
        <f>'2.4'!L6</f>
        <v>0</v>
      </c>
      <c r="O9" s="1">
        <f>'2.4'!M6</f>
        <v>2046</v>
      </c>
      <c r="P9" s="1">
        <f>'2.4'!N6</f>
        <v>0</v>
      </c>
      <c r="Q9" s="1">
        <f>'2.4'!O6</f>
        <v>2967967.7358355746</v>
      </c>
      <c r="R9" s="1">
        <f>'2.4'!P6</f>
        <v>0</v>
      </c>
      <c r="S9" s="1">
        <f>'2.4'!Q6</f>
        <v>53.906500000000001</v>
      </c>
      <c r="T9" s="1">
        <f>'2.4'!R6</f>
        <v>0</v>
      </c>
      <c r="U9" s="1">
        <f>'2.4'!S6</f>
        <v>9300</v>
      </c>
      <c r="V9" s="1">
        <f>'2.4'!T6</f>
        <v>0</v>
      </c>
      <c r="W9" s="1">
        <f>'2.4'!U6</f>
        <v>2.0499999999999997E-2</v>
      </c>
    </row>
    <row r="10" spans="1:23" x14ac:dyDescent="0.25">
      <c r="A10" s="85" t="s">
        <v>80</v>
      </c>
      <c r="B10" s="1" t="s">
        <v>55</v>
      </c>
      <c r="C10" s="1" t="str">
        <f>'2.5.'!A7</f>
        <v>SMR - Low CCS</v>
      </c>
      <c r="D10" s="1" t="str">
        <f>'2.5.'!B7</f>
        <v>NG</v>
      </c>
      <c r="E10" s="1">
        <f>'2.5.'!C7</f>
        <v>221555000</v>
      </c>
      <c r="F10" s="1">
        <f>'2.5.'!D7</f>
        <v>0.9</v>
      </c>
      <c r="G10" s="1">
        <f>'2.5.'!E7</f>
        <v>20</v>
      </c>
      <c r="H10" s="1">
        <f>'2.5.'!F7</f>
        <v>0.97</v>
      </c>
      <c r="I10" s="1" t="str">
        <f>'2.5.'!G7</f>
        <v>Offshore</v>
      </c>
      <c r="J10" s="1" t="str">
        <f>'2.5.'!H7</f>
        <v>Centralised</v>
      </c>
      <c r="K10" s="1">
        <f>'2.5.'!I7</f>
        <v>1496796.848666667</v>
      </c>
      <c r="L10" s="1">
        <f>'2.5.'!J7</f>
        <v>119.6</v>
      </c>
      <c r="M10" s="1">
        <f>'2.5.'!K7</f>
        <v>6.2996646933333329</v>
      </c>
      <c r="N10" s="1">
        <f>'2.5.'!L7</f>
        <v>0</v>
      </c>
      <c r="O10" s="1">
        <f>'2.5.'!M7</f>
        <v>44293.968486666672</v>
      </c>
      <c r="P10" s="1">
        <f>'2.5.'!N7</f>
        <v>626.58800000000008</v>
      </c>
      <c r="Q10" s="1">
        <f>'2.5.'!O7</f>
        <v>5130299.4698299998</v>
      </c>
      <c r="R10" s="1">
        <f>'2.5.'!P7</f>
        <v>455.6</v>
      </c>
      <c r="S10" s="1">
        <f>'2.5.'!Q7</f>
        <v>64.816061075268806</v>
      </c>
      <c r="T10" s="1">
        <f>'2.5.'!R7</f>
        <v>0</v>
      </c>
      <c r="U10" s="1">
        <f>'2.5.'!S7</f>
        <v>184602.9946983</v>
      </c>
      <c r="V10" s="1">
        <f>'2.5.'!T7</f>
        <v>2529.5058799999997</v>
      </c>
      <c r="W10" s="1">
        <f>'2.5.'!U7</f>
        <v>5.5000000000000005E-3</v>
      </c>
    </row>
    <row r="11" spans="1:23" x14ac:dyDescent="0.25">
      <c r="A11" s="85" t="s">
        <v>80</v>
      </c>
      <c r="B11" s="1" t="s">
        <v>56</v>
      </c>
      <c r="C11" s="1" t="str">
        <f>'2.5.'!A8</f>
        <v>SMR - Low CCS</v>
      </c>
      <c r="D11" s="1" t="str">
        <f>'2.5.'!B8</f>
        <v>NG</v>
      </c>
      <c r="E11" s="1">
        <f>'2.5.'!C8</f>
        <v>221555000</v>
      </c>
      <c r="F11" s="1">
        <f>'2.5.'!D8</f>
        <v>0.9</v>
      </c>
      <c r="G11" s="1">
        <f>'2.5.'!E8</f>
        <v>20</v>
      </c>
      <c r="H11" s="1">
        <f>'2.5.'!F8</f>
        <v>0.97</v>
      </c>
      <c r="I11" s="1" t="str">
        <f>'2.5.'!G8</f>
        <v>Onshore</v>
      </c>
      <c r="J11" s="1" t="str">
        <f>'2.5.'!H8</f>
        <v>Centralised NG</v>
      </c>
      <c r="K11" s="1">
        <f>'2.5.'!I8</f>
        <v>1680381.813466667</v>
      </c>
      <c r="L11" s="1">
        <f>'2.5.'!J8</f>
        <v>0</v>
      </c>
      <c r="M11" s="1">
        <f>'2.5.'!K8</f>
        <v>6.0920294399999992</v>
      </c>
      <c r="N11" s="1">
        <f>'2.5.'!L8</f>
        <v>0</v>
      </c>
      <c r="O11" s="1">
        <f>'2.5.'!M8</f>
        <v>46129.818134666668</v>
      </c>
      <c r="P11" s="1">
        <f>'2.5.'!N8</f>
        <v>0</v>
      </c>
      <c r="Q11" s="1">
        <f>'2.5.'!O8</f>
        <v>5595354.3733613659</v>
      </c>
      <c r="R11" s="1">
        <f>'2.5.'!P8</f>
        <v>0</v>
      </c>
      <c r="S11" s="1">
        <f>'2.5.'!Q8</f>
        <v>63.832007741935485</v>
      </c>
      <c r="T11" s="1">
        <f>'2.5.'!R8</f>
        <v>0</v>
      </c>
      <c r="U11" s="1">
        <f>'2.5.'!S8</f>
        <v>189253.54373361365</v>
      </c>
      <c r="V11" s="1">
        <f>'2.5.'!T8</f>
        <v>0</v>
      </c>
      <c r="W11" s="1">
        <f>'2.5.'!U8</f>
        <v>5.5000000000000005E-3</v>
      </c>
    </row>
    <row r="12" spans="1:23" x14ac:dyDescent="0.25">
      <c r="A12" s="85" t="s">
        <v>80</v>
      </c>
      <c r="B12" s="1" t="s">
        <v>57</v>
      </c>
      <c r="C12" s="1" t="str">
        <f>'2.5.'!A9</f>
        <v>SMR - High CCS</v>
      </c>
      <c r="D12" s="1" t="str">
        <f>'2.5.'!B9</f>
        <v>NG</v>
      </c>
      <c r="E12" s="1">
        <f>'2.5.'!C9</f>
        <v>221555000</v>
      </c>
      <c r="F12" s="1">
        <f>'2.5.'!D9</f>
        <v>0.9</v>
      </c>
      <c r="G12" s="1">
        <f>'2.5.'!E9</f>
        <v>20</v>
      </c>
      <c r="H12" s="1">
        <f>'2.5.'!F9</f>
        <v>0.97</v>
      </c>
      <c r="I12" s="1" t="str">
        <f>'2.5.'!G9</f>
        <v>Offshore</v>
      </c>
      <c r="J12" s="1" t="str">
        <f>'2.5.'!H9</f>
        <v>Centralised</v>
      </c>
      <c r="K12" s="1">
        <f>'2.5.'!I9</f>
        <v>1496796.848666667</v>
      </c>
      <c r="L12" s="1">
        <f>'2.5.'!J9</f>
        <v>119.6</v>
      </c>
      <c r="M12" s="1">
        <f>'2.5.'!K9</f>
        <v>4.110142528888888</v>
      </c>
      <c r="N12" s="1">
        <f>'2.5.'!L9</f>
        <v>0</v>
      </c>
      <c r="O12" s="1">
        <f>'2.5.'!M9</f>
        <v>44293.968486666672</v>
      </c>
      <c r="P12" s="1">
        <f>'2.5.'!N9</f>
        <v>626.58800000000008</v>
      </c>
      <c r="Q12" s="1">
        <f>'2.5.'!O9</f>
        <v>5130299.4698299998</v>
      </c>
      <c r="R12" s="1">
        <f>'2.5.'!P9</f>
        <v>455.6</v>
      </c>
      <c r="S12" s="1">
        <f>'2.5.'!Q9</f>
        <v>79.551107383512544</v>
      </c>
      <c r="T12" s="1">
        <f>'2.5.'!R9</f>
        <v>0</v>
      </c>
      <c r="U12" s="1">
        <f>'2.5.'!S9</f>
        <v>184602.9946983</v>
      </c>
      <c r="V12" s="1">
        <f>'2.5.'!T9</f>
        <v>2527.7959999999998</v>
      </c>
      <c r="W12" s="1">
        <f>'2.5.'!U9</f>
        <v>5.5000000000000005E-3</v>
      </c>
    </row>
    <row r="13" spans="1:23" x14ac:dyDescent="0.25">
      <c r="A13" s="85" t="s">
        <v>80</v>
      </c>
      <c r="B13" s="1" t="s">
        <v>58</v>
      </c>
      <c r="C13" s="1" t="str">
        <f>'2.5.'!A10</f>
        <v>SMR - High CCS</v>
      </c>
      <c r="D13" s="1" t="str">
        <f>'2.5.'!B10</f>
        <v>NG</v>
      </c>
      <c r="E13" s="1">
        <f>'2.5.'!C10</f>
        <v>221555000</v>
      </c>
      <c r="F13" s="1">
        <f>'2.5.'!D10</f>
        <v>0.9</v>
      </c>
      <c r="G13" s="1">
        <f>'2.5.'!E10</f>
        <v>20</v>
      </c>
      <c r="H13" s="1">
        <f>'2.5.'!F10</f>
        <v>0.97</v>
      </c>
      <c r="I13" s="1" t="str">
        <f>'2.5.'!G10</f>
        <v>Onshore</v>
      </c>
      <c r="J13" s="1" t="str">
        <f>'2.5.'!H10</f>
        <v>Centralised NG</v>
      </c>
      <c r="K13" s="1">
        <f>'2.5.'!I10</f>
        <v>1680381.813466667</v>
      </c>
      <c r="L13" s="1">
        <f>'2.5.'!J10</f>
        <v>0</v>
      </c>
      <c r="M13" s="1">
        <f>'2.5.'!K10</f>
        <v>3.0179005599999997</v>
      </c>
      <c r="N13" s="1">
        <f>'2.5.'!L10</f>
        <v>0</v>
      </c>
      <c r="O13" s="1">
        <f>'2.5.'!M10</f>
        <v>46129.818134666668</v>
      </c>
      <c r="P13" s="1">
        <f>'2.5.'!N10</f>
        <v>0</v>
      </c>
      <c r="Q13" s="1">
        <f>'2.5.'!O10</f>
        <v>5595354.3733613659</v>
      </c>
      <c r="R13" s="1">
        <f>'2.5.'!P10</f>
        <v>0</v>
      </c>
      <c r="S13" s="1">
        <f>'2.5.'!Q10</f>
        <v>74.374605161290333</v>
      </c>
      <c r="T13" s="1">
        <f>'2.5.'!R10</f>
        <v>0</v>
      </c>
      <c r="U13" s="1">
        <f>'2.5.'!S10</f>
        <v>189253.54373361365</v>
      </c>
      <c r="V13" s="1">
        <f>'2.5.'!T10</f>
        <v>0</v>
      </c>
      <c r="W13" s="1">
        <f>'2.5.'!U10</f>
        <v>5.5000000000000005E-3</v>
      </c>
    </row>
    <row r="14" spans="1:23" x14ac:dyDescent="0.25">
      <c r="A14" s="85" t="s">
        <v>81</v>
      </c>
      <c r="B14" s="1" t="s">
        <v>59</v>
      </c>
      <c r="C14" s="1" t="str">
        <f>'2.6.'!A5</f>
        <v>ATR - High CCS</v>
      </c>
      <c r="D14" s="1" t="str">
        <f>'2.6.'!B5</f>
        <v>NG</v>
      </c>
      <c r="E14" s="1">
        <f>'2.6.'!C5</f>
        <v>221555000</v>
      </c>
      <c r="F14" s="1">
        <f>'2.6.'!D5</f>
        <v>0.9</v>
      </c>
      <c r="G14" s="1">
        <f>'2.6.'!E5</f>
        <v>20</v>
      </c>
      <c r="H14" s="1">
        <f>'2.6.'!F5</f>
        <v>0.97</v>
      </c>
      <c r="I14" s="1" t="str">
        <f>'2.6.'!G5</f>
        <v>Offshore</v>
      </c>
      <c r="J14" s="1" t="str">
        <f>'2.6.'!H5</f>
        <v>Centralised</v>
      </c>
      <c r="K14" s="1">
        <f>'2.6.'!I5</f>
        <v>1496796.848666667</v>
      </c>
      <c r="L14" s="1">
        <f>'2.6.'!J5</f>
        <v>119.6</v>
      </c>
      <c r="M14" s="1">
        <f>'2.6.'!K5</f>
        <v>2.3213642711111109</v>
      </c>
      <c r="N14" s="1">
        <f>'2.6.'!L5</f>
        <v>0</v>
      </c>
      <c r="O14" s="1">
        <f>'2.6.'!M5</f>
        <v>40883.968486666672</v>
      </c>
      <c r="P14" s="1">
        <f>'2.6.'!N5</f>
        <v>553.86800000000005</v>
      </c>
      <c r="Q14" s="1">
        <f>'2.6.'!O5</f>
        <v>5130299.4698299998</v>
      </c>
      <c r="R14" s="1">
        <f>'2.6.'!P5</f>
        <v>455.6</v>
      </c>
      <c r="S14" s="1">
        <f>'2.6.'!Q5</f>
        <v>49.736724874551967</v>
      </c>
      <c r="T14" s="1">
        <f>'2.6.'!R5</f>
        <v>0</v>
      </c>
      <c r="U14" s="1">
        <f>'2.6.'!S5</f>
        <v>169102.9946983</v>
      </c>
      <c r="V14" s="1">
        <f>'2.6.'!T5</f>
        <v>2234.3960000000002</v>
      </c>
      <c r="W14" s="1">
        <f>'2.6.'!U5</f>
        <v>5.5000000000000005E-3</v>
      </c>
    </row>
    <row r="15" spans="1:23" x14ac:dyDescent="0.25">
      <c r="A15" s="85" t="s">
        <v>81</v>
      </c>
      <c r="B15" s="1" t="s">
        <v>60</v>
      </c>
      <c r="C15" s="1" t="str">
        <f>'2.6.'!A6</f>
        <v>ATR - High CCS</v>
      </c>
      <c r="D15" s="1" t="str">
        <f>'2.6.'!B6</f>
        <v>NG</v>
      </c>
      <c r="E15" s="1">
        <f>'2.6.'!C6</f>
        <v>221555000</v>
      </c>
      <c r="F15" s="1">
        <f>'2.6.'!D6</f>
        <v>0.9</v>
      </c>
      <c r="G15" s="1">
        <f>'2.6.'!E6</f>
        <v>20</v>
      </c>
      <c r="H15" s="1">
        <f>'2.6.'!F6</f>
        <v>0.97</v>
      </c>
      <c r="I15" s="1" t="str">
        <f>'2.6.'!G6</f>
        <v>Onshore</v>
      </c>
      <c r="J15" s="1" t="str">
        <f>'2.6.'!H6</f>
        <v>Centralised NG</v>
      </c>
      <c r="K15" s="1">
        <f>'2.6.'!I6</f>
        <v>1680381.813466667</v>
      </c>
      <c r="L15" s="1">
        <f>'2.6.'!J6</f>
        <v>0</v>
      </c>
      <c r="M15" s="1">
        <f>'2.6.'!K6</f>
        <v>1.4104566399999998</v>
      </c>
      <c r="N15" s="1">
        <f>'2.6.'!L6</f>
        <v>0</v>
      </c>
      <c r="O15" s="1">
        <f>'2.6.'!M6</f>
        <v>42719.818134666668</v>
      </c>
      <c r="P15" s="1">
        <f>'2.6.'!N6</f>
        <v>0</v>
      </c>
      <c r="Q15" s="1">
        <f>'2.6.'!O6</f>
        <v>5595354.3733613659</v>
      </c>
      <c r="R15" s="1">
        <f>'2.6.'!P6</f>
        <v>0</v>
      </c>
      <c r="S15" s="1">
        <f>'2.6.'!Q6</f>
        <v>45.4196270967742</v>
      </c>
      <c r="T15" s="1">
        <f>'2.6.'!R6</f>
        <v>0</v>
      </c>
      <c r="U15" s="1">
        <f>'2.6.'!S6</f>
        <v>173753.54373361365</v>
      </c>
      <c r="V15" s="1">
        <f>'2.6.'!T6</f>
        <v>0</v>
      </c>
      <c r="W15" s="1">
        <f>'2.6.'!U6</f>
        <v>5.5000000000000005E-3</v>
      </c>
    </row>
  </sheetData>
  <hyperlinks>
    <hyperlink ref="A2:A3" location="'2.1'!A1" display="2.1." xr:uid="{C90686DF-DBFD-469A-B192-CF03A6E1104E}"/>
    <hyperlink ref="A4:A5" location="'2.2.'!A1" display="2.2." xr:uid="{A99EC75A-6656-44B2-BA1F-A919867D6F21}"/>
    <hyperlink ref="A6:A7" location="'2.3'!A1" display="2.3." xr:uid="{48FFD896-4B07-42CE-8B14-D196C6D174AF}"/>
    <hyperlink ref="A8:A9" location="'2.4'!A1" display="2.4." xr:uid="{1F3BDCA6-9A6D-4B2D-B9B9-3869E7B0FDC0}"/>
    <hyperlink ref="A10:A11" location="'2.5.'!A1" display="2.5." xr:uid="{12962251-4DD6-4C93-985F-62A97F9D7A77}"/>
    <hyperlink ref="A12:A13" location="'2.5.'!A1" display="2.5." xr:uid="{B8994E17-060C-494C-A599-20859F02FC58}"/>
    <hyperlink ref="A14:A15" location="'2.6.'!A1" display="2.6." xr:uid="{A224C6D9-44D8-4EDE-886E-8BA8BCC1F91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B4DD-E423-401A-A8AD-5276B39CB4A3}">
  <dimension ref="A1:W11"/>
  <sheetViews>
    <sheetView workbookViewId="0">
      <selection activeCell="G5" sqref="G5"/>
    </sheetView>
  </sheetViews>
  <sheetFormatPr defaultRowHeight="15" x14ac:dyDescent="0.25"/>
  <cols>
    <col min="3" max="3" width="26.85546875" bestFit="1" customWidth="1"/>
    <col min="10" max="10" width="19" bestFit="1" customWidth="1"/>
  </cols>
  <sheetData>
    <row r="1" spans="1:23" ht="60" x14ac:dyDescent="0.25">
      <c r="A1" s="10" t="s">
        <v>75</v>
      </c>
      <c r="B1" s="10" t="s">
        <v>28</v>
      </c>
      <c r="C1" s="10" t="s">
        <v>5</v>
      </c>
      <c r="D1" s="10" t="s">
        <v>7</v>
      </c>
      <c r="E1" s="10" t="s">
        <v>29</v>
      </c>
      <c r="F1" s="10" t="s">
        <v>30</v>
      </c>
      <c r="G1" s="10" t="s">
        <v>31</v>
      </c>
      <c r="H1" s="10" t="s">
        <v>32</v>
      </c>
      <c r="I1" s="10" t="s">
        <v>1</v>
      </c>
      <c r="J1" s="10" t="s">
        <v>33</v>
      </c>
      <c r="K1" s="11" t="s">
        <v>34</v>
      </c>
      <c r="L1" s="11" t="s">
        <v>35</v>
      </c>
      <c r="M1" s="11" t="s">
        <v>36</v>
      </c>
      <c r="N1" s="11" t="s">
        <v>37</v>
      </c>
      <c r="O1" s="11" t="s">
        <v>38</v>
      </c>
      <c r="P1" s="11" t="s">
        <v>39</v>
      </c>
      <c r="Q1" s="7" t="s">
        <v>40</v>
      </c>
      <c r="R1" s="7" t="s">
        <v>41</v>
      </c>
      <c r="S1" s="7" t="s">
        <v>42</v>
      </c>
      <c r="T1" s="7" t="s">
        <v>43</v>
      </c>
      <c r="U1" s="7" t="s">
        <v>44</v>
      </c>
      <c r="V1" s="7" t="s">
        <v>45</v>
      </c>
      <c r="W1" s="7" t="s">
        <v>46</v>
      </c>
    </row>
    <row r="2" spans="1:23" x14ac:dyDescent="0.25">
      <c r="A2" s="2" t="s">
        <v>324</v>
      </c>
      <c r="B2" s="1" t="s">
        <v>308</v>
      </c>
      <c r="C2" s="1" t="str">
        <f>'3.1. Centralised Offshore'!A4</f>
        <v>Offshore Large</v>
      </c>
      <c r="D2" s="1" t="str">
        <f>'3.1. Centralised Offshore'!B4</f>
        <v>E</v>
      </c>
      <c r="E2" s="1">
        <f>'3.1. Centralised Offshore'!C4</f>
        <v>1</v>
      </c>
      <c r="F2" s="1">
        <f>'3.1. Centralised Offshore'!D4</f>
        <v>1</v>
      </c>
      <c r="G2" s="1">
        <f>'3.1. Centralised Offshore'!E4</f>
        <v>40</v>
      </c>
      <c r="H2" s="1">
        <f>'3.1. Centralised Offshore'!F4</f>
        <v>1</v>
      </c>
      <c r="I2" s="1" t="str">
        <f>'3.1. Centralised Offshore'!G4</f>
        <v>Offshore</v>
      </c>
      <c r="J2" s="1" t="str">
        <f>'3.1. Centralised Offshore'!H4</f>
        <v>Centralised</v>
      </c>
      <c r="K2" s="1">
        <f>'3.1. Centralised Offshore'!I4</f>
        <v>206718421.0902428</v>
      </c>
      <c r="L2" s="1">
        <f>'3.1. Centralised Offshore'!J4</f>
        <v>0</v>
      </c>
      <c r="M2" s="1">
        <f>'3.1. Centralised Offshore'!K4</f>
        <v>0</v>
      </c>
      <c r="N2" s="1">
        <f>'3.1. Centralised Offshore'!L4</f>
        <v>0</v>
      </c>
      <c r="O2" s="1">
        <f>'3.1. Centralised Offshore'!M4</f>
        <v>2067184.210902428</v>
      </c>
      <c r="P2" s="1">
        <f>'3.1. Centralised Offshore'!N4</f>
        <v>0</v>
      </c>
      <c r="Q2" s="1">
        <f>'3.1. Centralised Offshore'!O4</f>
        <v>831996119.91403294</v>
      </c>
      <c r="R2" s="1">
        <f>'3.1. Centralised Offshore'!P4</f>
        <v>0</v>
      </c>
      <c r="S2" s="1">
        <f>'3.1. Centralised Offshore'!Q4</f>
        <v>0</v>
      </c>
      <c r="T2" s="1">
        <f>'3.1. Centralised Offshore'!R4</f>
        <v>0</v>
      </c>
      <c r="U2" s="1">
        <f>'3.1. Centralised Offshore'!S4</f>
        <v>8319961.1991403298</v>
      </c>
      <c r="V2" s="1">
        <f>'3.1. Centralised Offshore'!T4</f>
        <v>0</v>
      </c>
      <c r="W2" s="1">
        <f>'3.1. Centralised Offshore'!U4</f>
        <v>0</v>
      </c>
    </row>
    <row r="3" spans="1:23" x14ac:dyDescent="0.25">
      <c r="A3" s="2" t="s">
        <v>324</v>
      </c>
      <c r="B3" s="1" t="s">
        <v>309</v>
      </c>
      <c r="C3" s="1" t="str">
        <f>'3.1. Centralised Offshore'!A5</f>
        <v>Offshore Large - Repurposed</v>
      </c>
      <c r="D3" s="1" t="str">
        <f>'3.1. Centralised Offshore'!B5</f>
        <v>E</v>
      </c>
      <c r="E3" s="1">
        <f>'3.1. Centralised Offshore'!C5</f>
        <v>1</v>
      </c>
      <c r="F3" s="1">
        <f>'3.1. Centralised Offshore'!D5</f>
        <v>1</v>
      </c>
      <c r="G3" s="1">
        <f>'3.1. Centralised Offshore'!E5</f>
        <v>20</v>
      </c>
      <c r="H3" s="1">
        <f>'3.1. Centralised Offshore'!F5</f>
        <v>1</v>
      </c>
      <c r="I3" s="1" t="str">
        <f>'3.1. Centralised Offshore'!G5</f>
        <v>Offshore</v>
      </c>
      <c r="J3" s="1" t="str">
        <f>'3.1. Centralised Offshore'!H5</f>
        <v>Centralised</v>
      </c>
      <c r="K3" s="1">
        <f>'3.1. Centralised Offshore'!I5</f>
        <v>54221000</v>
      </c>
      <c r="L3" s="1">
        <f>'3.1. Centralised Offshore'!J5</f>
        <v>0</v>
      </c>
      <c r="M3" s="1">
        <f>'3.1. Centralised Offshore'!K5</f>
        <v>0</v>
      </c>
      <c r="N3" s="1">
        <f>'3.1. Centralised Offshore'!L5</f>
        <v>0</v>
      </c>
      <c r="O3" s="1">
        <f>'3.1. Centralised Offshore'!M5</f>
        <v>542210</v>
      </c>
      <c r="P3" s="1">
        <f>'3.1. Centralised Offshore'!N5</f>
        <v>0</v>
      </c>
      <c r="Q3" s="1">
        <f>'3.1. Centralised Offshore'!O5</f>
        <v>205971925.53999996</v>
      </c>
      <c r="R3" s="1">
        <f>'3.1. Centralised Offshore'!P5</f>
        <v>0</v>
      </c>
      <c r="S3" s="1">
        <f>'3.1. Centralised Offshore'!Q5</f>
        <v>0</v>
      </c>
      <c r="T3" s="1">
        <f>'3.1. Centralised Offshore'!R5</f>
        <v>0</v>
      </c>
      <c r="U3" s="1">
        <f>'3.1. Centralised Offshore'!S5</f>
        <v>2059719.2553999997</v>
      </c>
      <c r="V3" s="1">
        <f>'3.1. Centralised Offshore'!T5</f>
        <v>0</v>
      </c>
      <c r="W3" s="1">
        <f>'3.1. Centralised Offshore'!U5</f>
        <v>0</v>
      </c>
    </row>
    <row r="4" spans="1:23" x14ac:dyDescent="0.25">
      <c r="A4" s="2" t="s">
        <v>324</v>
      </c>
      <c r="B4" s="1" t="s">
        <v>310</v>
      </c>
      <c r="C4" s="1" t="str">
        <f>'3.1. Centralised Offshore'!A6</f>
        <v>Offshore Large - Retrofitted</v>
      </c>
      <c r="D4" s="1" t="str">
        <f>'3.1. Centralised Offshore'!B6</f>
        <v>NG</v>
      </c>
      <c r="E4" s="1">
        <f>'3.1. Centralised Offshore'!C6</f>
        <v>1</v>
      </c>
      <c r="F4" s="1">
        <f>'3.1. Centralised Offshore'!D6</f>
        <v>1</v>
      </c>
      <c r="G4" s="1">
        <f>'3.1. Centralised Offshore'!E6</f>
        <v>20</v>
      </c>
      <c r="H4" s="1">
        <f>'3.1. Centralised Offshore'!F6</f>
        <v>1</v>
      </c>
      <c r="I4" s="1" t="str">
        <f>'3.1. Centralised Offshore'!G6</f>
        <v>Offshore</v>
      </c>
      <c r="J4" s="1" t="str">
        <f>'3.1. Centralised Offshore'!H6</f>
        <v>Centralised</v>
      </c>
      <c r="K4" s="1">
        <f>'3.1. Centralised Offshore'!I6</f>
        <v>54221000</v>
      </c>
      <c r="L4" s="1">
        <f>'3.1. Centralised Offshore'!J6</f>
        <v>0</v>
      </c>
      <c r="M4" s="1">
        <f>'3.1. Centralised Offshore'!K6</f>
        <v>0</v>
      </c>
      <c r="N4" s="1">
        <f>'3.1. Centralised Offshore'!L6</f>
        <v>0</v>
      </c>
      <c r="O4" s="1">
        <f>'3.1. Centralised Offshore'!M6</f>
        <v>542210</v>
      </c>
      <c r="P4" s="1">
        <f>'3.1. Centralised Offshore'!N6</f>
        <v>0</v>
      </c>
      <c r="Q4" s="1">
        <f>'3.1. Centralised Offshore'!O6</f>
        <v>205971925.53999996</v>
      </c>
      <c r="R4" s="1">
        <f>'3.1. Centralised Offshore'!P6</f>
        <v>0</v>
      </c>
      <c r="S4" s="1">
        <f>'3.1. Centralised Offshore'!Q6</f>
        <v>0</v>
      </c>
      <c r="T4" s="1">
        <f>'3.1. Centralised Offshore'!R6</f>
        <v>0</v>
      </c>
      <c r="U4" s="1">
        <f>'3.1. Centralised Offshore'!S6</f>
        <v>2059719.2553999997</v>
      </c>
      <c r="V4" s="1">
        <f>'3.1. Centralised Offshore'!T6</f>
        <v>0</v>
      </c>
      <c r="W4" s="1">
        <f>'3.1. Centralised Offshore'!U6</f>
        <v>0</v>
      </c>
    </row>
    <row r="5" spans="1:23" x14ac:dyDescent="0.25">
      <c r="A5" s="85" t="s">
        <v>325</v>
      </c>
      <c r="B5" s="1" t="s">
        <v>311</v>
      </c>
      <c r="C5" s="1" t="str">
        <f>'3.2. Decentralised Offshore'!B4</f>
        <v>Offshore Decentralised</v>
      </c>
      <c r="D5" s="1" t="str">
        <f>'3.2. Decentralised Offshore'!C4</f>
        <v>E</v>
      </c>
      <c r="E5" s="1">
        <f>'3.2. Decentralised Offshore'!D4</f>
        <v>1</v>
      </c>
      <c r="F5" s="1">
        <f>'3.2. Decentralised Offshore'!E4</f>
        <v>1</v>
      </c>
      <c r="G5" s="1">
        <f>'3.2. Decentralised Offshore'!F4</f>
        <v>25</v>
      </c>
      <c r="H5" s="1">
        <f>'3.2. Decentralised Offshore'!G4</f>
        <v>1</v>
      </c>
      <c r="I5" s="1" t="str">
        <f>'3.2. Decentralised Offshore'!H4</f>
        <v>Offshore</v>
      </c>
      <c r="J5" s="1" t="str">
        <f>'3.2. Decentralised Offshore'!I4</f>
        <v>Decentralised - PEM</v>
      </c>
      <c r="K5" s="1">
        <f>'3.2. Decentralised Offshore'!J4</f>
        <v>5402146.7740310086</v>
      </c>
      <c r="L5" s="1">
        <f>'3.2. Decentralised Offshore'!K4</f>
        <v>0</v>
      </c>
      <c r="M5" s="1">
        <f>'3.2. Decentralised Offshore'!L4</f>
        <v>0</v>
      </c>
      <c r="N5" s="1">
        <f>'3.2. Decentralised Offshore'!M4</f>
        <v>0</v>
      </c>
      <c r="O5" s="1">
        <f>'3.2. Decentralised Offshore'!N4</f>
        <v>54021.467740310087</v>
      </c>
      <c r="P5" s="1">
        <f>'3.2. Decentralised Offshore'!O4</f>
        <v>0</v>
      </c>
      <c r="Q5" s="1">
        <f>'3.2. Decentralised Offshore'!P4</f>
        <v>19830260.609505981</v>
      </c>
      <c r="R5" s="1">
        <f>'3.2. Decentralised Offshore'!Q4</f>
        <v>0</v>
      </c>
      <c r="S5" s="1">
        <f>'3.2. Decentralised Offshore'!R4</f>
        <v>0</v>
      </c>
      <c r="T5" s="1">
        <f>'3.2. Decentralised Offshore'!S4</f>
        <v>0</v>
      </c>
      <c r="U5" s="1">
        <f>'3.2. Decentralised Offshore'!T4</f>
        <v>198302.6060950598</v>
      </c>
      <c r="V5" s="1">
        <f>'3.2. Decentralised Offshore'!U4</f>
        <v>0</v>
      </c>
      <c r="W5" s="1">
        <f>'3.2. Decentralised Offshore'!V4</f>
        <v>0</v>
      </c>
    </row>
    <row r="6" spans="1:23" x14ac:dyDescent="0.25">
      <c r="A6" s="85" t="s">
        <v>325</v>
      </c>
      <c r="B6" s="1" t="s">
        <v>312</v>
      </c>
      <c r="C6" s="1" t="str">
        <f>'3.2. Decentralised Offshore'!B5</f>
        <v>Offshore Decentralised</v>
      </c>
      <c r="D6" s="1" t="str">
        <f>'3.2. Decentralised Offshore'!C5</f>
        <v>E</v>
      </c>
      <c r="E6" s="1">
        <f>'3.2. Decentralised Offshore'!D5</f>
        <v>1</v>
      </c>
      <c r="F6" s="1">
        <f>'3.2. Decentralised Offshore'!E5</f>
        <v>1</v>
      </c>
      <c r="G6" s="1">
        <f>'3.2. Decentralised Offshore'!F5</f>
        <v>25</v>
      </c>
      <c r="H6" s="1">
        <f>'3.2. Decentralised Offshore'!G5</f>
        <v>1</v>
      </c>
      <c r="I6" s="1" t="str">
        <f>'3.2. Decentralised Offshore'!H5</f>
        <v>Offshore</v>
      </c>
      <c r="J6" s="1" t="str">
        <f>'3.2. Decentralised Offshore'!I5</f>
        <v>Decentralised - ALK</v>
      </c>
      <c r="K6" s="1">
        <f>'3.2. Decentralised Offshore'!J5</f>
        <v>5323840.7740310086</v>
      </c>
      <c r="L6" s="1">
        <f>'3.2. Decentralised Offshore'!K5</f>
        <v>0</v>
      </c>
      <c r="M6" s="1">
        <f>'3.2. Decentralised Offshore'!L5</f>
        <v>0</v>
      </c>
      <c r="N6" s="1">
        <f>'3.2. Decentralised Offshore'!M5</f>
        <v>0</v>
      </c>
      <c r="O6" s="1">
        <f>'3.2. Decentralised Offshore'!N5</f>
        <v>53238.407740310089</v>
      </c>
      <c r="P6" s="1">
        <f>'3.2. Decentralised Offshore'!O5</f>
        <v>0</v>
      </c>
      <c r="Q6" s="1">
        <f>'3.2. Decentralised Offshore'!P5</f>
        <v>19531431.14950598</v>
      </c>
      <c r="R6" s="1">
        <f>'3.2. Decentralised Offshore'!Q5</f>
        <v>0</v>
      </c>
      <c r="S6" s="1">
        <f>'3.2. Decentralised Offshore'!R5</f>
        <v>0</v>
      </c>
      <c r="T6" s="1">
        <f>'3.2. Decentralised Offshore'!S5</f>
        <v>0</v>
      </c>
      <c r="U6" s="1">
        <f>'3.2. Decentralised Offshore'!T5</f>
        <v>195314.31149505981</v>
      </c>
      <c r="V6" s="1">
        <f>'3.2. Decentralised Offshore'!U5</f>
        <v>0</v>
      </c>
      <c r="W6" s="1">
        <f>'3.2. Decentralised Offshore'!V5</f>
        <v>0</v>
      </c>
    </row>
    <row r="7" spans="1:23" x14ac:dyDescent="0.25">
      <c r="A7" s="2" t="s">
        <v>326</v>
      </c>
      <c r="B7" s="1" t="s">
        <v>919</v>
      </c>
      <c r="C7" s="1" t="str">
        <f>'3.3. Onshore'!A4</f>
        <v>Centralised</v>
      </c>
      <c r="D7" s="1" t="str">
        <f>'3.3. Onshore'!B4</f>
        <v>E</v>
      </c>
      <c r="E7" s="1">
        <f>'3.3. Onshore'!C4</f>
        <v>1</v>
      </c>
      <c r="F7" s="1">
        <f>'3.3. Onshore'!D4</f>
        <v>1</v>
      </c>
      <c r="G7" s="1">
        <f>'3.3. Onshore'!E4</f>
        <v>40</v>
      </c>
      <c r="H7" s="1">
        <f>'3.3. Onshore'!F4</f>
        <v>1</v>
      </c>
      <c r="I7" s="1" t="str">
        <f>'3.3. Onshore'!G4</f>
        <v>Onshore</v>
      </c>
      <c r="J7" s="1" t="str">
        <f>'3.3. Onshore'!H4</f>
        <v>Centralised - PEM</v>
      </c>
      <c r="K7" s="1">
        <f>'3.3. Onshore'!I4</f>
        <v>1887750</v>
      </c>
      <c r="L7" s="1">
        <f>'3.3. Onshore'!J4</f>
        <v>0</v>
      </c>
      <c r="M7" s="1">
        <f>'3.3. Onshore'!K4</f>
        <v>0</v>
      </c>
      <c r="N7" s="1">
        <f>'3.3. Onshore'!L4</f>
        <v>0</v>
      </c>
      <c r="O7" s="1">
        <f>'3.3. Onshore'!M4</f>
        <v>18877.5</v>
      </c>
      <c r="P7" s="1">
        <f>'3.3. Onshore'!N4</f>
        <v>0</v>
      </c>
      <c r="Q7" s="1">
        <f>'3.3. Onshore'!O4</f>
        <v>7096198.6898734178</v>
      </c>
      <c r="R7" s="1">
        <f>'3.3. Onshore'!P4</f>
        <v>0</v>
      </c>
      <c r="S7" s="1">
        <f>'3.3. Onshore'!Q4</f>
        <v>0</v>
      </c>
      <c r="T7" s="1">
        <f>'3.3. Onshore'!R4</f>
        <v>0</v>
      </c>
      <c r="U7" s="1">
        <f>'3.3. Onshore'!S4</f>
        <v>70961.986898734176</v>
      </c>
      <c r="V7" s="1">
        <f>'3.3. Onshore'!T4</f>
        <v>0</v>
      </c>
      <c r="W7" s="1">
        <f>'3.3. Onshore'!U4</f>
        <v>0</v>
      </c>
    </row>
    <row r="8" spans="1:23" x14ac:dyDescent="0.25">
      <c r="A8" s="2" t="s">
        <v>326</v>
      </c>
      <c r="B8" s="1" t="s">
        <v>920</v>
      </c>
      <c r="C8" s="1" t="str">
        <f>'3.3. Onshore'!A5</f>
        <v>Centralised</v>
      </c>
      <c r="D8" s="1" t="str">
        <f>'3.3. Onshore'!B5</f>
        <v>E</v>
      </c>
      <c r="E8" s="1">
        <f>'3.3. Onshore'!C5</f>
        <v>1</v>
      </c>
      <c r="F8" s="1">
        <f>'3.3. Onshore'!D5</f>
        <v>1</v>
      </c>
      <c r="G8" s="1">
        <f>'3.3. Onshore'!E5</f>
        <v>40</v>
      </c>
      <c r="H8" s="1">
        <f>'3.3. Onshore'!F5</f>
        <v>1</v>
      </c>
      <c r="I8" s="1" t="str">
        <f>'3.3. Onshore'!G5</f>
        <v>Onshore</v>
      </c>
      <c r="J8" s="1" t="str">
        <f>'3.3. Onshore'!H5</f>
        <v>Centralised - ALK</v>
      </c>
      <c r="K8" s="1">
        <f>'3.3. Onshore'!I5</f>
        <v>3481850</v>
      </c>
      <c r="L8" s="1">
        <f>'3.3. Onshore'!J5</f>
        <v>0</v>
      </c>
      <c r="M8" s="1">
        <f>'3.3. Onshore'!K5</f>
        <v>0</v>
      </c>
      <c r="N8" s="1">
        <f>'3.3. Onshore'!L5</f>
        <v>0</v>
      </c>
      <c r="O8" s="1">
        <f>'3.3. Onshore'!M5</f>
        <v>34818.5</v>
      </c>
      <c r="P8" s="1">
        <f>'3.3. Onshore'!N5</f>
        <v>0</v>
      </c>
      <c r="Q8" s="1">
        <f>'3.3. Onshore'!O5</f>
        <v>13088544.250210971</v>
      </c>
      <c r="R8" s="1">
        <f>'3.3. Onshore'!P5</f>
        <v>0</v>
      </c>
      <c r="S8" s="1">
        <f>'3.3. Onshore'!Q5</f>
        <v>0</v>
      </c>
      <c r="T8" s="1">
        <f>'3.3. Onshore'!R5</f>
        <v>0</v>
      </c>
      <c r="U8" s="1">
        <f>'3.3. Onshore'!S5</f>
        <v>130885.44250210971</v>
      </c>
      <c r="V8" s="1">
        <f>'3.3. Onshore'!T5</f>
        <v>0</v>
      </c>
      <c r="W8" s="1">
        <f>'3.3. Onshore'!U5</f>
        <v>0</v>
      </c>
    </row>
    <row r="9" spans="1:23" x14ac:dyDescent="0.25">
      <c r="A9" s="2" t="s">
        <v>326</v>
      </c>
      <c r="B9" s="1" t="s">
        <v>313</v>
      </c>
      <c r="C9" s="1" t="str">
        <f>'3.3. Onshore'!A6</f>
        <v>Decentralised</v>
      </c>
      <c r="D9" s="1" t="str">
        <f>'3.3. Onshore'!B6</f>
        <v>E</v>
      </c>
      <c r="E9" s="1">
        <f>'3.3. Onshore'!C6</f>
        <v>1</v>
      </c>
      <c r="F9" s="1">
        <f>'3.3. Onshore'!D6</f>
        <v>1</v>
      </c>
      <c r="G9" s="1">
        <f>'3.3. Onshore'!E6</f>
        <v>40</v>
      </c>
      <c r="H9" s="1">
        <f>'3.3. Onshore'!F6</f>
        <v>1</v>
      </c>
      <c r="I9" s="1" t="str">
        <f>'3.3. Onshore'!G6</f>
        <v>Onshore</v>
      </c>
      <c r="J9" s="1" t="str">
        <f>'3.3. Onshore'!H6</f>
        <v>Decentralised - PEM</v>
      </c>
      <c r="K9" s="1">
        <f>'3.3. Onshore'!I6</f>
        <v>88934</v>
      </c>
      <c r="L9" s="1">
        <f>'3.3. Onshore'!J6</f>
        <v>0</v>
      </c>
      <c r="M9" s="1">
        <f>'3.3. Onshore'!K6</f>
        <v>0</v>
      </c>
      <c r="N9" s="1">
        <f>'3.3. Onshore'!L6</f>
        <v>0</v>
      </c>
      <c r="O9" s="1">
        <f>'3.3. Onshore'!M6</f>
        <v>889.34</v>
      </c>
      <c r="P9" s="1">
        <f>'3.3. Onshore'!N6</f>
        <v>0</v>
      </c>
      <c r="Q9" s="1">
        <f>'3.3. Onshore'!O6</f>
        <v>334309.80494514771</v>
      </c>
      <c r="R9" s="1">
        <f>'3.3. Onshore'!P6</f>
        <v>0</v>
      </c>
      <c r="S9" s="1">
        <f>'3.3. Onshore'!Q6</f>
        <v>0</v>
      </c>
      <c r="T9" s="1">
        <f>'3.3. Onshore'!R6</f>
        <v>0</v>
      </c>
      <c r="U9" s="1">
        <f>'3.3. Onshore'!S6</f>
        <v>3343.098049451477</v>
      </c>
      <c r="V9" s="1">
        <f>'3.3. Onshore'!T6</f>
        <v>0</v>
      </c>
      <c r="W9" s="1">
        <f>'3.3. Onshore'!U6</f>
        <v>0</v>
      </c>
    </row>
    <row r="10" spans="1:23" x14ac:dyDescent="0.25">
      <c r="A10" s="2" t="s">
        <v>326</v>
      </c>
      <c r="B10" s="1" t="s">
        <v>314</v>
      </c>
      <c r="C10" s="1" t="str">
        <f>'3.3. Onshore'!A7</f>
        <v>Decentralised</v>
      </c>
      <c r="D10" s="1" t="str">
        <f>'3.3. Onshore'!B7</f>
        <v>E</v>
      </c>
      <c r="E10" s="1">
        <f>'3.3. Onshore'!C7</f>
        <v>1</v>
      </c>
      <c r="F10" s="1">
        <f>'3.3. Onshore'!D7</f>
        <v>1</v>
      </c>
      <c r="G10" s="1">
        <f>'3.3. Onshore'!E7</f>
        <v>40</v>
      </c>
      <c r="H10" s="1">
        <f>'3.3. Onshore'!F7</f>
        <v>1</v>
      </c>
      <c r="I10" s="1" t="str">
        <f>'3.3. Onshore'!G7</f>
        <v>Onshore</v>
      </c>
      <c r="J10" s="1" t="str">
        <f>'3.3. Onshore'!H7</f>
        <v>Decentralised - ALK</v>
      </c>
      <c r="K10" s="1">
        <f>'3.3. Onshore'!I7</f>
        <v>174092.5</v>
      </c>
      <c r="L10" s="1">
        <f>'3.3. Onshore'!J7</f>
        <v>0</v>
      </c>
      <c r="M10" s="1">
        <f>'3.3. Onshore'!K7</f>
        <v>0</v>
      </c>
      <c r="N10" s="1">
        <f>'3.3. Onshore'!L7</f>
        <v>0</v>
      </c>
      <c r="O10" s="1">
        <f>'3.3. Onshore'!M7</f>
        <v>1740.925</v>
      </c>
      <c r="P10" s="1">
        <f>'3.3. Onshore'!N7</f>
        <v>0</v>
      </c>
      <c r="Q10" s="1">
        <f>'3.3. Onshore'!O7</f>
        <v>654427.21251054853</v>
      </c>
      <c r="R10" s="1">
        <f>'3.3. Onshore'!P7</f>
        <v>0</v>
      </c>
      <c r="S10" s="1">
        <f>'3.3. Onshore'!Q7</f>
        <v>0</v>
      </c>
      <c r="T10" s="1">
        <f>'3.3. Onshore'!R7</f>
        <v>0</v>
      </c>
      <c r="U10" s="1">
        <f>'3.3. Onshore'!S7</f>
        <v>6544.2721251054854</v>
      </c>
      <c r="V10" s="1">
        <f>'3.3. Onshore'!T7</f>
        <v>0</v>
      </c>
      <c r="W10" s="1">
        <f>'3.3. Onshore'!U7</f>
        <v>0</v>
      </c>
    </row>
    <row r="11" spans="1:23" x14ac:dyDescent="0.25">
      <c r="A11" s="2" t="s">
        <v>326</v>
      </c>
      <c r="B11" s="1" t="s">
        <v>315</v>
      </c>
      <c r="C11" s="1" t="str">
        <f>'3.3. Onshore'!A8</f>
        <v xml:space="preserve">Centralised NG </v>
      </c>
      <c r="D11" s="1" t="str">
        <f>'3.3. Onshore'!B8</f>
        <v>NG</v>
      </c>
      <c r="E11" s="1">
        <f>'3.3. Onshore'!C8</f>
        <v>221555000.00000003</v>
      </c>
      <c r="F11" s="1">
        <f>'3.3. Onshore'!D8</f>
        <v>1</v>
      </c>
      <c r="G11" s="1">
        <f>'3.3. Onshore'!E8</f>
        <v>40</v>
      </c>
      <c r="H11" s="1">
        <f>'3.3. Onshore'!F8</f>
        <v>1</v>
      </c>
      <c r="I11" s="1" t="str">
        <f>'3.3. Onshore'!G8</f>
        <v>Onshore</v>
      </c>
      <c r="J11" s="1" t="str">
        <f>'3.3. Onshore'!H8</f>
        <v>Centralised NG</v>
      </c>
      <c r="K11" s="1">
        <f>'3.3. Onshore'!I8</f>
        <v>9842938.25</v>
      </c>
      <c r="L11" s="1">
        <f>'3.3. Onshore'!J8</f>
        <v>0</v>
      </c>
      <c r="M11" s="1">
        <f>'3.3. Onshore'!K8</f>
        <v>0</v>
      </c>
      <c r="N11" s="1">
        <f>'3.3. Onshore'!L8</f>
        <v>0</v>
      </c>
      <c r="O11" s="1">
        <f>'3.3. Onshore'!M8</f>
        <v>98429.382500000007</v>
      </c>
      <c r="P11" s="1">
        <f>'3.3. Onshore'!N8</f>
        <v>0</v>
      </c>
      <c r="Q11" s="1">
        <f>'3.3. Onshore'!O8</f>
        <v>9.8429382499999996</v>
      </c>
      <c r="R11" s="1">
        <f>'3.3. Onshore'!P8</f>
        <v>0</v>
      </c>
      <c r="S11" s="1">
        <f>'3.3. Onshore'!Q8</f>
        <v>0</v>
      </c>
      <c r="T11" s="1">
        <f>'3.3. Onshore'!R8</f>
        <v>0</v>
      </c>
      <c r="U11" s="1">
        <f>'3.3. Onshore'!S8</f>
        <v>9.8429382499999996E-2</v>
      </c>
      <c r="V11" s="1">
        <f>'3.3. Onshore'!T8</f>
        <v>0</v>
      </c>
      <c r="W11" s="1">
        <f>'3.3. Onshore'!U8</f>
        <v>0</v>
      </c>
    </row>
  </sheetData>
  <hyperlinks>
    <hyperlink ref="A2:A4" location="'3.1. Centralised Offshore'!A1" display="3.1." xr:uid="{33E5E60C-0EC3-4E9F-A29D-CC3D1F58F8BE}"/>
    <hyperlink ref="A5:A6" location="'3.2. Decentralised Offshore'!A1" display="3.2." xr:uid="{B4D515AC-9E94-4FF1-A97D-7740BACAA68A}"/>
    <hyperlink ref="A7:A11" location="'3.3. Onshore'!A1" display="3.3." xr:uid="{5D76A467-1676-4447-B61B-17332152C6D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515C-0B2C-41DC-850B-F8020C0A1266}">
  <dimension ref="A1:X19"/>
  <sheetViews>
    <sheetView workbookViewId="0">
      <selection activeCell="C19" sqref="C19:K19"/>
    </sheetView>
  </sheetViews>
  <sheetFormatPr defaultRowHeight="15" x14ac:dyDescent="0.25"/>
  <cols>
    <col min="2" max="2" width="14.140625" bestFit="1" customWidth="1"/>
    <col min="3" max="3" width="22.7109375" bestFit="1" customWidth="1"/>
  </cols>
  <sheetData>
    <row r="1" spans="1:24" ht="60" x14ac:dyDescent="0.25">
      <c r="A1" s="10" t="s">
        <v>75</v>
      </c>
      <c r="B1" s="10" t="s">
        <v>28</v>
      </c>
      <c r="C1" s="10" t="s">
        <v>5</v>
      </c>
      <c r="D1" s="10" t="s">
        <v>7</v>
      </c>
      <c r="E1" s="10" t="s">
        <v>29</v>
      </c>
      <c r="F1" s="10" t="s">
        <v>30</v>
      </c>
      <c r="G1" s="10" t="s">
        <v>31</v>
      </c>
      <c r="H1" s="10" t="s">
        <v>32</v>
      </c>
      <c r="I1" s="10" t="s">
        <v>1</v>
      </c>
      <c r="J1" s="11" t="s">
        <v>34</v>
      </c>
      <c r="K1" s="11" t="s">
        <v>35</v>
      </c>
      <c r="L1" s="11" t="s">
        <v>36</v>
      </c>
      <c r="M1" s="11" t="s">
        <v>37</v>
      </c>
      <c r="N1" s="11" t="s">
        <v>38</v>
      </c>
      <c r="O1" s="11" t="s">
        <v>39</v>
      </c>
      <c r="P1" s="7" t="s">
        <v>40</v>
      </c>
      <c r="Q1" s="7" t="s">
        <v>41</v>
      </c>
      <c r="R1" s="7" t="s">
        <v>42</v>
      </c>
      <c r="S1" s="7" t="s">
        <v>43</v>
      </c>
      <c r="T1" s="7" t="s">
        <v>44</v>
      </c>
      <c r="U1" s="7" t="s">
        <v>45</v>
      </c>
      <c r="V1" s="7" t="s">
        <v>2</v>
      </c>
      <c r="W1" s="7" t="s">
        <v>46</v>
      </c>
      <c r="X1" s="10" t="s">
        <v>688</v>
      </c>
    </row>
    <row r="2" spans="1:24" ht="15" customHeight="1" x14ac:dyDescent="0.25">
      <c r="A2" s="2">
        <v>4.0999999999999996</v>
      </c>
      <c r="B2" s="1" t="s">
        <v>689</v>
      </c>
      <c r="C2" s="1" t="str">
        <f>'4.1. Pipelines'!A4</f>
        <v>Repurposed H2 Pipeline</v>
      </c>
      <c r="D2" s="1" t="str">
        <f>'4.1. Pipelines'!B4</f>
        <v>E</v>
      </c>
      <c r="E2" s="1">
        <f>'4.1. Pipelines'!C4</f>
        <v>2312312312.3123126</v>
      </c>
      <c r="F2" s="1">
        <f>'4.1. Pipelines'!D4</f>
        <v>1</v>
      </c>
      <c r="G2" s="1">
        <f>'4.1. Pipelines'!E4</f>
        <v>20</v>
      </c>
      <c r="H2" s="1">
        <f>'4.1. Pipelines'!F4</f>
        <v>0.98799999999999999</v>
      </c>
      <c r="I2" s="1" t="str">
        <f>'4.1. Pipelines'!G4</f>
        <v>Offshore</v>
      </c>
      <c r="J2" s="1">
        <f>'4.1. Pipelines'!H4</f>
        <v>0</v>
      </c>
      <c r="K2" s="1">
        <f>'4.1. Pipelines'!I4</f>
        <v>983273.1</v>
      </c>
      <c r="L2" s="1">
        <f>'4.1. Pipelines'!J4</f>
        <v>0</v>
      </c>
      <c r="M2" s="1">
        <f>'4.1. Pipelines'!K4</f>
        <v>1.4248971193415639E-4</v>
      </c>
      <c r="N2" s="1">
        <f>'4.1. Pipelines'!L4</f>
        <v>0</v>
      </c>
      <c r="O2" s="1">
        <f>'4.1. Pipelines'!M4</f>
        <v>983.2731</v>
      </c>
      <c r="P2" s="1">
        <f>'4.1. Pipelines'!N4</f>
        <v>0</v>
      </c>
      <c r="Q2" s="1">
        <f>'4.1. Pipelines'!O4</f>
        <v>249850</v>
      </c>
      <c r="R2" s="1">
        <f>'4.1. Pipelines'!P4</f>
        <v>0</v>
      </c>
      <c r="S2" s="1">
        <f>'4.1. Pipelines'!Q4</f>
        <v>0</v>
      </c>
      <c r="T2" s="1">
        <f>'4.1. Pipelines'!R4</f>
        <v>0</v>
      </c>
      <c r="U2" s="1">
        <f>'4.1. Pipelines'!S4</f>
        <v>249.85</v>
      </c>
      <c r="V2" s="1" t="str">
        <f>'4.1. Pipelines'!T4</f>
        <v>CH2</v>
      </c>
      <c r="W2" s="1">
        <f>'4.1. Pipelines'!U4</f>
        <v>2.0000000000000004E-4</v>
      </c>
      <c r="X2" s="1" t="str">
        <f>'4.1. Pipelines'!V4</f>
        <v>Pipeline</v>
      </c>
    </row>
    <row r="3" spans="1:24" x14ac:dyDescent="0.25">
      <c r="A3" s="2">
        <v>4.0999999999999996</v>
      </c>
      <c r="B3" s="1" t="s">
        <v>691</v>
      </c>
      <c r="C3" s="1" t="str">
        <f>'4.1. Pipelines'!A5</f>
        <v>Repurposed H2 Pipeline</v>
      </c>
      <c r="D3" s="1" t="str">
        <f>'4.1. Pipelines'!B5</f>
        <v>NG</v>
      </c>
      <c r="E3" s="1">
        <f>'4.1. Pipelines'!C5</f>
        <v>2312312312.3123126</v>
      </c>
      <c r="F3" s="1">
        <f>'4.1. Pipelines'!D5</f>
        <v>1</v>
      </c>
      <c r="G3" s="1">
        <f>'4.1. Pipelines'!E5</f>
        <v>20</v>
      </c>
      <c r="H3" s="1">
        <f>'4.1. Pipelines'!F5</f>
        <v>0.98799999999999999</v>
      </c>
      <c r="I3" s="1" t="str">
        <f>'4.1. Pipelines'!G5</f>
        <v>Offshore</v>
      </c>
      <c r="J3" s="1">
        <f>'4.1. Pipelines'!H5</f>
        <v>0</v>
      </c>
      <c r="K3" s="1">
        <f>'4.1. Pipelines'!I5</f>
        <v>983273.1</v>
      </c>
      <c r="L3" s="1">
        <f>'4.1. Pipelines'!J5</f>
        <v>0</v>
      </c>
      <c r="M3" s="1">
        <f>'4.1. Pipelines'!K5</f>
        <v>3.166438042981253E-4</v>
      </c>
      <c r="N3" s="1">
        <f>'4.1. Pipelines'!L5</f>
        <v>0</v>
      </c>
      <c r="O3" s="1">
        <f>'4.1. Pipelines'!M5</f>
        <v>983.2731</v>
      </c>
      <c r="P3" s="1">
        <f>'4.1. Pipelines'!N5</f>
        <v>0</v>
      </c>
      <c r="Q3" s="1">
        <f>'4.1. Pipelines'!O5</f>
        <v>249850</v>
      </c>
      <c r="R3" s="1">
        <f>'4.1. Pipelines'!P5</f>
        <v>0</v>
      </c>
      <c r="S3" s="1">
        <f>'4.1. Pipelines'!Q5</f>
        <v>0</v>
      </c>
      <c r="T3" s="1">
        <f>'4.1. Pipelines'!R5</f>
        <v>0</v>
      </c>
      <c r="U3" s="1">
        <f>'4.1. Pipelines'!S5</f>
        <v>249.85</v>
      </c>
      <c r="V3" s="1" t="str">
        <f>'4.1. Pipelines'!T5</f>
        <v>CH2</v>
      </c>
      <c r="W3" s="1">
        <f>'4.1. Pipelines'!U5</f>
        <v>2.0000000000000004E-4</v>
      </c>
      <c r="X3" s="1" t="str">
        <f>'4.1. Pipelines'!V5</f>
        <v>Pipeline</v>
      </c>
    </row>
    <row r="4" spans="1:24" x14ac:dyDescent="0.25">
      <c r="A4" s="2">
        <v>4.0999999999999996</v>
      </c>
      <c r="B4" s="1" t="s">
        <v>692</v>
      </c>
      <c r="C4" s="1" t="str">
        <f>'4.1. Pipelines'!A6</f>
        <v>New H2 Pipeline</v>
      </c>
      <c r="D4" s="1" t="str">
        <f>'4.1. Pipelines'!B6</f>
        <v>E</v>
      </c>
      <c r="E4" s="1">
        <f>'4.1. Pipelines'!C6</f>
        <v>2312312312.3123126</v>
      </c>
      <c r="F4" s="1">
        <f>'4.1. Pipelines'!D6</f>
        <v>1</v>
      </c>
      <c r="G4" s="1">
        <f>'4.1. Pipelines'!E6</f>
        <v>40</v>
      </c>
      <c r="H4" s="1">
        <f>'4.1. Pipelines'!F6</f>
        <v>0.98799999999999999</v>
      </c>
      <c r="I4" s="1" t="str">
        <f>'4.1. Pipelines'!G6</f>
        <v>Offshore</v>
      </c>
      <c r="J4" s="1">
        <f>'4.1. Pipelines'!H6</f>
        <v>0</v>
      </c>
      <c r="K4" s="1">
        <f>'4.1. Pipelines'!I6</f>
        <v>14063283.028199999</v>
      </c>
      <c r="L4" s="1">
        <f>'4.1. Pipelines'!J6</f>
        <v>0</v>
      </c>
      <c r="M4" s="1">
        <f>'4.1. Pipelines'!K6</f>
        <v>1.4248971193415639E-4</v>
      </c>
      <c r="N4" s="1">
        <f>'4.1. Pipelines'!L6</f>
        <v>0</v>
      </c>
      <c r="O4" s="1">
        <f>'4.1. Pipelines'!M6</f>
        <v>14063.2830282</v>
      </c>
      <c r="P4" s="1">
        <f>'4.1. Pipelines'!N6</f>
        <v>0</v>
      </c>
      <c r="Q4" s="1">
        <f>'4.1. Pipelines'!O6</f>
        <v>3645879.5</v>
      </c>
      <c r="R4" s="1">
        <f>'4.1. Pipelines'!P6</f>
        <v>0</v>
      </c>
      <c r="S4" s="1">
        <f>'4.1. Pipelines'!Q6</f>
        <v>6.6811842706904442E-5</v>
      </c>
      <c r="T4" s="1">
        <f>'4.1. Pipelines'!R6</f>
        <v>0</v>
      </c>
      <c r="U4" s="1">
        <f>'4.1. Pipelines'!S6</f>
        <v>3645.8795</v>
      </c>
      <c r="V4" s="1" t="str">
        <f>'4.1. Pipelines'!T6</f>
        <v>CH2</v>
      </c>
      <c r="W4" s="1">
        <f>'4.1. Pipelines'!U6</f>
        <v>2.0000000000000004E-4</v>
      </c>
      <c r="X4" s="1" t="str">
        <f>'4.1. Pipelines'!V6</f>
        <v>Pipeline</v>
      </c>
    </row>
    <row r="5" spans="1:24" x14ac:dyDescent="0.25">
      <c r="A5" s="2">
        <v>4.0999999999999996</v>
      </c>
      <c r="B5" s="1" t="s">
        <v>693</v>
      </c>
      <c r="C5" s="1" t="str">
        <f>'4.1. Pipelines'!A7</f>
        <v>New H2 Pipeline</v>
      </c>
      <c r="D5" s="1" t="str">
        <f>'4.1. Pipelines'!B7</f>
        <v>NG</v>
      </c>
      <c r="E5" s="1">
        <f>'4.1. Pipelines'!C7</f>
        <v>2312312312.3123126</v>
      </c>
      <c r="F5" s="1">
        <f>'4.1. Pipelines'!D7</f>
        <v>1</v>
      </c>
      <c r="G5" s="1">
        <f>'4.1. Pipelines'!E7</f>
        <v>40</v>
      </c>
      <c r="H5" s="1">
        <f>'4.1. Pipelines'!F7</f>
        <v>0.98799999999999999</v>
      </c>
      <c r="I5" s="1" t="str">
        <f>'4.1. Pipelines'!G7</f>
        <v>Offshore</v>
      </c>
      <c r="J5" s="1">
        <f>'4.1. Pipelines'!H7</f>
        <v>0</v>
      </c>
      <c r="K5" s="1">
        <f>'4.1. Pipelines'!I7</f>
        <v>14063283.028199999</v>
      </c>
      <c r="L5" s="1">
        <f>'4.1. Pipelines'!J7</f>
        <v>0</v>
      </c>
      <c r="M5" s="1">
        <f>'4.1. Pipelines'!K7</f>
        <v>3.166438042981253E-4</v>
      </c>
      <c r="N5" s="1">
        <f>'4.1. Pipelines'!L7</f>
        <v>0</v>
      </c>
      <c r="O5" s="1">
        <f>'4.1. Pipelines'!M7</f>
        <v>14063.2830282</v>
      </c>
      <c r="P5" s="1">
        <f>'4.1. Pipelines'!N7</f>
        <v>0</v>
      </c>
      <c r="Q5" s="1">
        <f>'4.1. Pipelines'!O7</f>
        <v>3645879.5</v>
      </c>
      <c r="R5" s="1">
        <f>'4.1. Pipelines'!P7</f>
        <v>0</v>
      </c>
      <c r="S5" s="1">
        <f>'4.1. Pipelines'!Q7</f>
        <v>6.6811842706904442E-5</v>
      </c>
      <c r="T5" s="1">
        <f>'4.1. Pipelines'!R7</f>
        <v>0</v>
      </c>
      <c r="U5" s="1">
        <f>'4.1. Pipelines'!S7</f>
        <v>3645.8795</v>
      </c>
      <c r="V5" s="1" t="str">
        <f>'4.1. Pipelines'!T7</f>
        <v>CH2</v>
      </c>
      <c r="W5" s="1">
        <f>'4.1. Pipelines'!U7</f>
        <v>2.0000000000000004E-4</v>
      </c>
      <c r="X5" s="1" t="str">
        <f>'4.1. Pipelines'!V7</f>
        <v>Pipeline</v>
      </c>
    </row>
    <row r="6" spans="1:24" x14ac:dyDescent="0.25">
      <c r="A6" s="2">
        <v>4.0999999999999996</v>
      </c>
      <c r="B6" s="1" t="s">
        <v>923</v>
      </c>
      <c r="C6" s="1" t="str">
        <f>'4.1. Pipelines'!A8</f>
        <v>Existing Pipeline</v>
      </c>
      <c r="D6" s="1" t="str">
        <f>'4.1. Pipelines'!B8</f>
        <v>NG</v>
      </c>
      <c r="E6" s="1">
        <f>'4.1. Pipelines'!C8</f>
        <v>2312312312.3123126</v>
      </c>
      <c r="F6" s="1">
        <f>'4.1. Pipelines'!D8</f>
        <v>1</v>
      </c>
      <c r="G6" s="1">
        <f>'4.1. Pipelines'!E8</f>
        <v>40</v>
      </c>
      <c r="H6" s="1">
        <f>'4.1. Pipelines'!F8</f>
        <v>1</v>
      </c>
      <c r="I6" s="1" t="str">
        <f>'4.1. Pipelines'!G8</f>
        <v>Onshore</v>
      </c>
      <c r="J6" s="1">
        <f>'4.1. Pipelines'!H8</f>
        <v>0</v>
      </c>
      <c r="K6" s="1">
        <f>'4.1. Pipelines'!I8</f>
        <v>0</v>
      </c>
      <c r="L6" s="1">
        <f>'4.1. Pipelines'!J8</f>
        <v>0</v>
      </c>
      <c r="M6" s="1">
        <f>'4.1. Pipelines'!K8</f>
        <v>0</v>
      </c>
      <c r="N6" s="1">
        <f>'4.1. Pipelines'!L8</f>
        <v>0</v>
      </c>
      <c r="O6" s="1">
        <f>'4.1. Pipelines'!M8</f>
        <v>0</v>
      </c>
      <c r="P6" s="1">
        <f>'4.1. Pipelines'!N8</f>
        <v>0</v>
      </c>
      <c r="Q6" s="1">
        <f>'4.1. Pipelines'!O8</f>
        <v>0</v>
      </c>
      <c r="R6" s="1">
        <f>'4.1. Pipelines'!P8</f>
        <v>0</v>
      </c>
      <c r="S6" s="1">
        <f>'4.1. Pipelines'!Q8</f>
        <v>0</v>
      </c>
      <c r="T6" s="1">
        <f>'4.1. Pipelines'!R8</f>
        <v>0</v>
      </c>
      <c r="U6" s="1">
        <f>'4.1. Pipelines'!S8</f>
        <v>0</v>
      </c>
      <c r="V6" s="1" t="str">
        <f>'4.1. Pipelines'!T8</f>
        <v>NG</v>
      </c>
      <c r="W6" s="1">
        <f>'4.1. Pipelines'!U8</f>
        <v>0</v>
      </c>
      <c r="X6" s="1" t="str">
        <f>'4.1. Pipelines'!V8</f>
        <v>Pipeline</v>
      </c>
    </row>
    <row r="7" spans="1:24" x14ac:dyDescent="0.25">
      <c r="A7" s="2">
        <v>4.2</v>
      </c>
      <c r="B7" s="1" t="s">
        <v>694</v>
      </c>
      <c r="C7" s="1" t="str">
        <f>'4.2. Cable'!A4</f>
        <v>Cable</v>
      </c>
      <c r="D7" s="1" t="str">
        <f>'4.2. Cable'!B4</f>
        <v>E</v>
      </c>
      <c r="E7" s="1">
        <f>'4.2. Cable'!C4</f>
        <v>1</v>
      </c>
      <c r="F7" s="1">
        <f>'4.2. Cable'!D4</f>
        <v>1</v>
      </c>
      <c r="G7" s="1">
        <f>'4.2. Cable'!E4</f>
        <v>1</v>
      </c>
      <c r="H7" s="1">
        <f>'4.2. Cable'!F4</f>
        <v>1</v>
      </c>
      <c r="I7" s="1" t="str">
        <f>'4.2. Cable'!G4</f>
        <v>Onshore</v>
      </c>
      <c r="J7" s="1">
        <f>'4.2. Cable'!H4</f>
        <v>0</v>
      </c>
      <c r="K7" s="1">
        <f>'4.2. Cable'!I4</f>
        <v>0</v>
      </c>
      <c r="L7" s="1">
        <f>'4.2. Cable'!J4</f>
        <v>0</v>
      </c>
      <c r="M7" s="1">
        <f>'4.2. Cable'!K4</f>
        <v>0</v>
      </c>
      <c r="N7" s="1">
        <f>'4.2. Cable'!L4</f>
        <v>0</v>
      </c>
      <c r="O7" s="1">
        <f>'4.2. Cable'!M4</f>
        <v>0</v>
      </c>
      <c r="P7" s="1">
        <f>'4.2. Cable'!N4</f>
        <v>0</v>
      </c>
      <c r="Q7" s="1">
        <f>'4.2. Cable'!O4</f>
        <v>0</v>
      </c>
      <c r="R7" s="1">
        <f>'4.2. Cable'!P4</f>
        <v>0</v>
      </c>
      <c r="S7" s="1">
        <f>'4.2. Cable'!Q4</f>
        <v>0</v>
      </c>
      <c r="T7" s="1">
        <f>'4.2. Cable'!R4</f>
        <v>0</v>
      </c>
      <c r="U7" s="1">
        <f>'4.2. Cable'!S4</f>
        <v>0</v>
      </c>
      <c r="V7" s="1" t="str">
        <f>'4.2. Cable'!T4</f>
        <v>Electricity</v>
      </c>
      <c r="W7" s="1">
        <f>'4.2. Cable'!U4</f>
        <v>0</v>
      </c>
      <c r="X7" s="1" t="str">
        <f>'4.2. Cable'!V4</f>
        <v>Cable</v>
      </c>
    </row>
    <row r="8" spans="1:24" x14ac:dyDescent="0.25">
      <c r="A8" s="2">
        <v>4.3</v>
      </c>
      <c r="B8" s="1" t="s">
        <v>695</v>
      </c>
      <c r="C8" s="1" t="str">
        <f>'4.3. Vessel - LH2'!B4</f>
        <v>Tanker (LH2)</v>
      </c>
      <c r="D8" s="1" t="str">
        <f>'4.3. Vessel - LH2'!C4</f>
        <v>LH2</v>
      </c>
      <c r="E8" s="1">
        <f>'4.3. Vessel - LH2'!D4</f>
        <v>7300000000</v>
      </c>
      <c r="F8" s="1">
        <f>'4.3. Vessel - LH2'!E4</f>
        <v>1</v>
      </c>
      <c r="G8" s="1">
        <f>'4.3. Vessel - LH2'!F4</f>
        <v>25</v>
      </c>
      <c r="H8" s="1">
        <f>'4.3. Vessel - LH2'!G4</f>
        <v>0.93320000000000003</v>
      </c>
      <c r="I8" s="1" t="str">
        <f>'4.3. Vessel - LH2'!H4</f>
        <v>Offshore</v>
      </c>
      <c r="J8" s="1">
        <f>'4.3. Vessel - LH2'!I4</f>
        <v>36635718896.194862</v>
      </c>
      <c r="K8" s="1">
        <f>'4.3. Vessel - LH2'!J4</f>
        <v>0</v>
      </c>
      <c r="L8" s="1">
        <f>'4.3. Vessel - LH2'!K4</f>
        <v>0</v>
      </c>
      <c r="M8" s="1">
        <f>'4.3. Vessel - LH2'!L4</f>
        <v>2.8229481641468682E-4</v>
      </c>
      <c r="N8" s="1">
        <f>'4.3. Vessel - LH2'!M4</f>
        <v>36635718.89619486</v>
      </c>
      <c r="O8" s="1">
        <f>'4.3. Vessel - LH2'!N4</f>
        <v>0</v>
      </c>
      <c r="P8" s="1">
        <f>'4.3. Vessel - LH2'!O4</f>
        <v>10142318324.414738</v>
      </c>
      <c r="Q8" s="1">
        <f>'4.3. Vessel - LH2'!P4</f>
        <v>0</v>
      </c>
      <c r="R8" s="1">
        <f>'4.3. Vessel - LH2'!Q4</f>
        <v>0</v>
      </c>
      <c r="S8" s="1">
        <f>'4.3. Vessel - LH2'!R4</f>
        <v>0</v>
      </c>
      <c r="T8" s="1">
        <f>'4.3. Vessel - LH2'!S4</f>
        <v>10142318.324414738</v>
      </c>
      <c r="U8" s="1">
        <f>'4.3. Vessel - LH2'!T4</f>
        <v>0</v>
      </c>
      <c r="V8" s="1" t="str">
        <f>'4.3. Vessel - LH2'!U4</f>
        <v>LH2</v>
      </c>
      <c r="W8" s="1">
        <f>'4.3. Vessel - LH2'!V4</f>
        <v>5.9999999999999995E-4</v>
      </c>
      <c r="X8" s="1" t="str">
        <f>'4.3. Vessel - LH2'!W4</f>
        <v>Tanker</v>
      </c>
    </row>
    <row r="9" spans="1:24" x14ac:dyDescent="0.25">
      <c r="A9" s="2">
        <v>4.3</v>
      </c>
      <c r="B9" s="1" t="s">
        <v>697</v>
      </c>
      <c r="C9" s="1" t="str">
        <f>'4.3. Vessel - LH2'!B5</f>
        <v>Tanker (LH2)</v>
      </c>
      <c r="D9" s="1" t="str">
        <f>'4.3. Vessel - LH2'!C5</f>
        <v>MDO</v>
      </c>
      <c r="E9" s="1">
        <f>'4.3. Vessel - LH2'!D5</f>
        <v>7300000000</v>
      </c>
      <c r="F9" s="1">
        <f>'4.3. Vessel - LH2'!E5</f>
        <v>1</v>
      </c>
      <c r="G9" s="1">
        <f>'4.3. Vessel - LH2'!F5</f>
        <v>25</v>
      </c>
      <c r="H9" s="1">
        <f>'4.3. Vessel - LH2'!G5</f>
        <v>0.93320000000000003</v>
      </c>
      <c r="I9" s="1" t="str">
        <f>'4.3. Vessel - LH2'!H5</f>
        <v>Offshore</v>
      </c>
      <c r="J9" s="1">
        <f>'4.3. Vessel - LH2'!I5</f>
        <v>36635718896.194862</v>
      </c>
      <c r="K9" s="1">
        <f>'4.3. Vessel - LH2'!J5</f>
        <v>0</v>
      </c>
      <c r="L9" s="1">
        <f>'4.3. Vessel - LH2'!K5</f>
        <v>0</v>
      </c>
      <c r="M9" s="1">
        <f>'4.3. Vessel - LH2'!L5</f>
        <v>2.4059999999999999E-4</v>
      </c>
      <c r="N9" s="1">
        <f>'4.3. Vessel - LH2'!M5</f>
        <v>36635718.89619486</v>
      </c>
      <c r="O9" s="1">
        <f>'4.3. Vessel - LH2'!N5</f>
        <v>0</v>
      </c>
      <c r="P9" s="1">
        <f>'4.3. Vessel - LH2'!O5</f>
        <v>10142318324.414738</v>
      </c>
      <c r="Q9" s="1">
        <f>'4.3. Vessel - LH2'!P5</f>
        <v>0</v>
      </c>
      <c r="R9" s="1">
        <f>'4.3. Vessel - LH2'!Q5</f>
        <v>0</v>
      </c>
      <c r="S9" s="1">
        <f>'4.3. Vessel - LH2'!R5</f>
        <v>6.4420650000000001E-5</v>
      </c>
      <c r="T9" s="1">
        <f>'4.3. Vessel - LH2'!S5</f>
        <v>10142318.324414738</v>
      </c>
      <c r="U9" s="1">
        <f>'4.3. Vessel - LH2'!T5</f>
        <v>0</v>
      </c>
      <c r="V9" s="1" t="str">
        <f>'4.3. Vessel - LH2'!U5</f>
        <v>LH2</v>
      </c>
      <c r="W9" s="1">
        <f>'4.3. Vessel - LH2'!V5</f>
        <v>5.9999999999999995E-4</v>
      </c>
      <c r="X9" s="1" t="str">
        <f>'4.3. Vessel - LH2'!W5</f>
        <v>Tanker</v>
      </c>
    </row>
    <row r="10" spans="1:24" x14ac:dyDescent="0.25">
      <c r="A10" s="2">
        <v>4.4000000000000004</v>
      </c>
      <c r="B10" s="1" t="s">
        <v>698</v>
      </c>
      <c r="C10" s="1" t="str">
        <f>'4.4. Vessel - NH3'!A4</f>
        <v>Tanker (NH3)</v>
      </c>
      <c r="D10" s="1" t="str">
        <f>'4.4. Vessel - NH3'!B4</f>
        <v>NH3</v>
      </c>
      <c r="E10" s="1">
        <f>'4.4. Vessel - NH3'!C4</f>
        <v>2318823529.4117651</v>
      </c>
      <c r="F10" s="1">
        <f>'4.4. Vessel - NH3'!D4</f>
        <v>1</v>
      </c>
      <c r="G10" s="1">
        <f>'4.4. Vessel - NH3'!E4</f>
        <v>25</v>
      </c>
      <c r="H10" s="1">
        <f>'4.4. Vessel - NH3'!F4</f>
        <v>0.99912000000000001</v>
      </c>
      <c r="I10" s="1" t="str">
        <f>'4.4. Vessel - NH3'!G4</f>
        <v>Offshore</v>
      </c>
      <c r="J10" s="1">
        <f>'4.4. Vessel - NH3'!H4</f>
        <v>113825772</v>
      </c>
      <c r="K10" s="1">
        <f>'4.4. Vessel - NH3'!I4</f>
        <v>0</v>
      </c>
      <c r="L10" s="1">
        <f>'4.4. Vessel - NH3'!J4</f>
        <v>0</v>
      </c>
      <c r="M10" s="1">
        <f>'4.4. Vessel - NH3'!K4</f>
        <v>2.5749252367999998E-4</v>
      </c>
      <c r="N10" s="1">
        <f>'4.4. Vessel - NH3'!L4</f>
        <v>113825.772</v>
      </c>
      <c r="O10" s="1">
        <f>'4.4. Vessel - NH3'!M4</f>
        <v>0</v>
      </c>
      <c r="P10" s="1">
        <f>'4.4. Vessel - NH3'!N4</f>
        <v>31958000</v>
      </c>
      <c r="Q10" s="1">
        <f>'4.4. Vessel - NH3'!O4</f>
        <v>0</v>
      </c>
      <c r="R10" s="1">
        <f>'4.4. Vessel - NH3'!P4</f>
        <v>0</v>
      </c>
      <c r="S10" s="1">
        <f>'4.4. Vessel - NH3'!Q4</f>
        <v>4.094131126512E-6</v>
      </c>
      <c r="T10" s="1">
        <f>'4.4. Vessel - NH3'!R4</f>
        <v>31958</v>
      </c>
      <c r="U10" s="1">
        <f>'4.4. Vessel - NH3'!S4</f>
        <v>0</v>
      </c>
      <c r="V10" s="1" t="str">
        <f>'4.4. Vessel - NH3'!T4</f>
        <v>NH3</v>
      </c>
      <c r="W10" s="1">
        <f>'4.4. Vessel - NH3'!U4</f>
        <v>0</v>
      </c>
      <c r="X10" s="1" t="str">
        <f>'4.4. Vessel - NH3'!V4</f>
        <v>Tanker</v>
      </c>
    </row>
    <row r="11" spans="1:24" x14ac:dyDescent="0.25">
      <c r="A11" s="2">
        <v>4.4000000000000004</v>
      </c>
      <c r="B11" s="1" t="s">
        <v>699</v>
      </c>
      <c r="C11" s="1" t="str">
        <f>'4.4. Vessel - NH3'!A5</f>
        <v>Tanker (NH3 - UC)</v>
      </c>
      <c r="D11" s="1" t="str">
        <f>'4.4. Vessel - NH3'!B5</f>
        <v>NH3</v>
      </c>
      <c r="E11" s="1">
        <f>'4.4. Vessel - NH3'!C5</f>
        <v>13140000000</v>
      </c>
      <c r="F11" s="1">
        <f>'4.4. Vessel - NH3'!D5</f>
        <v>1</v>
      </c>
      <c r="G11" s="1">
        <f>'4.4. Vessel - NH3'!E5</f>
        <v>25</v>
      </c>
      <c r="H11" s="1">
        <f>'4.4. Vessel - NH3'!F5</f>
        <v>0.99912000000000001</v>
      </c>
      <c r="I11" s="1" t="str">
        <f>'4.4. Vessel - NH3'!G5</f>
        <v>Offshore</v>
      </c>
      <c r="J11" s="1">
        <f>'4.4. Vessel - NH3'!H5</f>
        <v>113825772</v>
      </c>
      <c r="K11" s="1">
        <f>'4.4. Vessel - NH3'!I5</f>
        <v>0</v>
      </c>
      <c r="L11" s="1">
        <f>'4.4. Vessel - NH3'!J5</f>
        <v>0</v>
      </c>
      <c r="M11" s="1">
        <f>'4.4. Vessel - NH3'!K5</f>
        <v>4.5439857119999999E-5</v>
      </c>
      <c r="N11" s="1">
        <f>'4.4. Vessel - NH3'!L5</f>
        <v>113825.772</v>
      </c>
      <c r="O11" s="1">
        <f>'4.4. Vessel - NH3'!M5</f>
        <v>0</v>
      </c>
      <c r="P11" s="1">
        <f>'4.4. Vessel - NH3'!N5</f>
        <v>31958000</v>
      </c>
      <c r="Q11" s="1">
        <f>'4.4. Vessel - NH3'!O5</f>
        <v>0</v>
      </c>
      <c r="R11" s="1">
        <f>'4.4. Vessel - NH3'!P5</f>
        <v>0</v>
      </c>
      <c r="S11" s="1">
        <f>'4.4. Vessel - NH3'!Q5</f>
        <v>7.2249372820800003E-7</v>
      </c>
      <c r="T11" s="1">
        <f>'4.4. Vessel - NH3'!R5</f>
        <v>31958</v>
      </c>
      <c r="U11" s="1">
        <f>'4.4. Vessel - NH3'!S5</f>
        <v>0</v>
      </c>
      <c r="V11" s="1" t="str">
        <f>'4.4. Vessel - NH3'!T5</f>
        <v>NH3 UC</v>
      </c>
      <c r="W11" s="1">
        <f>'4.4. Vessel - NH3'!U5</f>
        <v>0</v>
      </c>
      <c r="X11" s="1" t="str">
        <f>'4.4. Vessel - NH3'!V5</f>
        <v>Tanker</v>
      </c>
    </row>
    <row r="12" spans="1:24" x14ac:dyDescent="0.25">
      <c r="A12" s="2">
        <v>4.4000000000000004</v>
      </c>
      <c r="B12" s="1" t="s">
        <v>700</v>
      </c>
      <c r="C12" s="1" t="str">
        <f>'4.4. Vessel - NH3'!A6</f>
        <v>Tanker (NH3)</v>
      </c>
      <c r="D12" s="1" t="str">
        <f>'4.4. Vessel - NH3'!B6</f>
        <v>Fuel Oil</v>
      </c>
      <c r="E12" s="1">
        <f>'4.4. Vessel - NH3'!C6</f>
        <v>2318823529.4117651</v>
      </c>
      <c r="F12" s="1">
        <f>'4.4. Vessel - NH3'!D6</f>
        <v>1</v>
      </c>
      <c r="G12" s="1">
        <f>'4.4. Vessel - NH3'!E6</f>
        <v>25</v>
      </c>
      <c r="H12" s="1">
        <f>'4.4. Vessel - NH3'!F6</f>
        <v>0.99912000000000001</v>
      </c>
      <c r="I12" s="1" t="str">
        <f>'4.4. Vessel - NH3'!G6</f>
        <v>Offshore</v>
      </c>
      <c r="J12" s="1">
        <f>'4.4. Vessel - NH3'!H6</f>
        <v>113825772</v>
      </c>
      <c r="K12" s="1">
        <f>'4.4. Vessel - NH3'!I6</f>
        <v>0</v>
      </c>
      <c r="L12" s="1">
        <f>'4.4. Vessel - NH3'!J6</f>
        <v>0</v>
      </c>
      <c r="M12" s="1">
        <f>'4.4. Vessel - NH3'!K6</f>
        <v>2.5749252367999998E-4</v>
      </c>
      <c r="N12" s="1">
        <f>'4.4. Vessel - NH3'!L6</f>
        <v>113825.772</v>
      </c>
      <c r="O12" s="1">
        <f>'4.4. Vessel - NH3'!M6</f>
        <v>0</v>
      </c>
      <c r="P12" s="1">
        <f>'4.4. Vessel - NH3'!N6</f>
        <v>31958000</v>
      </c>
      <c r="Q12" s="1">
        <f>'4.4. Vessel - NH3'!O6</f>
        <v>0</v>
      </c>
      <c r="R12" s="1">
        <f>'4.4. Vessel - NH3'!P6</f>
        <v>0</v>
      </c>
      <c r="S12" s="1">
        <f>'4.4. Vessel - NH3'!Q6</f>
        <v>6.8943623215319988E-5</v>
      </c>
      <c r="T12" s="1">
        <f>'4.4. Vessel - NH3'!R6</f>
        <v>31958</v>
      </c>
      <c r="U12" s="1">
        <f>'4.4. Vessel - NH3'!S6</f>
        <v>0</v>
      </c>
      <c r="V12" s="1" t="str">
        <f>'4.4. Vessel - NH3'!T6</f>
        <v>NH3</v>
      </c>
      <c r="W12" s="1">
        <f>'4.4. Vessel - NH3'!U6</f>
        <v>0</v>
      </c>
      <c r="X12" s="1" t="str">
        <f>'4.4. Vessel - NH3'!V6</f>
        <v>Tanker</v>
      </c>
    </row>
    <row r="13" spans="1:24" x14ac:dyDescent="0.25">
      <c r="A13" s="2">
        <v>4.4000000000000004</v>
      </c>
      <c r="B13" s="1" t="s">
        <v>701</v>
      </c>
      <c r="C13" s="1" t="str">
        <f>'4.4. Vessel - NH3'!A7</f>
        <v>Tanker (NH3 -UC)</v>
      </c>
      <c r="D13" s="1" t="str">
        <f>'4.4. Vessel - NH3'!B7</f>
        <v>Fuel Oil</v>
      </c>
      <c r="E13" s="1">
        <f>'4.4. Vessel - NH3'!C7</f>
        <v>13140000000</v>
      </c>
      <c r="F13" s="1">
        <f>'4.4. Vessel - NH3'!D7</f>
        <v>1</v>
      </c>
      <c r="G13" s="1">
        <f>'4.4. Vessel - NH3'!E7</f>
        <v>25</v>
      </c>
      <c r="H13" s="1">
        <f>'4.4. Vessel - NH3'!F7</f>
        <v>0.99912000000000001</v>
      </c>
      <c r="I13" s="1" t="str">
        <f>'4.4. Vessel - NH3'!G7</f>
        <v>Offshore</v>
      </c>
      <c r="J13" s="1">
        <f>'4.4. Vessel - NH3'!H7</f>
        <v>113825772</v>
      </c>
      <c r="K13" s="1">
        <f>'4.4. Vessel - NH3'!I7</f>
        <v>0</v>
      </c>
      <c r="L13" s="1">
        <f>'4.4. Vessel - NH3'!J7</f>
        <v>0</v>
      </c>
      <c r="M13" s="1">
        <f>'4.4. Vessel - NH3'!K7</f>
        <v>4.5439857119999999E-5</v>
      </c>
      <c r="N13" s="1">
        <f>'4.4. Vessel - NH3'!L7</f>
        <v>113825.772</v>
      </c>
      <c r="O13" s="1">
        <f>'4.4. Vessel - NH3'!M7</f>
        <v>0</v>
      </c>
      <c r="P13" s="1">
        <f>'4.4. Vessel - NH3'!N7</f>
        <v>31958000</v>
      </c>
      <c r="Q13" s="1">
        <f>'4.4. Vessel - NH3'!O7</f>
        <v>0</v>
      </c>
      <c r="R13" s="1">
        <f>'4.4. Vessel - NH3'!P7</f>
        <v>0</v>
      </c>
      <c r="S13" s="1">
        <f>'4.4. Vessel - NH3'!Q7</f>
        <v>1.216652174388E-5</v>
      </c>
      <c r="T13" s="1">
        <f>'4.4. Vessel - NH3'!R7</f>
        <v>31958</v>
      </c>
      <c r="U13" s="1">
        <f>'4.4. Vessel - NH3'!S7</f>
        <v>0</v>
      </c>
      <c r="V13" s="1" t="str">
        <f>'4.4. Vessel - NH3'!T7</f>
        <v>NH3 UC</v>
      </c>
      <c r="W13" s="1">
        <f>'4.4. Vessel - NH3'!U7</f>
        <v>0</v>
      </c>
      <c r="X13" s="1" t="str">
        <f>'4.4. Vessel - NH3'!V7</f>
        <v>Tanker</v>
      </c>
    </row>
    <row r="14" spans="1:24" x14ac:dyDescent="0.25">
      <c r="A14" s="2">
        <v>4.5</v>
      </c>
      <c r="B14" s="1" t="s">
        <v>702</v>
      </c>
      <c r="C14" s="1" t="str">
        <f>'4.5. Vessel LOHC'!A4</f>
        <v>Tanker (LOHC)</v>
      </c>
      <c r="D14" s="1" t="str">
        <f>'4.5. Vessel LOHC'!B4</f>
        <v>Fuel Oil</v>
      </c>
      <c r="E14" s="1">
        <f>'4.5. Vessel LOHC'!C4</f>
        <v>809424000</v>
      </c>
      <c r="F14" s="1">
        <f>'4.5. Vessel LOHC'!D4</f>
        <v>1</v>
      </c>
      <c r="G14" s="1">
        <f>'4.5. Vessel LOHC'!E4</f>
        <v>25</v>
      </c>
      <c r="H14" s="1">
        <f>'4.5. Vessel LOHC'!F4</f>
        <v>0.99912000000000001</v>
      </c>
      <c r="I14" s="1" t="str">
        <f>'4.5. Vessel LOHC'!G4</f>
        <v>Offshore</v>
      </c>
      <c r="J14" s="1">
        <f>'4.5. Vessel LOHC'!H4</f>
        <v>113825772</v>
      </c>
      <c r="K14" s="1">
        <f>'4.5. Vessel LOHC'!I4</f>
        <v>0</v>
      </c>
      <c r="L14" s="1">
        <f>'4.5. Vessel LOHC'!J4</f>
        <v>0</v>
      </c>
      <c r="M14" s="1">
        <f>'4.5. Vessel LOHC'!K4</f>
        <v>7.3766001818181815E-4</v>
      </c>
      <c r="N14" s="1">
        <f>'4.5. Vessel LOHC'!L4</f>
        <v>113825.772</v>
      </c>
      <c r="O14" s="1">
        <f>'4.5. Vessel LOHC'!M4</f>
        <v>0</v>
      </c>
      <c r="P14" s="1">
        <f>'4.5. Vessel LOHC'!N4</f>
        <v>31958000</v>
      </c>
      <c r="Q14" s="1">
        <f>'4.5. Vessel LOHC'!O4</f>
        <v>0</v>
      </c>
      <c r="R14" s="1">
        <f>'4.5. Vessel LOHC'!P4</f>
        <v>0</v>
      </c>
      <c r="S14" s="1">
        <f>'4.5. Vessel LOHC'!Q4</f>
        <v>1.6906691069415583E-4</v>
      </c>
      <c r="T14" s="1">
        <f>'4.5. Vessel LOHC'!R4</f>
        <v>31958</v>
      </c>
      <c r="U14" s="1">
        <f>'4.5. Vessel LOHC'!S4</f>
        <v>0</v>
      </c>
      <c r="V14" s="1" t="str">
        <f>'4.5. Vessel LOHC'!T4</f>
        <v>LOHC</v>
      </c>
      <c r="W14" s="1">
        <f>'4.5. Vessel LOHC'!U4</f>
        <v>0</v>
      </c>
      <c r="X14" s="1" t="str">
        <f>'4.5. Vessel LOHC'!V4</f>
        <v>Tanker</v>
      </c>
    </row>
    <row r="19" spans="3:11" x14ac:dyDescent="0.25">
      <c r="C19" s="327"/>
      <c r="D19" s="327"/>
      <c r="E19" s="327"/>
      <c r="F19" s="327"/>
      <c r="G19" s="327"/>
      <c r="H19" s="327"/>
      <c r="I19" s="327"/>
      <c r="J19" s="327"/>
      <c r="K19" s="327"/>
    </row>
  </sheetData>
  <mergeCells count="1">
    <mergeCell ref="C19:K19"/>
  </mergeCells>
  <hyperlinks>
    <hyperlink ref="A2:A6" location="'4.1. Pipelines'!A1" display="'4.1. Pipelines'!A1" xr:uid="{6A02CC71-340F-4DF2-9036-9A410CA9F62A}"/>
    <hyperlink ref="A7" location="'4.2. Cable'!A1" display="'4.2. Cable'!A1" xr:uid="{A96E66ED-C0F3-42BA-A33D-7947D3ADEBDA}"/>
    <hyperlink ref="A8:A9" location="'4.3. Vessel - LH2'!A1" display="'4.3. Vessel - LH2'!A1" xr:uid="{A64B59BC-AF5C-4117-877A-B203CE2FA044}"/>
    <hyperlink ref="A10:A12" location="'4.4. Vessel - NH3'!A1" display="'4.4. Vessel - NH3'!A1" xr:uid="{63263422-8BC4-4372-9A1B-A7D0936D7AA9}"/>
    <hyperlink ref="A13" location="'4.4. Vessel - NH3'!A1" display="'4.4. Vessel - NH3'!A1" xr:uid="{7E06F719-744D-4A85-B7A0-86F6F78E98A6}"/>
    <hyperlink ref="A14" location="'4.4. Vessel LOHC'!A1" display="'4.4. Vessel LOHC'!A1" xr:uid="{5987DD16-33E1-427A-9942-EB67E3DC3287}"/>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B5F7-B642-471C-A0DC-CF933B2D7326}">
  <dimension ref="A1:BA13"/>
  <sheetViews>
    <sheetView zoomScale="90" zoomScaleNormal="90" workbookViewId="0">
      <selection activeCell="Z6" sqref="Z6"/>
    </sheetView>
  </sheetViews>
  <sheetFormatPr defaultRowHeight="15" x14ac:dyDescent="0.25"/>
  <cols>
    <col min="2" max="2" width="9.5703125" customWidth="1"/>
    <col min="3" max="3" width="15" customWidth="1"/>
    <col min="23" max="23" width="9.85546875" bestFit="1" customWidth="1"/>
    <col min="24" max="24" width="9.140625" customWidth="1"/>
    <col min="25" max="25" width="13" customWidth="1"/>
    <col min="26" max="39" width="9.140625" customWidth="1"/>
    <col min="40" max="40" width="10.42578125" customWidth="1"/>
    <col min="41" max="41" width="9.28515625" customWidth="1"/>
    <col min="42" max="42" width="10.42578125" customWidth="1"/>
    <col min="43" max="45" width="9.140625" customWidth="1"/>
    <col min="46" max="48" width="10.42578125" customWidth="1"/>
    <col min="49" max="51" width="9.140625" customWidth="1"/>
  </cols>
  <sheetData>
    <row r="1" spans="1:53" ht="60" x14ac:dyDescent="0.25">
      <c r="A1" s="10" t="s">
        <v>75</v>
      </c>
      <c r="B1" s="10" t="s">
        <v>28</v>
      </c>
      <c r="C1" s="10" t="s">
        <v>5</v>
      </c>
      <c r="D1" s="10" t="s">
        <v>7</v>
      </c>
      <c r="E1" s="10" t="s">
        <v>29</v>
      </c>
      <c r="F1" s="10" t="s">
        <v>30</v>
      </c>
      <c r="G1" s="10" t="s">
        <v>31</v>
      </c>
      <c r="H1" s="10" t="s">
        <v>32</v>
      </c>
      <c r="I1" s="10" t="s">
        <v>1</v>
      </c>
      <c r="J1" s="302" t="s">
        <v>918</v>
      </c>
      <c r="K1" s="11" t="s">
        <v>34</v>
      </c>
      <c r="L1" s="11" t="s">
        <v>35</v>
      </c>
      <c r="M1" s="11" t="s">
        <v>36</v>
      </c>
      <c r="N1" s="11" t="s">
        <v>37</v>
      </c>
      <c r="O1" s="11" t="s">
        <v>38</v>
      </c>
      <c r="P1" s="11" t="s">
        <v>39</v>
      </c>
      <c r="Q1" s="7" t="s">
        <v>40</v>
      </c>
      <c r="R1" s="7" t="s">
        <v>41</v>
      </c>
      <c r="S1" s="7" t="s">
        <v>42</v>
      </c>
      <c r="T1" s="7" t="s">
        <v>43</v>
      </c>
      <c r="U1" s="7" t="s">
        <v>44</v>
      </c>
      <c r="V1" s="7" t="s">
        <v>45</v>
      </c>
      <c r="W1" s="7" t="s">
        <v>2</v>
      </c>
      <c r="X1" s="7" t="s">
        <v>46</v>
      </c>
      <c r="AZ1" s="93"/>
      <c r="BA1" s="93"/>
    </row>
    <row r="2" spans="1:53" x14ac:dyDescent="0.25">
      <c r="A2" s="301">
        <v>5.0999999999999996</v>
      </c>
      <c r="B2" s="1" t="s">
        <v>850</v>
      </c>
      <c r="C2" s="1" t="str">
        <f>'5.1. LH2 '!A4</f>
        <v>LH2 - Production Vessel</v>
      </c>
      <c r="D2" s="1" t="str">
        <f>'5.1. LH2 '!B4</f>
        <v>E</v>
      </c>
      <c r="E2" s="1">
        <f>'5.1. LH2 '!C4</f>
        <v>18250000</v>
      </c>
      <c r="F2" s="1">
        <f>'5.1. LH2 '!D4</f>
        <v>1</v>
      </c>
      <c r="G2" s="1">
        <f>'5.1. LH2 '!E4</f>
        <v>20</v>
      </c>
      <c r="H2" s="1">
        <f>'5.1. LH2 '!F4</f>
        <v>0.99979899999999999</v>
      </c>
      <c r="I2" s="1" t="str">
        <f>'5.1. LH2 '!G4</f>
        <v>Offshore</v>
      </c>
      <c r="J2" s="1" t="str">
        <f>'5.1. LH2 '!H4</f>
        <v>Both</v>
      </c>
      <c r="K2" s="1">
        <f>'5.1. LH2 '!I4</f>
        <v>7642095.2573671509</v>
      </c>
      <c r="L2" s="1">
        <f>'5.1. LH2 '!J4</f>
        <v>0</v>
      </c>
      <c r="M2" s="1">
        <f>'5.1. LH2 '!K4</f>
        <v>0</v>
      </c>
      <c r="N2" s="1">
        <f>'5.1. LH2 '!L4</f>
        <v>0</v>
      </c>
      <c r="O2" s="1">
        <f>'5.1. LH2 '!M4</f>
        <v>86072.095257367153</v>
      </c>
      <c r="P2" s="1">
        <f>'5.1. LH2 '!N4</f>
        <v>1672.56</v>
      </c>
      <c r="Q2" s="1">
        <f>'5.1. LH2 '!O4</f>
        <v>29085819.285867631</v>
      </c>
      <c r="R2" s="1">
        <f>'5.1. LH2 '!P4</f>
        <v>0</v>
      </c>
      <c r="S2" s="1">
        <f>'5.1. LH2 '!Q4</f>
        <v>12</v>
      </c>
      <c r="T2" s="1">
        <f>'5.1. LH2 '!R4</f>
        <v>0</v>
      </c>
      <c r="U2" s="1">
        <f>'5.1. LH2 '!S4</f>
        <v>385585.81928586762</v>
      </c>
      <c r="V2" s="1">
        <f>'5.1. LH2 '!T4</f>
        <v>6748.2</v>
      </c>
      <c r="W2" s="1" t="str">
        <f>'5.1. LH2 '!U4</f>
        <v>LH2</v>
      </c>
      <c r="X2" s="1">
        <f>'5.1. LH2 '!V4</f>
        <v>3.32E-3</v>
      </c>
      <c r="Y2" s="23"/>
      <c r="Z2" s="23"/>
      <c r="AA2" s="23"/>
      <c r="AB2" s="23"/>
      <c r="AC2" s="292"/>
      <c r="AD2" s="292"/>
      <c r="AE2" s="293"/>
      <c r="AF2" s="23"/>
      <c r="AG2" s="67"/>
      <c r="AH2" s="23"/>
      <c r="AI2" s="23"/>
      <c r="AJ2" s="23"/>
      <c r="AK2" s="294"/>
      <c r="AL2" s="67"/>
      <c r="AN2" s="294"/>
      <c r="AO2" s="294"/>
      <c r="AP2" s="294"/>
      <c r="AQ2" s="294"/>
      <c r="AR2" s="23"/>
      <c r="AS2" s="67"/>
      <c r="AT2" s="295"/>
      <c r="AU2" s="295"/>
      <c r="AV2" s="295"/>
      <c r="AW2" s="294"/>
      <c r="AX2" s="23"/>
      <c r="AY2" s="23"/>
    </row>
    <row r="3" spans="1:53" x14ac:dyDescent="0.25">
      <c r="A3" s="301">
        <v>5.0999999999999996</v>
      </c>
      <c r="B3" s="1" t="s">
        <v>851</v>
      </c>
      <c r="C3" s="1" t="str">
        <f>'5.1. LH2 '!A5</f>
        <v>LH2 - Production Vessel</v>
      </c>
      <c r="D3" s="1" t="str">
        <f>'5.1. LH2 '!B5</f>
        <v>NG</v>
      </c>
      <c r="E3" s="1">
        <f>'5.1. LH2 '!C5</f>
        <v>18250000</v>
      </c>
      <c r="F3" s="1">
        <f>'5.1. LH2 '!D5</f>
        <v>1</v>
      </c>
      <c r="G3" s="1">
        <f>'5.1. LH2 '!E5</f>
        <v>20</v>
      </c>
      <c r="H3" s="1">
        <f>'5.1. LH2 '!F5</f>
        <v>0.99979899999999999</v>
      </c>
      <c r="I3" s="1" t="str">
        <f>'5.1. LH2 '!G5</f>
        <v>Offshore</v>
      </c>
      <c r="J3" s="1" t="str">
        <f>'5.1. LH2 '!H5</f>
        <v>Both</v>
      </c>
      <c r="K3" s="1">
        <f>'5.1. LH2 '!I5</f>
        <v>7642095.2573671509</v>
      </c>
      <c r="L3" s="1">
        <f>'5.1. LH2 '!J5</f>
        <v>0</v>
      </c>
      <c r="M3" s="1">
        <f>'5.1. LH2 '!K5</f>
        <v>6.72</v>
      </c>
      <c r="N3" s="1">
        <f>'5.1. LH2 '!L5</f>
        <v>0</v>
      </c>
      <c r="O3" s="1">
        <f>'5.1. LH2 '!M5</f>
        <v>86072.095257367153</v>
      </c>
      <c r="P3" s="1">
        <f>'5.1. LH2 '!N5</f>
        <v>1672.56</v>
      </c>
      <c r="Q3" s="1">
        <f>'5.1. LH2 '!O5</f>
        <v>29085819.285867631</v>
      </c>
      <c r="R3" s="1">
        <f>'5.1. LH2 '!P5</f>
        <v>0</v>
      </c>
      <c r="S3" s="1">
        <f>'5.1. LH2 '!Q5</f>
        <v>26.666666666666664</v>
      </c>
      <c r="T3" s="1">
        <f>'5.1. LH2 '!R5</f>
        <v>0</v>
      </c>
      <c r="U3" s="1">
        <f>'5.1. LH2 '!S5</f>
        <v>385585.81928586762</v>
      </c>
      <c r="V3" s="1">
        <f>'5.1. LH2 '!T5</f>
        <v>6748.2</v>
      </c>
      <c r="W3" s="1" t="str">
        <f>'5.1. LH2 '!U5</f>
        <v>LH2</v>
      </c>
      <c r="X3" s="1">
        <f>'5.1. LH2 '!V5</f>
        <v>3.32E-3</v>
      </c>
      <c r="Y3" s="23"/>
      <c r="Z3" s="23">
        <v>7642095</v>
      </c>
      <c r="AA3" s="23"/>
      <c r="AB3" s="23"/>
      <c r="AC3" s="292"/>
      <c r="AD3" s="292"/>
      <c r="AE3" s="293"/>
      <c r="AF3" s="23"/>
      <c r="AH3" s="23"/>
      <c r="AI3" s="23"/>
      <c r="AJ3" s="23"/>
      <c r="AK3" s="294"/>
      <c r="AN3" s="294"/>
      <c r="AO3" s="294"/>
      <c r="AP3" s="294"/>
      <c r="AQ3" s="294"/>
      <c r="AR3" s="23"/>
      <c r="AT3" s="295"/>
      <c r="AU3" s="295"/>
      <c r="AV3" s="295"/>
      <c r="AW3" s="294"/>
      <c r="AX3" s="23"/>
      <c r="AY3" s="23"/>
    </row>
    <row r="4" spans="1:53" x14ac:dyDescent="0.25">
      <c r="A4" s="301" t="s">
        <v>860</v>
      </c>
      <c r="B4" s="1" t="s">
        <v>852</v>
      </c>
      <c r="C4" s="1" t="str">
        <f>'5.2. CH2 - 60bar'!A4</f>
        <v>CH2</v>
      </c>
      <c r="D4" s="1" t="str">
        <f>'5.2. CH2 - 60bar'!B4</f>
        <v>E</v>
      </c>
      <c r="E4" s="1">
        <f>'5.2. CH2 - 60bar'!C4</f>
        <v>104147.64</v>
      </c>
      <c r="F4" s="1">
        <f>'5.2. CH2 - 60bar'!D4</f>
        <v>1</v>
      </c>
      <c r="G4" s="1">
        <f>'5.2. CH2 - 60bar'!E4</f>
        <v>22</v>
      </c>
      <c r="H4" s="1">
        <f>'5.2. CH2 - 60bar'!F4</f>
        <v>1</v>
      </c>
      <c r="I4" s="1" t="str">
        <f>'5.2. CH2 - 60bar'!G4</f>
        <v>Offshore</v>
      </c>
      <c r="J4" s="1" t="str">
        <f>'5.2. CH2 - 60bar'!H4</f>
        <v>Both</v>
      </c>
      <c r="K4" s="1">
        <f>'5.2. CH2 - 60bar'!I4</f>
        <v>26940.15082958584</v>
      </c>
      <c r="L4" s="1">
        <f>'5.2. CH2 - 60bar'!J4</f>
        <v>119.6</v>
      </c>
      <c r="M4" s="1">
        <f>'5.2. CH2 - 60bar'!K4</f>
        <v>0</v>
      </c>
      <c r="N4" s="1">
        <f>'5.2. CH2 - 60bar'!L4</f>
        <v>0</v>
      </c>
      <c r="O4" s="1">
        <f>'5.2. CH2 - 60bar'!M4</f>
        <v>26.940150829585839</v>
      </c>
      <c r="P4" s="1">
        <f>'5.2. CH2 - 60bar'!N4</f>
        <v>0.1196</v>
      </c>
      <c r="Q4" s="1">
        <f>'5.2. CH2 - 60bar'!O4</f>
        <v>72851.861697418775</v>
      </c>
      <c r="R4" s="1">
        <f>'5.2. CH2 - 60bar'!P4</f>
        <v>455.6</v>
      </c>
      <c r="S4" s="1">
        <f>'5.2. CH2 - 60bar'!Q4</f>
        <v>7.0500000000000001E-4</v>
      </c>
      <c r="T4" s="1">
        <f>'5.2. CH2 - 60bar'!R4</f>
        <v>0</v>
      </c>
      <c r="U4" s="1">
        <f>'5.2. CH2 - 60bar'!S4</f>
        <v>72.851861697418784</v>
      </c>
      <c r="V4" s="1">
        <f>'5.2. CH2 - 60bar'!T4</f>
        <v>0.4556</v>
      </c>
      <c r="W4" s="1" t="str">
        <f>'5.2. CH2 - 60bar'!U4</f>
        <v>CH2</v>
      </c>
      <c r="X4" s="1">
        <f>'5.2. CH2 - 60bar'!V4</f>
        <v>0</v>
      </c>
      <c r="Y4" s="23"/>
      <c r="Z4" s="23">
        <f>K4+L4*150</f>
        <v>44880.150829585837</v>
      </c>
      <c r="AA4" s="23"/>
      <c r="AB4" s="23"/>
      <c r="AC4" s="292"/>
      <c r="AD4" s="292"/>
      <c r="AE4" s="293"/>
      <c r="AF4" s="23"/>
      <c r="AH4" s="23"/>
      <c r="AI4" s="23"/>
      <c r="AJ4" s="23"/>
      <c r="AK4" s="294"/>
      <c r="AN4" s="294"/>
      <c r="AO4" s="294"/>
      <c r="AP4" s="294"/>
      <c r="AQ4" s="294"/>
      <c r="AR4" s="23"/>
      <c r="AT4" s="295"/>
      <c r="AU4" s="23"/>
      <c r="AV4" s="295"/>
      <c r="AW4" s="294"/>
      <c r="AX4" s="23"/>
      <c r="AY4" s="23"/>
    </row>
    <row r="5" spans="1:53" x14ac:dyDescent="0.25">
      <c r="A5" s="301" t="s">
        <v>860</v>
      </c>
      <c r="B5" s="1" t="s">
        <v>853</v>
      </c>
      <c r="C5" s="1" t="str">
        <f>'5.2. CH2 - 60bar'!A5</f>
        <v>CH2</v>
      </c>
      <c r="D5" s="1" t="str">
        <f>'5.2. CH2 - 60bar'!B5</f>
        <v>NG</v>
      </c>
      <c r="E5" s="1">
        <f>'5.2. CH2 - 60bar'!C5</f>
        <v>104147.64</v>
      </c>
      <c r="F5" s="1">
        <f>'5.2. CH2 - 60bar'!D5</f>
        <v>1</v>
      </c>
      <c r="G5" s="1">
        <f>'5.2. CH2 - 60bar'!E5</f>
        <v>22</v>
      </c>
      <c r="H5" s="1">
        <f>'5.2. CH2 - 60bar'!F5</f>
        <v>1</v>
      </c>
      <c r="I5" s="1" t="str">
        <f>'5.2. CH2 - 60bar'!G5</f>
        <v>Offshore</v>
      </c>
      <c r="J5" s="1" t="str">
        <f>'5.2. CH2 - 60bar'!H5</f>
        <v>Both</v>
      </c>
      <c r="K5" s="1">
        <f>'5.2. CH2 - 60bar'!I5</f>
        <v>26940.15082958584</v>
      </c>
      <c r="L5" s="1">
        <f>'5.2. CH2 - 60bar'!J5</f>
        <v>119.6</v>
      </c>
      <c r="M5" s="1">
        <f>'5.2. CH2 - 60bar'!K5</f>
        <v>3.948E-4</v>
      </c>
      <c r="N5" s="1">
        <f>'5.2. CH2 - 60bar'!L5</f>
        <v>0</v>
      </c>
      <c r="O5" s="1">
        <f>'5.2. CH2 - 60bar'!M5</f>
        <v>26.940150829585839</v>
      </c>
      <c r="P5" s="1">
        <f>'5.2. CH2 - 60bar'!N5</f>
        <v>0.1196</v>
      </c>
      <c r="Q5" s="1">
        <f>'5.2. CH2 - 60bar'!O5</f>
        <v>72851.861697418775</v>
      </c>
      <c r="R5" s="1">
        <f>'5.2. CH2 - 60bar'!P5</f>
        <v>455.6</v>
      </c>
      <c r="S5" s="1">
        <f>'5.2. CH2 - 60bar'!Q5</f>
        <v>1.5666666666666667E-3</v>
      </c>
      <c r="T5" s="1">
        <f>'5.2. CH2 - 60bar'!R5</f>
        <v>0</v>
      </c>
      <c r="U5" s="1">
        <f>'5.2. CH2 - 60bar'!S5</f>
        <v>72.851861697418784</v>
      </c>
      <c r="V5" s="1">
        <f>'5.2. CH2 - 60bar'!T5</f>
        <v>0.4556</v>
      </c>
      <c r="W5" s="1" t="str">
        <f>'5.2. CH2 - 60bar'!U5</f>
        <v>CH2</v>
      </c>
      <c r="X5" s="1">
        <f>'5.2. CH2 - 60bar'!V5</f>
        <v>0</v>
      </c>
      <c r="Y5" s="23"/>
      <c r="Z5" s="23">
        <f>Z3/Z4</f>
        <v>170.2778368329856</v>
      </c>
      <c r="AA5" s="23"/>
      <c r="AB5" s="23"/>
      <c r="AC5" s="292"/>
      <c r="AD5" s="292"/>
      <c r="AE5" s="293"/>
      <c r="AF5" s="23"/>
      <c r="AG5" s="67"/>
      <c r="AH5" s="23"/>
      <c r="AI5" s="23"/>
      <c r="AJ5" s="23"/>
      <c r="AK5" s="294"/>
      <c r="AN5" s="294"/>
      <c r="AO5" s="294"/>
      <c r="AP5" s="294"/>
      <c r="AQ5" s="294"/>
      <c r="AR5" s="23"/>
      <c r="AS5" s="67"/>
      <c r="AT5" s="295"/>
      <c r="AU5" s="295"/>
      <c r="AV5" s="295"/>
      <c r="AW5" s="294"/>
      <c r="AX5" s="23"/>
      <c r="AY5" s="23"/>
    </row>
    <row r="6" spans="1:53" x14ac:dyDescent="0.25">
      <c r="A6" s="301" t="s">
        <v>862</v>
      </c>
      <c r="B6" s="1" t="s">
        <v>854</v>
      </c>
      <c r="C6" s="1" t="str">
        <f>'5.3. LOHC'!A4</f>
        <v>LOHC</v>
      </c>
      <c r="D6" s="1" t="str">
        <f>'5.3. LOHC'!B4</f>
        <v>E</v>
      </c>
      <c r="E6" s="1">
        <f>'5.3. LOHC'!C4</f>
        <v>18250000</v>
      </c>
      <c r="F6" s="1">
        <f>'5.3. LOHC'!D4</f>
        <v>1</v>
      </c>
      <c r="G6" s="1">
        <f>'5.3. LOHC'!E4</f>
        <v>20</v>
      </c>
      <c r="H6" s="1">
        <f>'5.3. LOHC'!F4</f>
        <v>0.98499999999999999</v>
      </c>
      <c r="I6" s="1" t="str">
        <f>'5.3. LOHC'!G4</f>
        <v>Offshore</v>
      </c>
      <c r="J6" s="1" t="str">
        <f>'5.3. LOHC'!H4</f>
        <v>Both</v>
      </c>
      <c r="K6" s="1">
        <f>'5.3. LOHC'!I4</f>
        <v>6401856.4719999991</v>
      </c>
      <c r="L6" s="1">
        <f>'5.3. LOHC'!J4</f>
        <v>119.6</v>
      </c>
      <c r="M6" s="1">
        <f>'5.3. LOHC'!K4</f>
        <v>0</v>
      </c>
      <c r="N6" s="1">
        <f>'5.3. LOHC'!L4</f>
        <v>0</v>
      </c>
      <c r="O6" s="1">
        <f>'5.3. LOHC'!M4</f>
        <v>84831.856471999999</v>
      </c>
      <c r="P6" s="1">
        <f>'5.3. LOHC'!N4</f>
        <v>1673.7559999999999</v>
      </c>
      <c r="Q6" s="1">
        <f>'5.3. LOHC'!O4</f>
        <v>13652454.468522808</v>
      </c>
      <c r="R6" s="1">
        <f>'5.3. LOHC'!P4</f>
        <v>455.6</v>
      </c>
      <c r="S6" s="1">
        <f>'5.3. LOHC'!Q4</f>
        <v>11.417</v>
      </c>
      <c r="T6" s="1">
        <f>'5.3. LOHC'!R4</f>
        <v>0</v>
      </c>
      <c r="U6" s="1">
        <f>'5.3. LOHC'!S4</f>
        <v>370152.4544685228</v>
      </c>
      <c r="V6" s="1">
        <f>'5.3. LOHC'!T4</f>
        <v>6752.7559999999994</v>
      </c>
      <c r="W6" s="1" t="str">
        <f>'5.3. LOHC'!U4</f>
        <v>LOHC</v>
      </c>
      <c r="X6" s="1">
        <f>'5.3. LOHC'!V4</f>
        <v>0</v>
      </c>
      <c r="Y6" s="23"/>
      <c r="Z6" s="23"/>
      <c r="AA6" s="23"/>
      <c r="AB6" s="23"/>
      <c r="AC6" s="292"/>
      <c r="AD6" s="292"/>
      <c r="AE6" s="293"/>
      <c r="AF6" s="23"/>
      <c r="AH6" s="23"/>
      <c r="AI6" s="23"/>
      <c r="AJ6" s="23"/>
      <c r="AK6" s="294"/>
      <c r="AN6" s="294"/>
      <c r="AO6" s="294"/>
      <c r="AP6" s="294"/>
      <c r="AQ6" s="294"/>
      <c r="AR6" s="23"/>
      <c r="AT6" s="295"/>
      <c r="AU6" s="295"/>
      <c r="AV6" s="295"/>
      <c r="AW6" s="294"/>
      <c r="AX6" s="23"/>
      <c r="AY6" s="296"/>
    </row>
    <row r="7" spans="1:53" x14ac:dyDescent="0.25">
      <c r="A7" s="301" t="s">
        <v>862</v>
      </c>
      <c r="B7" s="1" t="s">
        <v>855</v>
      </c>
      <c r="C7" s="1" t="str">
        <f>'5.3. LOHC'!A5</f>
        <v>LOHC</v>
      </c>
      <c r="D7" s="1" t="str">
        <f>'5.3. LOHC'!B5</f>
        <v>NG</v>
      </c>
      <c r="E7" s="1">
        <f>'5.3. LOHC'!C5</f>
        <v>18250000</v>
      </c>
      <c r="F7" s="1">
        <f>'5.3. LOHC'!D5</f>
        <v>1</v>
      </c>
      <c r="G7" s="1">
        <f>'5.3. LOHC'!E5</f>
        <v>20</v>
      </c>
      <c r="H7" s="1">
        <f>'5.3. LOHC'!F5</f>
        <v>0.98499999999999999</v>
      </c>
      <c r="I7" s="1" t="str">
        <f>'5.3. LOHC'!G5</f>
        <v>Offshore</v>
      </c>
      <c r="J7" s="1" t="str">
        <f>'5.3. LOHC'!H5</f>
        <v>Both</v>
      </c>
      <c r="K7" s="1">
        <f>'5.3. LOHC'!I5</f>
        <v>6401856.4719999991</v>
      </c>
      <c r="L7" s="1">
        <f>'5.3. LOHC'!J5</f>
        <v>119.6</v>
      </c>
      <c r="M7" s="1">
        <f>'5.3. LOHC'!K5</f>
        <v>2.4089869999999998</v>
      </c>
      <c r="N7" s="1">
        <f>'5.3. LOHC'!L5</f>
        <v>0</v>
      </c>
      <c r="O7" s="1">
        <f>'5.3. LOHC'!M5</f>
        <v>84831.856471999999</v>
      </c>
      <c r="P7" s="1">
        <f>'5.3. LOHC'!N5</f>
        <v>1673.7559999999999</v>
      </c>
      <c r="Q7" s="1">
        <f>'5.3. LOHC'!O5</f>
        <v>13652454.468522808</v>
      </c>
      <c r="R7" s="1">
        <f>'5.3. LOHC'!P5</f>
        <v>455.6</v>
      </c>
      <c r="S7" s="1">
        <f>'5.3. LOHC'!Q5</f>
        <v>11.417</v>
      </c>
      <c r="T7" s="1">
        <f>'5.3. LOHC'!R5</f>
        <v>0</v>
      </c>
      <c r="U7" s="1">
        <f>'5.3. LOHC'!S5</f>
        <v>370152.4544685228</v>
      </c>
      <c r="V7" s="1">
        <f>'5.3. LOHC'!T5</f>
        <v>6752.7559999999994</v>
      </c>
      <c r="W7" s="1" t="str">
        <f>'5.3. LOHC'!U5</f>
        <v>LOHC</v>
      </c>
      <c r="X7" s="1">
        <f>'5.3. LOHC'!V5</f>
        <v>0</v>
      </c>
      <c r="Y7" s="23"/>
      <c r="Z7" s="23"/>
      <c r="AA7" s="23"/>
      <c r="AB7" s="23"/>
      <c r="AC7" s="292"/>
      <c r="AD7" s="292"/>
      <c r="AE7" s="293"/>
      <c r="AF7" s="23"/>
      <c r="AH7" s="23"/>
      <c r="AI7" s="23"/>
      <c r="AJ7" s="23"/>
      <c r="AK7" s="294"/>
      <c r="AN7" s="294"/>
      <c r="AO7" s="294"/>
      <c r="AP7" s="294"/>
      <c r="AQ7" s="294"/>
      <c r="AR7" s="23"/>
      <c r="AT7" s="295"/>
      <c r="AU7" s="295"/>
      <c r="AV7" s="295"/>
      <c r="AW7" s="294"/>
      <c r="AX7" s="23"/>
      <c r="AY7" s="23"/>
    </row>
    <row r="8" spans="1:53" x14ac:dyDescent="0.25">
      <c r="A8" s="301" t="s">
        <v>861</v>
      </c>
      <c r="B8" s="1" t="s">
        <v>856</v>
      </c>
      <c r="C8" s="1" t="str">
        <f>'5.4. NH3'!B4</f>
        <v>NH3 - Production Vessel</v>
      </c>
      <c r="D8" s="1" t="str">
        <f>'5.4. NH3'!C4</f>
        <v>E</v>
      </c>
      <c r="E8" s="1">
        <f>'5.4. NH3'!D4</f>
        <v>9117217.7119881157</v>
      </c>
      <c r="F8" s="1">
        <f>'5.4. NH3'!E4</f>
        <v>1</v>
      </c>
      <c r="G8" s="1">
        <f>'5.4. NH3'!F4</f>
        <v>25</v>
      </c>
      <c r="H8" s="1">
        <f>'5.4. NH3'!G4</f>
        <v>0.95238095238095233</v>
      </c>
      <c r="I8" s="1" t="str">
        <f>'5.4. NH3'!H4</f>
        <v>Offshore</v>
      </c>
      <c r="J8" s="1" t="str">
        <f>'5.4. NH3'!I4</f>
        <v>Both</v>
      </c>
      <c r="K8" s="1">
        <f>'5.4. NH3'!J4</f>
        <v>2441646.2898353268</v>
      </c>
      <c r="L8" s="1">
        <f>'5.4. NH3'!K4</f>
        <v>119.6</v>
      </c>
      <c r="M8" s="1">
        <f>'5.4. NH3'!L4</f>
        <v>0</v>
      </c>
      <c r="N8" s="1">
        <f>'5.4. NH3'!M4</f>
        <v>0</v>
      </c>
      <c r="O8" s="1">
        <f>'5.4. NH3'!N4</f>
        <v>80871.64628983532</v>
      </c>
      <c r="P8" s="1">
        <f>'5.4. NH3'!O4</f>
        <v>1672.6795999999999</v>
      </c>
      <c r="Q8" s="1">
        <f>'5.4. NH3'!P4</f>
        <v>10353970.887720995</v>
      </c>
      <c r="R8" s="1">
        <f>'5.4. NH3'!Q4</f>
        <v>455.6</v>
      </c>
      <c r="S8" s="1">
        <f>'5.4. NH3'!R4</f>
        <v>24.790000000000003</v>
      </c>
      <c r="T8" s="1">
        <f>'5.4. NH3'!S4</f>
        <v>0</v>
      </c>
      <c r="U8" s="1">
        <f>'5.4. NH3'!T4</f>
        <v>366853.97088772099</v>
      </c>
      <c r="V8" s="1">
        <f>'5.4. NH3'!U4</f>
        <v>6748.6556</v>
      </c>
      <c r="W8" s="1" t="str">
        <f>'5.4. NH3'!V4</f>
        <v>NH3</v>
      </c>
      <c r="X8" s="1">
        <f>'5.4. NH3'!W4</f>
        <v>0</v>
      </c>
      <c r="Y8" s="23"/>
      <c r="Z8" s="23"/>
      <c r="AA8" s="23"/>
      <c r="AB8" s="23"/>
      <c r="AC8" s="292"/>
      <c r="AD8" s="292"/>
      <c r="AE8" s="293"/>
      <c r="AF8" s="23"/>
      <c r="AH8" s="23"/>
      <c r="AI8" s="23"/>
      <c r="AJ8" s="23"/>
      <c r="AK8" s="294"/>
      <c r="AN8" s="294"/>
      <c r="AO8" s="294"/>
      <c r="AP8" s="294"/>
      <c r="AQ8" s="294"/>
      <c r="AR8" s="23"/>
      <c r="AT8" s="295"/>
      <c r="AU8" s="295"/>
      <c r="AV8" s="295"/>
      <c r="AW8" s="294"/>
      <c r="AX8" s="23"/>
      <c r="AY8" s="23"/>
    </row>
    <row r="9" spans="1:53" x14ac:dyDescent="0.25">
      <c r="A9" s="301" t="s">
        <v>861</v>
      </c>
      <c r="B9" s="1" t="s">
        <v>857</v>
      </c>
      <c r="C9" s="1" t="str">
        <f>'5.4. NH3'!B5</f>
        <v>NH3 - Production Vessel</v>
      </c>
      <c r="D9" s="1" t="str">
        <f>'5.4. NH3'!C5</f>
        <v>NG</v>
      </c>
      <c r="E9" s="1">
        <f>'5.4. NH3'!D5</f>
        <v>9117217.7119881157</v>
      </c>
      <c r="F9" s="1">
        <f>'5.4. NH3'!E5</f>
        <v>1</v>
      </c>
      <c r="G9" s="1">
        <f>'5.4. NH3'!F5</f>
        <v>25</v>
      </c>
      <c r="H9" s="1">
        <f>'5.4. NH3'!G5</f>
        <v>0.95238095238095233</v>
      </c>
      <c r="I9" s="1" t="str">
        <f>'5.4. NH3'!H5</f>
        <v>Offshore</v>
      </c>
      <c r="J9" s="1" t="str">
        <f>'5.4. NH3'!I5</f>
        <v>Both</v>
      </c>
      <c r="K9" s="1">
        <f>'5.4. NH3'!J5</f>
        <v>2441646.2898353268</v>
      </c>
      <c r="L9" s="1">
        <f>'5.4. NH3'!K5</f>
        <v>119.6</v>
      </c>
      <c r="M9" s="1">
        <f>'5.4. NH3'!L5</f>
        <v>5.2306900000000001</v>
      </c>
      <c r="N9" s="1">
        <f>'5.4. NH3'!M5</f>
        <v>0</v>
      </c>
      <c r="O9" s="1">
        <f>'5.4. NH3'!N5</f>
        <v>80871.64628983532</v>
      </c>
      <c r="P9" s="1">
        <f>'5.4. NH3'!O5</f>
        <v>1672.6795999999999</v>
      </c>
      <c r="Q9" s="1">
        <f>'5.4. NH3'!P5</f>
        <v>10353970.887720995</v>
      </c>
      <c r="R9" s="1">
        <f>'5.4. NH3'!Q5</f>
        <v>455.6</v>
      </c>
      <c r="S9" s="1">
        <f>'5.4. NH3'!R5</f>
        <v>24.790000000000003</v>
      </c>
      <c r="T9" s="1">
        <f>'5.4. NH3'!S5</f>
        <v>0</v>
      </c>
      <c r="U9" s="1">
        <f>'5.4. NH3'!T5</f>
        <v>366853.97088772099</v>
      </c>
      <c r="V9" s="1">
        <f>'5.4. NH3'!U5</f>
        <v>6748.6556</v>
      </c>
      <c r="W9" s="1" t="str">
        <f>'5.4. NH3'!V5</f>
        <v>NH3</v>
      </c>
      <c r="X9" s="1">
        <f>'5.4. NH3'!W5</f>
        <v>0</v>
      </c>
      <c r="Y9" s="23"/>
      <c r="Z9" s="23"/>
      <c r="AA9" s="23"/>
      <c r="AB9" s="23"/>
      <c r="AC9" s="292"/>
      <c r="AD9" s="292"/>
      <c r="AE9" s="293"/>
      <c r="AF9" s="23"/>
      <c r="AH9" s="23"/>
      <c r="AI9" s="23"/>
      <c r="AJ9" s="23"/>
      <c r="AK9" s="294"/>
      <c r="AN9" s="294"/>
      <c r="AO9" s="294"/>
      <c r="AP9" s="294"/>
      <c r="AQ9" s="294"/>
      <c r="AR9" s="23"/>
      <c r="AT9" s="295"/>
      <c r="AU9" s="295"/>
      <c r="AV9" s="295"/>
      <c r="AW9" s="294"/>
      <c r="AX9" s="23"/>
      <c r="AY9" s="23"/>
    </row>
    <row r="10" spans="1:53" x14ac:dyDescent="0.25">
      <c r="A10" s="301" t="s">
        <v>861</v>
      </c>
      <c r="B10" s="1" t="s">
        <v>858</v>
      </c>
      <c r="C10" s="1" t="str">
        <f>'5.4. NH3'!B6</f>
        <v>NH3 - Production Vessel UC</v>
      </c>
      <c r="D10" s="1" t="str">
        <f>'5.4. NH3'!C6</f>
        <v>E</v>
      </c>
      <c r="E10" s="1">
        <f>'5.4. NH3'!D6</f>
        <v>9117217.7119881157</v>
      </c>
      <c r="F10" s="1">
        <f>'5.4. NH3'!E6</f>
        <v>1</v>
      </c>
      <c r="G10" s="1">
        <f>'5.4. NH3'!F6</f>
        <v>25</v>
      </c>
      <c r="H10" s="1">
        <f>'5.4. NH3'!G6</f>
        <v>0.95238095238095233</v>
      </c>
      <c r="I10" s="1" t="str">
        <f>'5.4. NH3'!H6</f>
        <v>Offshore</v>
      </c>
      <c r="J10" s="1" t="str">
        <f>'5.4. NH3'!I6</f>
        <v>Both</v>
      </c>
      <c r="K10" s="1">
        <f>'5.4. NH3'!J6</f>
        <v>2441646.2898353268</v>
      </c>
      <c r="L10" s="1">
        <f>'5.4. NH3'!K6</f>
        <v>119.6</v>
      </c>
      <c r="M10" s="1">
        <f>'5.4. NH3'!L6</f>
        <v>0</v>
      </c>
      <c r="N10" s="1">
        <f>'5.4. NH3'!M6</f>
        <v>0</v>
      </c>
      <c r="O10" s="1">
        <f>'5.4. NH3'!N6</f>
        <v>80871.64628983532</v>
      </c>
      <c r="P10" s="1">
        <f>'5.4. NH3'!O6</f>
        <v>1672.6795999999999</v>
      </c>
      <c r="Q10" s="1">
        <f>'5.4. NH3'!P6</f>
        <v>10353970.887720995</v>
      </c>
      <c r="R10" s="1">
        <f>'5.4. NH3'!Q6</f>
        <v>455.6</v>
      </c>
      <c r="S10" s="1">
        <f>'5.4. NH3'!R6</f>
        <v>16.850000000000001</v>
      </c>
      <c r="T10" s="1">
        <f>'5.4. NH3'!S6</f>
        <v>0</v>
      </c>
      <c r="U10" s="1">
        <f>'5.4. NH3'!T6</f>
        <v>366853.97088772099</v>
      </c>
      <c r="V10" s="1">
        <f>'5.4. NH3'!U6</f>
        <v>6748.6556</v>
      </c>
      <c r="W10" s="1" t="str">
        <f>'5.4. NH3'!V6</f>
        <v>NH3 UC</v>
      </c>
      <c r="X10" s="1">
        <f>'5.4. NH3'!W6</f>
        <v>0</v>
      </c>
      <c r="Y10" s="23"/>
      <c r="Z10" s="23"/>
      <c r="AA10" s="23"/>
      <c r="AB10" s="23"/>
      <c r="AC10" s="292"/>
      <c r="AD10" s="292"/>
      <c r="AE10" s="293"/>
      <c r="AF10" s="23"/>
      <c r="AH10" s="23"/>
      <c r="AI10" s="23"/>
      <c r="AJ10" s="23"/>
      <c r="AK10" s="294"/>
      <c r="AN10" s="294"/>
      <c r="AO10" s="294"/>
      <c r="AP10" s="294"/>
      <c r="AQ10" s="294"/>
      <c r="AR10" s="23"/>
      <c r="AT10" s="295"/>
      <c r="AU10" s="295"/>
      <c r="AV10" s="295"/>
      <c r="AW10" s="294"/>
      <c r="AX10" s="23"/>
      <c r="AY10" s="23"/>
    </row>
    <row r="11" spans="1:53" x14ac:dyDescent="0.25">
      <c r="A11" s="301" t="s">
        <v>861</v>
      </c>
      <c r="B11" s="1" t="s">
        <v>859</v>
      </c>
      <c r="C11" s="1" t="str">
        <f>'5.4. NH3'!B7</f>
        <v>NH3 - Production Vessel UC</v>
      </c>
      <c r="D11" s="1" t="str">
        <f>'5.4. NH3'!C7</f>
        <v>NG</v>
      </c>
      <c r="E11" s="1">
        <f>'5.4. NH3'!D7</f>
        <v>9117217.7119881157</v>
      </c>
      <c r="F11" s="1">
        <f>'5.4. NH3'!E7</f>
        <v>1</v>
      </c>
      <c r="G11" s="1">
        <f>'5.4. NH3'!F7</f>
        <v>25</v>
      </c>
      <c r="H11" s="1">
        <f>'5.4. NH3'!G7</f>
        <v>0.95238095238095233</v>
      </c>
      <c r="I11" s="1" t="str">
        <f>'5.4. NH3'!H7</f>
        <v>Offshore</v>
      </c>
      <c r="J11" s="1" t="str">
        <f>'5.4. NH3'!I7</f>
        <v>Both</v>
      </c>
      <c r="K11" s="1">
        <f>'5.4. NH3'!J7</f>
        <v>2441646.2898353268</v>
      </c>
      <c r="L11" s="1">
        <f>'5.4. NH3'!K7</f>
        <v>119.6</v>
      </c>
      <c r="M11" s="1">
        <f>'5.4. NH3'!L7</f>
        <v>3.5553500000000002</v>
      </c>
      <c r="N11" s="1">
        <f>'5.4. NH3'!M7</f>
        <v>0</v>
      </c>
      <c r="O11" s="1">
        <f>'5.4. NH3'!N7</f>
        <v>80871.64628983532</v>
      </c>
      <c r="P11" s="1">
        <f>'5.4. NH3'!O7</f>
        <v>1672.6795999999999</v>
      </c>
      <c r="Q11" s="1">
        <f>'5.4. NH3'!P7</f>
        <v>10353970.887720995</v>
      </c>
      <c r="R11" s="1">
        <f>'5.4. NH3'!Q7</f>
        <v>455.6</v>
      </c>
      <c r="S11" s="1">
        <f>'5.4. NH3'!R7</f>
        <v>16.850000000000001</v>
      </c>
      <c r="T11" s="1">
        <f>'5.4. NH3'!S7</f>
        <v>0</v>
      </c>
      <c r="U11" s="1">
        <f>'5.4. NH3'!T7</f>
        <v>366853.97088772099</v>
      </c>
      <c r="V11" s="1">
        <f>'5.4. NH3'!U7</f>
        <v>6748.6556</v>
      </c>
      <c r="W11" s="1" t="str">
        <f>'5.4. NH3'!V7</f>
        <v>NH3 UC</v>
      </c>
      <c r="X11" s="1">
        <f>'5.4. NH3'!W7</f>
        <v>0</v>
      </c>
      <c r="Y11" s="23"/>
      <c r="Z11" s="23"/>
      <c r="AA11" s="23"/>
      <c r="AB11" s="23"/>
      <c r="AC11" s="292"/>
      <c r="AD11" s="292"/>
      <c r="AE11" s="293"/>
      <c r="AF11" s="23"/>
      <c r="AH11" s="23"/>
      <c r="AI11" s="23"/>
      <c r="AJ11" s="23"/>
      <c r="AK11" s="294"/>
      <c r="AN11" s="294"/>
      <c r="AO11" s="294"/>
      <c r="AP11" s="294"/>
      <c r="AQ11" s="294"/>
      <c r="AR11" s="23"/>
      <c r="AT11" s="295"/>
      <c r="AU11" s="295"/>
      <c r="AV11" s="295"/>
      <c r="AW11" s="294"/>
      <c r="AX11" s="23"/>
      <c r="AY11" s="23"/>
    </row>
    <row r="12" spans="1:53" x14ac:dyDescent="0.25">
      <c r="A12" s="22" t="s">
        <v>863</v>
      </c>
      <c r="B12" s="1" t="s">
        <v>23</v>
      </c>
      <c r="C12" s="1" t="s">
        <v>917</v>
      </c>
      <c r="D12" s="1" t="s">
        <v>23</v>
      </c>
      <c r="E12" s="1">
        <v>1</v>
      </c>
      <c r="F12" s="1">
        <v>1</v>
      </c>
      <c r="G12" s="1">
        <v>1</v>
      </c>
      <c r="H12" s="1">
        <v>1</v>
      </c>
      <c r="I12" s="1" t="s">
        <v>16</v>
      </c>
      <c r="J12" s="1">
        <v>0</v>
      </c>
      <c r="K12" s="1">
        <v>0</v>
      </c>
      <c r="L12" s="1">
        <v>0</v>
      </c>
      <c r="M12" s="1">
        <v>0</v>
      </c>
      <c r="N12" s="1">
        <v>0</v>
      </c>
      <c r="O12" s="1">
        <v>0</v>
      </c>
      <c r="P12" s="1">
        <v>0</v>
      </c>
      <c r="Q12" s="1">
        <v>0</v>
      </c>
      <c r="R12" s="1">
        <v>0</v>
      </c>
      <c r="S12" s="1">
        <v>0</v>
      </c>
      <c r="T12" s="1">
        <v>0</v>
      </c>
      <c r="U12" s="1">
        <v>0</v>
      </c>
      <c r="V12" s="20">
        <v>0</v>
      </c>
      <c r="W12" s="1" t="s">
        <v>23</v>
      </c>
      <c r="X12" s="1">
        <v>0</v>
      </c>
      <c r="Y12" s="23"/>
      <c r="Z12" s="23"/>
      <c r="AA12" s="23"/>
      <c r="AB12" s="23"/>
      <c r="AC12" s="292"/>
      <c r="AD12" s="292"/>
      <c r="AE12" s="293"/>
      <c r="AF12" s="23"/>
      <c r="AG12" s="67"/>
      <c r="AH12" s="23"/>
      <c r="AI12" s="23"/>
      <c r="AJ12" s="23"/>
      <c r="AK12" s="294"/>
      <c r="AN12" s="294"/>
      <c r="AO12" s="294"/>
      <c r="AP12" s="294"/>
      <c r="AQ12" s="294"/>
      <c r="AR12" s="23"/>
      <c r="AS12" s="67"/>
      <c r="AT12" s="295"/>
      <c r="AU12" s="295"/>
      <c r="AV12" s="295"/>
      <c r="AW12" s="294"/>
      <c r="AX12" s="23"/>
      <c r="AY12" s="23"/>
    </row>
    <row r="13" spans="1:53" x14ac:dyDescent="0.25">
      <c r="A13" s="22" t="s">
        <v>863</v>
      </c>
      <c r="B13" s="1" t="s">
        <v>13</v>
      </c>
      <c r="C13" s="1" t="s">
        <v>558</v>
      </c>
      <c r="D13" s="1" t="s">
        <v>13</v>
      </c>
      <c r="E13" s="1">
        <v>1</v>
      </c>
      <c r="F13" s="1">
        <v>1</v>
      </c>
      <c r="G13" s="1">
        <v>1</v>
      </c>
      <c r="H13" s="1">
        <v>1</v>
      </c>
      <c r="I13" s="1" t="s">
        <v>16</v>
      </c>
      <c r="J13" s="1">
        <v>0</v>
      </c>
      <c r="K13" s="1">
        <v>0</v>
      </c>
      <c r="L13" s="1">
        <v>0</v>
      </c>
      <c r="M13" s="1">
        <v>0</v>
      </c>
      <c r="N13" s="1">
        <v>0</v>
      </c>
      <c r="O13" s="1">
        <v>0</v>
      </c>
      <c r="P13" s="1">
        <v>0</v>
      </c>
      <c r="Q13" s="1">
        <v>0</v>
      </c>
      <c r="R13" s="1">
        <v>0</v>
      </c>
      <c r="S13" s="1">
        <v>0</v>
      </c>
      <c r="T13" s="1">
        <v>0</v>
      </c>
      <c r="U13" s="1">
        <v>0</v>
      </c>
      <c r="V13" s="20">
        <v>0</v>
      </c>
      <c r="W13" s="1" t="s">
        <v>558</v>
      </c>
      <c r="X13" s="1">
        <v>0</v>
      </c>
      <c r="Y13" s="23"/>
      <c r="Z13" s="23"/>
      <c r="AA13" s="23"/>
      <c r="AB13" s="23"/>
      <c r="AC13" s="292"/>
      <c r="AD13" s="292"/>
      <c r="AE13" s="293"/>
      <c r="AF13" s="23"/>
      <c r="AG13" s="67"/>
      <c r="AH13" s="23"/>
      <c r="AI13" s="23"/>
      <c r="AJ13" s="23"/>
      <c r="AK13" s="294"/>
      <c r="AN13" s="294"/>
      <c r="AO13" s="294"/>
      <c r="AP13" s="294"/>
      <c r="AQ13" s="294"/>
      <c r="AR13" s="23"/>
      <c r="AS13" s="67"/>
      <c r="AT13" s="295"/>
      <c r="AU13" s="295"/>
      <c r="AV13" s="295"/>
      <c r="AW13" s="294"/>
      <c r="AX13" s="23"/>
      <c r="AY13" s="23"/>
    </row>
  </sheetData>
  <hyperlinks>
    <hyperlink ref="A2:A3" location="'5.1. LH2 '!A1" display="'5.1. LH2 '!A1" xr:uid="{93B53DD8-27B3-4C92-AB13-25108DE1AB8C}"/>
    <hyperlink ref="A4:A5" location="'5.2. CH2 - 60bar'!A1" display="5.2." xr:uid="{537E0534-F0DF-44C8-AA7C-23D399E98EDC}"/>
    <hyperlink ref="A6:A7" location="'5.3. LOHC'!A1" display="5.3. " xr:uid="{249E24DF-675C-49A3-AA3D-DB2E1F209064}"/>
    <hyperlink ref="A8:A11" location="'5.4. NH3'!A1" display="5.4. " xr:uid="{322D7780-A8B3-4B0A-A780-A2720A9E8D28}"/>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D3D16-745F-48EB-95CC-C993D53D0077}">
  <dimension ref="A1:L360"/>
  <sheetViews>
    <sheetView tabSelected="1" topLeftCell="A173" workbookViewId="0">
      <selection activeCell="L359" sqref="L359"/>
    </sheetView>
  </sheetViews>
  <sheetFormatPr defaultRowHeight="17.25" customHeight="1" x14ac:dyDescent="0.25"/>
  <cols>
    <col min="2" max="2" width="27.7109375" bestFit="1" customWidth="1"/>
    <col min="3" max="3" width="26.42578125" bestFit="1" customWidth="1"/>
    <col min="4" max="4" width="12.85546875" customWidth="1"/>
    <col min="5" max="5" width="47.28515625" customWidth="1"/>
    <col min="6" max="6" width="12" bestFit="1" customWidth="1"/>
    <col min="7" max="7" width="36.28515625" customWidth="1"/>
    <col min="8" max="8" width="10.140625" bestFit="1" customWidth="1"/>
  </cols>
  <sheetData>
    <row r="1" spans="1:12" ht="17.25" customHeight="1" x14ac:dyDescent="0.25">
      <c r="A1" t="s">
        <v>864</v>
      </c>
      <c r="B1" t="s">
        <v>916</v>
      </c>
      <c r="C1" t="s">
        <v>28</v>
      </c>
      <c r="D1" t="s">
        <v>915</v>
      </c>
      <c r="E1" t="s">
        <v>867</v>
      </c>
      <c r="F1" t="s">
        <v>868</v>
      </c>
      <c r="G1" t="s">
        <v>914</v>
      </c>
      <c r="H1" s="303" t="s">
        <v>8</v>
      </c>
      <c r="I1" t="s">
        <v>1159</v>
      </c>
    </row>
    <row r="2" spans="1:12" ht="17.25" customHeight="1" x14ac:dyDescent="0.25">
      <c r="A2" s="316" t="s">
        <v>907</v>
      </c>
      <c r="B2" s="314" t="s">
        <v>29</v>
      </c>
      <c r="C2" s="32" t="s">
        <v>689</v>
      </c>
      <c r="D2" s="314">
        <v>2312312312</v>
      </c>
      <c r="E2" s="314">
        <v>1849849849.6000001</v>
      </c>
      <c r="F2" s="314">
        <v>2774774774.4000001</v>
      </c>
      <c r="G2" s="317" t="s">
        <v>894</v>
      </c>
      <c r="H2" s="318" t="s">
        <v>906</v>
      </c>
      <c r="I2" s="396" t="s">
        <v>1160</v>
      </c>
      <c r="J2" s="23"/>
    </row>
    <row r="3" spans="1:12" ht="17.25" customHeight="1" x14ac:dyDescent="0.25">
      <c r="A3" s="319" t="s">
        <v>907</v>
      </c>
      <c r="B3" s="313" t="s">
        <v>29</v>
      </c>
      <c r="C3" s="32" t="s">
        <v>691</v>
      </c>
      <c r="D3" s="313">
        <v>2312312312</v>
      </c>
      <c r="E3" s="313">
        <v>1849849849.6000001</v>
      </c>
      <c r="F3" s="313">
        <v>2774774774.4000001</v>
      </c>
      <c r="G3" s="315" t="s">
        <v>894</v>
      </c>
      <c r="H3" s="320" t="s">
        <v>906</v>
      </c>
      <c r="I3" s="396" t="s">
        <v>1160</v>
      </c>
    </row>
    <row r="4" spans="1:12" ht="17.25" customHeight="1" x14ac:dyDescent="0.25">
      <c r="A4" s="316" t="s">
        <v>907</v>
      </c>
      <c r="B4" s="314" t="s">
        <v>29</v>
      </c>
      <c r="C4" s="32" t="s">
        <v>692</v>
      </c>
      <c r="D4" s="314">
        <v>2312312312</v>
      </c>
      <c r="E4" s="314">
        <v>1849849849.6000001</v>
      </c>
      <c r="F4" s="314">
        <v>2774774774.4000001</v>
      </c>
      <c r="G4" s="317" t="s">
        <v>895</v>
      </c>
      <c r="H4" s="320" t="s">
        <v>906</v>
      </c>
      <c r="I4" s="396" t="s">
        <v>1160</v>
      </c>
    </row>
    <row r="5" spans="1:12" ht="17.25" customHeight="1" x14ac:dyDescent="0.25">
      <c r="A5" s="319" t="s">
        <v>907</v>
      </c>
      <c r="B5" s="313" t="s">
        <v>29</v>
      </c>
      <c r="C5" s="32" t="s">
        <v>693</v>
      </c>
      <c r="D5" s="313">
        <v>2312312312</v>
      </c>
      <c r="E5" s="313">
        <v>1849849849.6000001</v>
      </c>
      <c r="F5" s="313">
        <v>2774774774.4000001</v>
      </c>
      <c r="G5" s="315" t="s">
        <v>894</v>
      </c>
      <c r="H5" s="320" t="s">
        <v>906</v>
      </c>
      <c r="I5" s="396" t="s">
        <v>1160</v>
      </c>
      <c r="K5" s="323"/>
      <c r="L5" s="323"/>
    </row>
    <row r="6" spans="1:12" ht="17.25" customHeight="1" x14ac:dyDescent="0.25">
      <c r="A6" s="316" t="s">
        <v>907</v>
      </c>
      <c r="B6" s="314" t="s">
        <v>29</v>
      </c>
      <c r="C6" s="32" t="s">
        <v>923</v>
      </c>
      <c r="D6" s="314">
        <v>2312312312</v>
      </c>
      <c r="E6" s="314">
        <v>1849849849.6000001</v>
      </c>
      <c r="F6" s="314">
        <v>2774774774.4000001</v>
      </c>
      <c r="G6" s="317" t="s">
        <v>894</v>
      </c>
      <c r="H6" s="320" t="s">
        <v>906</v>
      </c>
      <c r="I6" s="396" t="s">
        <v>1160</v>
      </c>
      <c r="K6" s="323"/>
      <c r="L6" s="324"/>
    </row>
    <row r="7" spans="1:12" ht="17.25" customHeight="1" x14ac:dyDescent="0.25">
      <c r="A7" s="319" t="s">
        <v>907</v>
      </c>
      <c r="B7" s="313" t="s">
        <v>29</v>
      </c>
      <c r="C7" s="32" t="s">
        <v>694</v>
      </c>
      <c r="D7" s="313">
        <v>1</v>
      </c>
      <c r="E7" s="313">
        <v>0.99999990000000005</v>
      </c>
      <c r="F7" s="313">
        <v>1</v>
      </c>
      <c r="G7" s="315" t="s">
        <v>895</v>
      </c>
      <c r="H7" s="320" t="s">
        <v>906</v>
      </c>
      <c r="I7" s="396" t="s">
        <v>1160</v>
      </c>
      <c r="K7" s="323"/>
      <c r="L7" s="324"/>
    </row>
    <row r="8" spans="1:12" ht="17.25" customHeight="1" x14ac:dyDescent="0.25">
      <c r="A8" s="316" t="s">
        <v>907</v>
      </c>
      <c r="B8" s="314" t="s">
        <v>29</v>
      </c>
      <c r="C8" s="32" t="s">
        <v>695</v>
      </c>
      <c r="D8" s="314">
        <v>7300000000</v>
      </c>
      <c r="E8" s="314">
        <v>5840000000</v>
      </c>
      <c r="F8" s="314">
        <v>8760000000</v>
      </c>
      <c r="G8" s="317" t="s">
        <v>894</v>
      </c>
      <c r="H8" s="320" t="s">
        <v>906</v>
      </c>
      <c r="I8" s="396" t="s">
        <v>1160</v>
      </c>
      <c r="K8" s="323"/>
      <c r="L8" s="324"/>
    </row>
    <row r="9" spans="1:12" ht="17.25" customHeight="1" x14ac:dyDescent="0.25">
      <c r="A9" s="319" t="s">
        <v>907</v>
      </c>
      <c r="B9" s="313" t="s">
        <v>29</v>
      </c>
      <c r="C9" s="32" t="s">
        <v>697</v>
      </c>
      <c r="D9" s="313">
        <v>7300000000</v>
      </c>
      <c r="E9" s="313">
        <v>5840000000</v>
      </c>
      <c r="F9" s="313">
        <v>8760000000</v>
      </c>
      <c r="G9" s="315" t="s">
        <v>894</v>
      </c>
      <c r="H9" s="320" t="s">
        <v>906</v>
      </c>
      <c r="I9" s="396" t="s">
        <v>1160</v>
      </c>
      <c r="K9" s="323"/>
      <c r="L9" s="323"/>
    </row>
    <row r="10" spans="1:12" ht="17.25" customHeight="1" x14ac:dyDescent="0.25">
      <c r="A10" s="316" t="s">
        <v>907</v>
      </c>
      <c r="B10" s="314" t="s">
        <v>29</v>
      </c>
      <c r="C10" s="32" t="s">
        <v>698</v>
      </c>
      <c r="D10" s="314">
        <v>2318823529</v>
      </c>
      <c r="E10" s="314">
        <v>1855058823.2</v>
      </c>
      <c r="F10" s="314">
        <v>2782588234.7999997</v>
      </c>
      <c r="G10" s="317" t="s">
        <v>894</v>
      </c>
      <c r="H10" s="320" t="s">
        <v>906</v>
      </c>
      <c r="I10" s="396" t="s">
        <v>1160</v>
      </c>
      <c r="K10" s="323"/>
      <c r="L10" s="323"/>
    </row>
    <row r="11" spans="1:12" ht="17.25" customHeight="1" x14ac:dyDescent="0.25">
      <c r="A11" s="319" t="s">
        <v>907</v>
      </c>
      <c r="B11" s="313" t="s">
        <v>29</v>
      </c>
      <c r="C11" s="32" t="s">
        <v>699</v>
      </c>
      <c r="D11" s="313">
        <v>13140000000</v>
      </c>
      <c r="E11" s="313">
        <v>10512000000</v>
      </c>
      <c r="F11" s="313">
        <v>15768000000</v>
      </c>
      <c r="G11" s="315" t="s">
        <v>894</v>
      </c>
      <c r="H11" s="320" t="s">
        <v>906</v>
      </c>
      <c r="I11" s="396" t="s">
        <v>1160</v>
      </c>
      <c r="K11" s="323"/>
      <c r="L11" s="323"/>
    </row>
    <row r="12" spans="1:12" ht="17.25" customHeight="1" x14ac:dyDescent="0.25">
      <c r="A12" s="316" t="s">
        <v>907</v>
      </c>
      <c r="B12" s="314" t="s">
        <v>29</v>
      </c>
      <c r="C12" s="32" t="s">
        <v>700</v>
      </c>
      <c r="D12" s="314">
        <v>2318823529</v>
      </c>
      <c r="E12" s="314">
        <v>1855058823.2</v>
      </c>
      <c r="F12" s="314">
        <v>2782588234.7999997</v>
      </c>
      <c r="G12" s="317" t="s">
        <v>894</v>
      </c>
      <c r="H12" s="320" t="s">
        <v>906</v>
      </c>
      <c r="I12" s="396" t="s">
        <v>1160</v>
      </c>
      <c r="K12" s="323"/>
      <c r="L12" s="324"/>
    </row>
    <row r="13" spans="1:12" ht="17.25" customHeight="1" x14ac:dyDescent="0.25">
      <c r="A13" s="319" t="s">
        <v>907</v>
      </c>
      <c r="B13" s="313" t="s">
        <v>29</v>
      </c>
      <c r="C13" s="32" t="s">
        <v>701</v>
      </c>
      <c r="D13" s="313">
        <v>13140000000</v>
      </c>
      <c r="E13" s="313">
        <v>10512000000</v>
      </c>
      <c r="F13" s="313">
        <v>15768000000</v>
      </c>
      <c r="G13" s="315" t="s">
        <v>894</v>
      </c>
      <c r="H13" s="320" t="s">
        <v>906</v>
      </c>
      <c r="I13" s="396" t="s">
        <v>1160</v>
      </c>
      <c r="K13" s="323"/>
      <c r="L13" s="323"/>
    </row>
    <row r="14" spans="1:12" ht="17.25" customHeight="1" x14ac:dyDescent="0.25">
      <c r="A14" s="316" t="s">
        <v>907</v>
      </c>
      <c r="B14" s="314" t="s">
        <v>29</v>
      </c>
      <c r="C14" s="32" t="s">
        <v>702</v>
      </c>
      <c r="D14" s="314">
        <v>809424000</v>
      </c>
      <c r="E14" s="314">
        <v>647539200</v>
      </c>
      <c r="F14" s="314">
        <v>971308800</v>
      </c>
      <c r="G14" s="317" t="s">
        <v>894</v>
      </c>
      <c r="H14" s="320" t="s">
        <v>906</v>
      </c>
      <c r="I14" s="396" t="s">
        <v>1160</v>
      </c>
      <c r="K14" s="323"/>
      <c r="L14" s="324"/>
    </row>
    <row r="15" spans="1:12" ht="17.25" customHeight="1" x14ac:dyDescent="0.25">
      <c r="A15" s="319" t="s">
        <v>907</v>
      </c>
      <c r="B15" s="313" t="s">
        <v>30</v>
      </c>
      <c r="C15" s="32" t="s">
        <v>689</v>
      </c>
      <c r="D15" s="313">
        <v>1</v>
      </c>
      <c r="E15" s="313">
        <v>0.8</v>
      </c>
      <c r="F15" s="313">
        <v>1</v>
      </c>
      <c r="G15" s="315" t="s">
        <v>905</v>
      </c>
      <c r="H15" s="320" t="s">
        <v>906</v>
      </c>
      <c r="I15" s="314" t="s">
        <v>1161</v>
      </c>
      <c r="K15" s="323"/>
      <c r="L15" s="323"/>
    </row>
    <row r="16" spans="1:12" ht="17.25" customHeight="1" x14ac:dyDescent="0.25">
      <c r="A16" s="316" t="s">
        <v>907</v>
      </c>
      <c r="B16" s="314" t="s">
        <v>30</v>
      </c>
      <c r="C16" s="32" t="s">
        <v>691</v>
      </c>
      <c r="D16" s="314">
        <v>1</v>
      </c>
      <c r="E16" s="314">
        <v>0.8</v>
      </c>
      <c r="F16" s="314">
        <v>1</v>
      </c>
      <c r="G16" s="317" t="s">
        <v>905</v>
      </c>
      <c r="H16" s="320" t="s">
        <v>906</v>
      </c>
      <c r="I16" s="314" t="s">
        <v>1161</v>
      </c>
      <c r="K16" s="323"/>
      <c r="L16" s="323"/>
    </row>
    <row r="17" spans="1:12" ht="17.25" customHeight="1" x14ac:dyDescent="0.25">
      <c r="A17" s="319" t="s">
        <v>907</v>
      </c>
      <c r="B17" s="313" t="s">
        <v>30</v>
      </c>
      <c r="C17" s="32" t="s">
        <v>692</v>
      </c>
      <c r="D17" s="313">
        <v>1</v>
      </c>
      <c r="E17" s="313">
        <v>0.8</v>
      </c>
      <c r="F17" s="313">
        <v>1</v>
      </c>
      <c r="G17" s="315" t="s">
        <v>905</v>
      </c>
      <c r="H17" s="320" t="s">
        <v>906</v>
      </c>
      <c r="I17" s="314" t="s">
        <v>1161</v>
      </c>
      <c r="K17" s="323"/>
      <c r="L17" s="323"/>
    </row>
    <row r="18" spans="1:12" ht="17.25" customHeight="1" x14ac:dyDescent="0.25">
      <c r="A18" s="316" t="s">
        <v>907</v>
      </c>
      <c r="B18" s="314" t="s">
        <v>30</v>
      </c>
      <c r="C18" s="32" t="s">
        <v>693</v>
      </c>
      <c r="D18" s="314">
        <v>1</v>
      </c>
      <c r="E18" s="314">
        <v>0.8</v>
      </c>
      <c r="F18" s="314">
        <v>1</v>
      </c>
      <c r="G18" s="317" t="s">
        <v>905</v>
      </c>
      <c r="H18" s="320" t="s">
        <v>906</v>
      </c>
      <c r="I18" s="314" t="s">
        <v>1161</v>
      </c>
      <c r="K18" s="323"/>
      <c r="L18" s="323"/>
    </row>
    <row r="19" spans="1:12" ht="17.25" customHeight="1" x14ac:dyDescent="0.25">
      <c r="A19" s="319" t="s">
        <v>907</v>
      </c>
      <c r="B19" s="313" t="s">
        <v>30</v>
      </c>
      <c r="C19" s="32" t="s">
        <v>923</v>
      </c>
      <c r="D19" s="313">
        <v>1</v>
      </c>
      <c r="E19" s="313">
        <v>0.8</v>
      </c>
      <c r="F19" s="313">
        <v>1</v>
      </c>
      <c r="G19" s="315" t="s">
        <v>905</v>
      </c>
      <c r="H19" s="320" t="s">
        <v>906</v>
      </c>
      <c r="I19" s="314" t="s">
        <v>1161</v>
      </c>
      <c r="K19" s="323"/>
      <c r="L19" s="323"/>
    </row>
    <row r="20" spans="1:12" ht="17.25" customHeight="1" x14ac:dyDescent="0.25">
      <c r="A20" s="316" t="s">
        <v>907</v>
      </c>
      <c r="B20" s="314" t="s">
        <v>30</v>
      </c>
      <c r="C20" s="32" t="s">
        <v>694</v>
      </c>
      <c r="D20" s="314">
        <v>1</v>
      </c>
      <c r="E20" s="314">
        <v>0.8</v>
      </c>
      <c r="F20" s="314">
        <v>1</v>
      </c>
      <c r="G20" s="317" t="s">
        <v>905</v>
      </c>
      <c r="H20" s="320" t="s">
        <v>906</v>
      </c>
      <c r="I20" s="314" t="s">
        <v>1161</v>
      </c>
      <c r="K20" s="323"/>
      <c r="L20" s="323"/>
    </row>
    <row r="21" spans="1:12" ht="17.25" customHeight="1" x14ac:dyDescent="0.25">
      <c r="A21" s="319" t="s">
        <v>907</v>
      </c>
      <c r="B21" s="313" t="s">
        <v>30</v>
      </c>
      <c r="C21" s="32" t="s">
        <v>695</v>
      </c>
      <c r="D21" s="313">
        <v>1</v>
      </c>
      <c r="E21" s="313">
        <v>0.8</v>
      </c>
      <c r="F21" s="313">
        <v>1</v>
      </c>
      <c r="G21" s="315" t="s">
        <v>905</v>
      </c>
      <c r="H21" s="320" t="s">
        <v>906</v>
      </c>
      <c r="I21" s="314" t="s">
        <v>1161</v>
      </c>
      <c r="K21" s="323"/>
      <c r="L21" s="323"/>
    </row>
    <row r="22" spans="1:12" ht="17.25" customHeight="1" x14ac:dyDescent="0.25">
      <c r="A22" s="316" t="s">
        <v>907</v>
      </c>
      <c r="B22" s="314" t="s">
        <v>30</v>
      </c>
      <c r="C22" s="32" t="s">
        <v>697</v>
      </c>
      <c r="D22" s="314">
        <v>1</v>
      </c>
      <c r="E22" s="314">
        <v>0.8</v>
      </c>
      <c r="F22" s="314">
        <v>1</v>
      </c>
      <c r="G22" s="317" t="s">
        <v>905</v>
      </c>
      <c r="H22" s="320" t="s">
        <v>906</v>
      </c>
      <c r="I22" s="314" t="s">
        <v>1161</v>
      </c>
      <c r="K22" s="323"/>
      <c r="L22" s="323"/>
    </row>
    <row r="23" spans="1:12" ht="17.25" customHeight="1" x14ac:dyDescent="0.25">
      <c r="A23" s="319" t="s">
        <v>907</v>
      </c>
      <c r="B23" s="313" t="s">
        <v>30</v>
      </c>
      <c r="C23" s="32" t="s">
        <v>698</v>
      </c>
      <c r="D23" s="313">
        <v>1</v>
      </c>
      <c r="E23" s="313">
        <v>0.8</v>
      </c>
      <c r="F23" s="313">
        <v>1</v>
      </c>
      <c r="G23" s="315" t="s">
        <v>905</v>
      </c>
      <c r="H23" s="320" t="s">
        <v>906</v>
      </c>
      <c r="I23" s="314" t="s">
        <v>1161</v>
      </c>
      <c r="K23" s="323"/>
      <c r="L23" s="323"/>
    </row>
    <row r="24" spans="1:12" ht="17.25" customHeight="1" x14ac:dyDescent="0.25">
      <c r="A24" s="316" t="s">
        <v>907</v>
      </c>
      <c r="B24" s="314" t="s">
        <v>30</v>
      </c>
      <c r="C24" s="32" t="s">
        <v>699</v>
      </c>
      <c r="D24" s="314">
        <v>1</v>
      </c>
      <c r="E24" s="314">
        <v>0.8</v>
      </c>
      <c r="F24" s="314">
        <v>1</v>
      </c>
      <c r="G24" s="317" t="s">
        <v>905</v>
      </c>
      <c r="H24" s="320" t="s">
        <v>906</v>
      </c>
      <c r="I24" s="314" t="s">
        <v>1161</v>
      </c>
      <c r="K24" s="323"/>
      <c r="L24" s="323"/>
    </row>
    <row r="25" spans="1:12" ht="17.25" customHeight="1" x14ac:dyDescent="0.25">
      <c r="A25" s="319" t="s">
        <v>907</v>
      </c>
      <c r="B25" s="313" t="s">
        <v>30</v>
      </c>
      <c r="C25" s="32" t="s">
        <v>700</v>
      </c>
      <c r="D25" s="313">
        <v>1</v>
      </c>
      <c r="E25" s="313">
        <v>0.8</v>
      </c>
      <c r="F25" s="313">
        <v>1</v>
      </c>
      <c r="G25" s="315" t="s">
        <v>905</v>
      </c>
      <c r="H25" s="320" t="s">
        <v>906</v>
      </c>
      <c r="I25" s="314" t="s">
        <v>1161</v>
      </c>
      <c r="K25" s="323"/>
      <c r="L25" s="323"/>
    </row>
    <row r="26" spans="1:12" ht="17.25" customHeight="1" x14ac:dyDescent="0.25">
      <c r="A26" s="316" t="s">
        <v>907</v>
      </c>
      <c r="B26" s="314" t="s">
        <v>30</v>
      </c>
      <c r="C26" s="32" t="s">
        <v>701</v>
      </c>
      <c r="D26" s="314">
        <v>1</v>
      </c>
      <c r="E26" s="314">
        <v>0.8</v>
      </c>
      <c r="F26" s="314">
        <v>1</v>
      </c>
      <c r="G26" s="317" t="s">
        <v>905</v>
      </c>
      <c r="H26" s="320" t="s">
        <v>906</v>
      </c>
      <c r="I26" s="314" t="s">
        <v>1161</v>
      </c>
    </row>
    <row r="27" spans="1:12" ht="17.25" customHeight="1" x14ac:dyDescent="0.25">
      <c r="A27" s="319" t="s">
        <v>907</v>
      </c>
      <c r="B27" s="313" t="s">
        <v>30</v>
      </c>
      <c r="C27" s="32" t="s">
        <v>702</v>
      </c>
      <c r="D27" s="313">
        <v>1</v>
      </c>
      <c r="E27" s="313">
        <v>0.8</v>
      </c>
      <c r="F27" s="313">
        <v>1</v>
      </c>
      <c r="G27" s="315" t="s">
        <v>905</v>
      </c>
      <c r="H27" s="320" t="s">
        <v>906</v>
      </c>
      <c r="I27" s="314" t="s">
        <v>1161</v>
      </c>
    </row>
    <row r="28" spans="1:12" ht="17.25" customHeight="1" x14ac:dyDescent="0.25">
      <c r="A28" s="316" t="s">
        <v>907</v>
      </c>
      <c r="B28" s="314" t="s">
        <v>31</v>
      </c>
      <c r="C28" s="32" t="s">
        <v>689</v>
      </c>
      <c r="D28" s="314">
        <v>20</v>
      </c>
      <c r="E28" s="314">
        <v>10</v>
      </c>
      <c r="F28" s="314">
        <v>25</v>
      </c>
      <c r="G28" s="317" t="s">
        <v>913</v>
      </c>
      <c r="H28" s="320" t="s">
        <v>906</v>
      </c>
      <c r="I28" s="314" t="s">
        <v>1162</v>
      </c>
    </row>
    <row r="29" spans="1:12" ht="17.25" customHeight="1" x14ac:dyDescent="0.25">
      <c r="A29" s="319" t="s">
        <v>907</v>
      </c>
      <c r="B29" s="313" t="s">
        <v>31</v>
      </c>
      <c r="C29" s="32" t="s">
        <v>691</v>
      </c>
      <c r="D29" s="313">
        <v>20</v>
      </c>
      <c r="E29" s="313">
        <v>13.8</v>
      </c>
      <c r="F29" s="313">
        <v>21.3</v>
      </c>
      <c r="G29" s="315" t="s">
        <v>913</v>
      </c>
      <c r="H29" s="320" t="s">
        <v>906</v>
      </c>
      <c r="I29" s="314" t="s">
        <v>1162</v>
      </c>
    </row>
    <row r="30" spans="1:12" ht="17.25" customHeight="1" x14ac:dyDescent="0.25">
      <c r="A30" s="316" t="s">
        <v>907</v>
      </c>
      <c r="B30" s="314" t="s">
        <v>31</v>
      </c>
      <c r="C30" s="32" t="s">
        <v>692</v>
      </c>
      <c r="D30" s="314">
        <v>40</v>
      </c>
      <c r="E30" s="313">
        <v>20</v>
      </c>
      <c r="F30" s="313">
        <v>50</v>
      </c>
      <c r="G30" s="317" t="s">
        <v>895</v>
      </c>
      <c r="H30" s="320" t="s">
        <v>906</v>
      </c>
      <c r="I30" s="314" t="s">
        <v>1162</v>
      </c>
    </row>
    <row r="31" spans="1:12" ht="17.25" customHeight="1" x14ac:dyDescent="0.25">
      <c r="A31" s="319" t="s">
        <v>907</v>
      </c>
      <c r="B31" s="313" t="s">
        <v>31</v>
      </c>
      <c r="C31" s="32" t="s">
        <v>693</v>
      </c>
      <c r="D31" s="313">
        <v>40</v>
      </c>
      <c r="E31" s="313">
        <v>20</v>
      </c>
      <c r="F31" s="313">
        <v>50</v>
      </c>
      <c r="G31" s="315" t="s">
        <v>912</v>
      </c>
      <c r="H31" s="320">
        <v>90</v>
      </c>
      <c r="I31" s="314" t="s">
        <v>1162</v>
      </c>
    </row>
    <row r="32" spans="1:12" ht="17.25" customHeight="1" x14ac:dyDescent="0.25">
      <c r="A32" s="316" t="s">
        <v>907</v>
      </c>
      <c r="B32" s="314" t="s">
        <v>31</v>
      </c>
      <c r="C32" s="32" t="s">
        <v>923</v>
      </c>
      <c r="D32" s="314">
        <v>40</v>
      </c>
      <c r="E32" s="313">
        <v>39.999999899999999</v>
      </c>
      <c r="F32" s="313">
        <v>40</v>
      </c>
      <c r="G32" s="317" t="s">
        <v>912</v>
      </c>
      <c r="H32" s="320">
        <v>90</v>
      </c>
      <c r="I32" s="314" t="s">
        <v>1162</v>
      </c>
    </row>
    <row r="33" spans="1:9" ht="17.25" customHeight="1" x14ac:dyDescent="0.25">
      <c r="A33" s="319" t="s">
        <v>907</v>
      </c>
      <c r="B33" s="313" t="s">
        <v>31</v>
      </c>
      <c r="C33" s="32" t="s">
        <v>694</v>
      </c>
      <c r="D33" s="313">
        <v>1</v>
      </c>
      <c r="E33" s="313">
        <v>39.999999899999999</v>
      </c>
      <c r="F33" s="313">
        <v>40</v>
      </c>
      <c r="G33" s="315" t="s">
        <v>895</v>
      </c>
      <c r="H33" s="320" t="s">
        <v>906</v>
      </c>
      <c r="I33" s="314" t="s">
        <v>1162</v>
      </c>
    </row>
    <row r="34" spans="1:9" ht="17.25" customHeight="1" x14ac:dyDescent="0.25">
      <c r="A34" s="316" t="s">
        <v>907</v>
      </c>
      <c r="B34" s="314" t="s">
        <v>31</v>
      </c>
      <c r="C34" s="32" t="s">
        <v>695</v>
      </c>
      <c r="D34" s="314">
        <v>25</v>
      </c>
      <c r="E34" s="314">
        <v>20</v>
      </c>
      <c r="F34" s="314">
        <v>25</v>
      </c>
      <c r="G34" s="317" t="s">
        <v>911</v>
      </c>
      <c r="H34" s="320">
        <v>91</v>
      </c>
      <c r="I34" s="314" t="s">
        <v>1162</v>
      </c>
    </row>
    <row r="35" spans="1:9" ht="17.25" customHeight="1" x14ac:dyDescent="0.25">
      <c r="A35" s="319" t="s">
        <v>907</v>
      </c>
      <c r="B35" s="313" t="s">
        <v>31</v>
      </c>
      <c r="C35" s="32" t="s">
        <v>697</v>
      </c>
      <c r="D35" s="313">
        <v>25</v>
      </c>
      <c r="E35" s="313">
        <v>20</v>
      </c>
      <c r="F35" s="313">
        <v>25</v>
      </c>
      <c r="G35" s="315" t="s">
        <v>911</v>
      </c>
      <c r="H35" s="320">
        <v>91</v>
      </c>
      <c r="I35" s="314" t="s">
        <v>1162</v>
      </c>
    </row>
    <row r="36" spans="1:9" ht="17.25" customHeight="1" x14ac:dyDescent="0.25">
      <c r="A36" s="316" t="s">
        <v>907</v>
      </c>
      <c r="B36" s="314" t="s">
        <v>31</v>
      </c>
      <c r="C36" s="32" t="s">
        <v>698</v>
      </c>
      <c r="D36" s="314">
        <v>25</v>
      </c>
      <c r="E36" s="314">
        <v>20</v>
      </c>
      <c r="F36" s="314">
        <v>25</v>
      </c>
      <c r="G36" s="317" t="s">
        <v>911</v>
      </c>
      <c r="H36" s="320">
        <v>91</v>
      </c>
      <c r="I36" s="314" t="s">
        <v>1162</v>
      </c>
    </row>
    <row r="37" spans="1:9" ht="17.25" customHeight="1" x14ac:dyDescent="0.25">
      <c r="A37" s="319" t="s">
        <v>907</v>
      </c>
      <c r="B37" s="313" t="s">
        <v>31</v>
      </c>
      <c r="C37" s="32" t="s">
        <v>699</v>
      </c>
      <c r="D37" s="313">
        <v>25</v>
      </c>
      <c r="E37" s="313">
        <v>20</v>
      </c>
      <c r="F37" s="313">
        <v>25</v>
      </c>
      <c r="G37" s="315" t="s">
        <v>911</v>
      </c>
      <c r="H37" s="320">
        <v>91</v>
      </c>
      <c r="I37" s="314" t="s">
        <v>1162</v>
      </c>
    </row>
    <row r="38" spans="1:9" ht="17.25" customHeight="1" x14ac:dyDescent="0.25">
      <c r="A38" s="316" t="s">
        <v>907</v>
      </c>
      <c r="B38" s="314" t="s">
        <v>31</v>
      </c>
      <c r="C38" s="32" t="s">
        <v>700</v>
      </c>
      <c r="D38" s="314">
        <v>25</v>
      </c>
      <c r="E38" s="314">
        <v>20</v>
      </c>
      <c r="F38" s="314">
        <v>25</v>
      </c>
      <c r="G38" s="317" t="s">
        <v>911</v>
      </c>
      <c r="H38" s="320">
        <v>91</v>
      </c>
      <c r="I38" s="314" t="s">
        <v>1162</v>
      </c>
    </row>
    <row r="39" spans="1:9" ht="17.25" customHeight="1" x14ac:dyDescent="0.25">
      <c r="A39" s="319" t="s">
        <v>907</v>
      </c>
      <c r="B39" s="313" t="s">
        <v>31</v>
      </c>
      <c r="C39" s="32" t="s">
        <v>701</v>
      </c>
      <c r="D39" s="313">
        <v>25</v>
      </c>
      <c r="E39" s="313">
        <v>20</v>
      </c>
      <c r="F39" s="313">
        <v>25</v>
      </c>
      <c r="G39" s="315" t="s">
        <v>911</v>
      </c>
      <c r="H39" s="320">
        <v>91</v>
      </c>
      <c r="I39" s="314" t="s">
        <v>1162</v>
      </c>
    </row>
    <row r="40" spans="1:9" ht="17.25" customHeight="1" x14ac:dyDescent="0.25">
      <c r="A40" s="316" t="s">
        <v>907</v>
      </c>
      <c r="B40" s="314" t="s">
        <v>31</v>
      </c>
      <c r="C40" s="32" t="s">
        <v>702</v>
      </c>
      <c r="D40" s="314">
        <v>25</v>
      </c>
      <c r="E40" s="314">
        <v>20</v>
      </c>
      <c r="F40" s="314">
        <v>25</v>
      </c>
      <c r="G40" s="317" t="s">
        <v>911</v>
      </c>
      <c r="H40" s="320">
        <v>91</v>
      </c>
      <c r="I40" s="314" t="s">
        <v>1162</v>
      </c>
    </row>
    <row r="41" spans="1:9" ht="17.25" customHeight="1" x14ac:dyDescent="0.25">
      <c r="A41" s="319" t="s">
        <v>907</v>
      </c>
      <c r="B41" s="313" t="s">
        <v>32</v>
      </c>
      <c r="C41" s="32" t="s">
        <v>689</v>
      </c>
      <c r="D41" s="313">
        <v>0.98799999999999999</v>
      </c>
      <c r="E41" s="313">
        <v>0.97719999999999996</v>
      </c>
      <c r="F41" s="313">
        <v>1</v>
      </c>
      <c r="G41" s="315" t="s">
        <v>910</v>
      </c>
      <c r="H41" s="320">
        <v>20</v>
      </c>
      <c r="I41" s="314" t="s">
        <v>1162</v>
      </c>
    </row>
    <row r="42" spans="1:9" ht="17.25" customHeight="1" x14ac:dyDescent="0.25">
      <c r="A42" s="316" t="s">
        <v>907</v>
      </c>
      <c r="B42" s="314" t="s">
        <v>32</v>
      </c>
      <c r="C42" s="32" t="s">
        <v>691</v>
      </c>
      <c r="D42" s="314">
        <v>0.98799999999999999</v>
      </c>
      <c r="E42" s="314">
        <v>0.97719999999999996</v>
      </c>
      <c r="F42" s="314">
        <v>1</v>
      </c>
      <c r="G42" s="317" t="s">
        <v>910</v>
      </c>
      <c r="H42" s="320">
        <v>20</v>
      </c>
      <c r="I42" s="314" t="s">
        <v>1162</v>
      </c>
    </row>
    <row r="43" spans="1:9" ht="17.25" customHeight="1" x14ac:dyDescent="0.25">
      <c r="A43" s="319" t="s">
        <v>907</v>
      </c>
      <c r="B43" s="313" t="s">
        <v>32</v>
      </c>
      <c r="C43" s="32" t="s">
        <v>692</v>
      </c>
      <c r="D43" s="313">
        <v>1</v>
      </c>
      <c r="E43" s="313">
        <v>0.99999899999999997</v>
      </c>
      <c r="F43" s="313">
        <v>1</v>
      </c>
      <c r="G43" s="315" t="s">
        <v>895</v>
      </c>
      <c r="H43" s="320" t="s">
        <v>906</v>
      </c>
      <c r="I43" s="320" t="s">
        <v>906</v>
      </c>
    </row>
    <row r="44" spans="1:9" ht="17.25" customHeight="1" x14ac:dyDescent="0.25">
      <c r="A44" s="316" t="s">
        <v>907</v>
      </c>
      <c r="B44" s="314" t="s">
        <v>32</v>
      </c>
      <c r="C44" s="32" t="s">
        <v>693</v>
      </c>
      <c r="D44" s="314">
        <v>0.98799999999999999</v>
      </c>
      <c r="E44" s="314">
        <v>0.97719999999999996</v>
      </c>
      <c r="F44" s="314">
        <v>1</v>
      </c>
      <c r="G44" s="317" t="s">
        <v>910</v>
      </c>
      <c r="H44" s="320">
        <v>20</v>
      </c>
      <c r="I44" s="314" t="s">
        <v>1162</v>
      </c>
    </row>
    <row r="45" spans="1:9" ht="17.25" customHeight="1" x14ac:dyDescent="0.25">
      <c r="A45" s="319" t="s">
        <v>907</v>
      </c>
      <c r="B45" s="313" t="s">
        <v>32</v>
      </c>
      <c r="C45" s="32" t="s">
        <v>923</v>
      </c>
      <c r="D45" s="313">
        <v>0.98799999999999999</v>
      </c>
      <c r="E45" s="314">
        <v>0.99999899999999997</v>
      </c>
      <c r="F45" s="314">
        <v>1</v>
      </c>
      <c r="G45" s="315" t="s">
        <v>910</v>
      </c>
      <c r="H45" s="320">
        <v>20</v>
      </c>
      <c r="I45" s="314" t="s">
        <v>1162</v>
      </c>
    </row>
    <row r="46" spans="1:9" ht="17.25" customHeight="1" x14ac:dyDescent="0.25">
      <c r="A46" s="316" t="s">
        <v>907</v>
      </c>
      <c r="B46" s="314" t="s">
        <v>32</v>
      </c>
      <c r="C46" s="32" t="s">
        <v>694</v>
      </c>
      <c r="D46" s="314">
        <v>1</v>
      </c>
      <c r="E46" s="314">
        <v>0.99999899999999997</v>
      </c>
      <c r="F46" s="314">
        <v>1</v>
      </c>
      <c r="G46" s="317" t="s">
        <v>895</v>
      </c>
      <c r="H46" s="320" t="s">
        <v>906</v>
      </c>
      <c r="I46" s="320" t="s">
        <v>906</v>
      </c>
    </row>
    <row r="47" spans="1:9" ht="17.25" customHeight="1" x14ac:dyDescent="0.25">
      <c r="A47" s="319" t="s">
        <v>907</v>
      </c>
      <c r="B47" s="313" t="s">
        <v>32</v>
      </c>
      <c r="C47" s="32" t="s">
        <v>695</v>
      </c>
      <c r="D47" s="313">
        <v>0.93320000000000003</v>
      </c>
      <c r="E47" s="313">
        <v>0.86640000000000006</v>
      </c>
      <c r="F47" s="313">
        <v>1</v>
      </c>
      <c r="G47" s="315" t="s">
        <v>909</v>
      </c>
      <c r="H47" s="320"/>
      <c r="I47" s="314" t="s">
        <v>1163</v>
      </c>
    </row>
    <row r="48" spans="1:9" ht="17.25" customHeight="1" x14ac:dyDescent="0.25">
      <c r="A48" s="316" t="s">
        <v>907</v>
      </c>
      <c r="B48" s="314" t="s">
        <v>32</v>
      </c>
      <c r="C48" s="32" t="s">
        <v>697</v>
      </c>
      <c r="D48" s="314">
        <v>0.93320000000000003</v>
      </c>
      <c r="E48" s="314">
        <v>0.86640000000000006</v>
      </c>
      <c r="F48" s="314">
        <v>1</v>
      </c>
      <c r="G48" s="317" t="s">
        <v>909</v>
      </c>
      <c r="H48" s="320"/>
      <c r="I48" s="314" t="s">
        <v>1163</v>
      </c>
    </row>
    <row r="49" spans="1:9" ht="17.25" customHeight="1" x14ac:dyDescent="0.25">
      <c r="A49" s="319" t="s">
        <v>907</v>
      </c>
      <c r="B49" s="313" t="s">
        <v>32</v>
      </c>
      <c r="C49" s="32" t="s">
        <v>698</v>
      </c>
      <c r="D49" s="313">
        <v>0.99912000000000001</v>
      </c>
      <c r="E49" s="313">
        <v>0.99824000000000002</v>
      </c>
      <c r="F49" s="313">
        <v>1</v>
      </c>
      <c r="G49" s="315" t="s">
        <v>909</v>
      </c>
      <c r="H49" s="320"/>
      <c r="I49" s="314" t="s">
        <v>1163</v>
      </c>
    </row>
    <row r="50" spans="1:9" ht="17.25" customHeight="1" x14ac:dyDescent="0.25">
      <c r="A50" s="316" t="s">
        <v>907</v>
      </c>
      <c r="B50" s="314" t="s">
        <v>32</v>
      </c>
      <c r="C50" s="32" t="s">
        <v>699</v>
      </c>
      <c r="D50" s="314">
        <v>0.99912000000000001</v>
      </c>
      <c r="E50" s="314">
        <v>0.99824000000000002</v>
      </c>
      <c r="F50" s="314">
        <v>1</v>
      </c>
      <c r="G50" s="317" t="s">
        <v>909</v>
      </c>
      <c r="H50" s="320"/>
      <c r="I50" s="314" t="s">
        <v>1163</v>
      </c>
    </row>
    <row r="51" spans="1:9" ht="17.25" customHeight="1" x14ac:dyDescent="0.25">
      <c r="A51" s="319" t="s">
        <v>907</v>
      </c>
      <c r="B51" s="313" t="s">
        <v>32</v>
      </c>
      <c r="C51" s="32" t="s">
        <v>700</v>
      </c>
      <c r="D51" s="313">
        <v>0.99912000000000001</v>
      </c>
      <c r="E51" s="313">
        <v>0.99824000000000002</v>
      </c>
      <c r="F51" s="313">
        <v>1</v>
      </c>
      <c r="G51" s="315" t="s">
        <v>909</v>
      </c>
      <c r="H51" s="320"/>
      <c r="I51" s="314" t="s">
        <v>1163</v>
      </c>
    </row>
    <row r="52" spans="1:9" ht="17.25" customHeight="1" x14ac:dyDescent="0.25">
      <c r="A52" s="316" t="s">
        <v>907</v>
      </c>
      <c r="B52" s="314" t="s">
        <v>32</v>
      </c>
      <c r="C52" s="32" t="s">
        <v>701</v>
      </c>
      <c r="D52" s="314">
        <v>0.99912000000000001</v>
      </c>
      <c r="E52" s="314">
        <v>0.99824000000000002</v>
      </c>
      <c r="F52" s="314">
        <v>1</v>
      </c>
      <c r="G52" s="317" t="s">
        <v>909</v>
      </c>
      <c r="H52" s="320"/>
      <c r="I52" s="314" t="s">
        <v>1163</v>
      </c>
    </row>
    <row r="53" spans="1:9" ht="17.25" customHeight="1" x14ac:dyDescent="0.25">
      <c r="A53" s="319" t="s">
        <v>907</v>
      </c>
      <c r="B53" s="313" t="s">
        <v>32</v>
      </c>
      <c r="C53" s="32" t="s">
        <v>702</v>
      </c>
      <c r="D53" s="313">
        <v>0.99912000000000001</v>
      </c>
      <c r="E53" s="313">
        <v>0.99824000000000002</v>
      </c>
      <c r="F53" s="313">
        <v>1</v>
      </c>
      <c r="G53" s="315" t="s">
        <v>909</v>
      </c>
      <c r="H53" s="320"/>
      <c r="I53" s="314" t="s">
        <v>1163</v>
      </c>
    </row>
    <row r="54" spans="1:9" ht="17.25" customHeight="1" x14ac:dyDescent="0.25">
      <c r="A54" s="316" t="s">
        <v>907</v>
      </c>
      <c r="B54" s="314" t="s">
        <v>34</v>
      </c>
      <c r="C54" s="32" t="s">
        <v>689</v>
      </c>
      <c r="D54" s="314">
        <v>0</v>
      </c>
      <c r="E54" s="321">
        <v>0</v>
      </c>
      <c r="F54" s="321">
        <v>1.0000000000000001E-9</v>
      </c>
      <c r="G54" s="317" t="s">
        <v>908</v>
      </c>
      <c r="H54" s="320" t="s">
        <v>906</v>
      </c>
      <c r="I54" s="320" t="s">
        <v>906</v>
      </c>
    </row>
    <row r="55" spans="1:9" ht="17.25" customHeight="1" x14ac:dyDescent="0.25">
      <c r="A55" s="319" t="s">
        <v>907</v>
      </c>
      <c r="B55" s="313" t="s">
        <v>34</v>
      </c>
      <c r="C55" s="32" t="s">
        <v>691</v>
      </c>
      <c r="D55" s="313">
        <v>0</v>
      </c>
      <c r="E55" s="322">
        <v>0</v>
      </c>
      <c r="F55" s="322">
        <v>1.0000000000000001E-9</v>
      </c>
      <c r="G55" s="315" t="s">
        <v>908</v>
      </c>
      <c r="H55" s="320" t="s">
        <v>906</v>
      </c>
      <c r="I55" s="320" t="s">
        <v>906</v>
      </c>
    </row>
    <row r="56" spans="1:9" ht="17.25" customHeight="1" x14ac:dyDescent="0.25">
      <c r="A56" s="316" t="s">
        <v>907</v>
      </c>
      <c r="B56" s="314" t="s">
        <v>34</v>
      </c>
      <c r="C56" s="32" t="s">
        <v>692</v>
      </c>
      <c r="D56" s="314">
        <v>0</v>
      </c>
      <c r="E56" s="321">
        <v>0</v>
      </c>
      <c r="F56" s="321">
        <v>1.0000000000000001E-9</v>
      </c>
      <c r="G56" s="317" t="s">
        <v>908</v>
      </c>
      <c r="H56" s="320" t="s">
        <v>906</v>
      </c>
      <c r="I56" s="320" t="s">
        <v>906</v>
      </c>
    </row>
    <row r="57" spans="1:9" ht="17.25" customHeight="1" x14ac:dyDescent="0.25">
      <c r="A57" s="319" t="s">
        <v>907</v>
      </c>
      <c r="B57" s="313" t="s">
        <v>34</v>
      </c>
      <c r="C57" s="32" t="s">
        <v>693</v>
      </c>
      <c r="D57" s="313">
        <v>0</v>
      </c>
      <c r="E57" s="322">
        <v>0</v>
      </c>
      <c r="F57" s="322">
        <v>1.0000000000000001E-9</v>
      </c>
      <c r="G57" s="315" t="s">
        <v>908</v>
      </c>
      <c r="H57" s="320" t="s">
        <v>906</v>
      </c>
      <c r="I57" s="320" t="s">
        <v>906</v>
      </c>
    </row>
    <row r="58" spans="1:9" ht="17.25" customHeight="1" x14ac:dyDescent="0.25">
      <c r="A58" s="316" t="s">
        <v>907</v>
      </c>
      <c r="B58" s="314" t="s">
        <v>34</v>
      </c>
      <c r="C58" s="32" t="s">
        <v>923</v>
      </c>
      <c r="D58" s="314">
        <v>0</v>
      </c>
      <c r="E58" s="321">
        <v>0</v>
      </c>
      <c r="F58" s="321">
        <v>1.0000000000000001E-9</v>
      </c>
      <c r="G58" s="317" t="s">
        <v>908</v>
      </c>
      <c r="H58" s="320" t="s">
        <v>906</v>
      </c>
      <c r="I58" s="320" t="s">
        <v>906</v>
      </c>
    </row>
    <row r="59" spans="1:9" ht="17.25" customHeight="1" x14ac:dyDescent="0.25">
      <c r="A59" s="319" t="s">
        <v>907</v>
      </c>
      <c r="B59" s="313" t="s">
        <v>34</v>
      </c>
      <c r="C59" s="32" t="s">
        <v>694</v>
      </c>
      <c r="D59" s="313">
        <v>0</v>
      </c>
      <c r="E59" s="322">
        <v>0</v>
      </c>
      <c r="F59" s="322">
        <v>1.0000000000000001E-9</v>
      </c>
      <c r="G59" s="315" t="s">
        <v>908</v>
      </c>
      <c r="H59" s="320" t="s">
        <v>906</v>
      </c>
      <c r="I59" s="320" t="s">
        <v>906</v>
      </c>
    </row>
    <row r="60" spans="1:9" ht="17.25" customHeight="1" x14ac:dyDescent="0.25">
      <c r="A60" s="316" t="s">
        <v>907</v>
      </c>
      <c r="B60" s="314" t="s">
        <v>34</v>
      </c>
      <c r="C60" s="32" t="s">
        <v>695</v>
      </c>
      <c r="D60" s="314">
        <v>10142318324</v>
      </c>
      <c r="E60" s="321">
        <v>5070000000</v>
      </c>
      <c r="F60" s="321">
        <v>15200000000</v>
      </c>
      <c r="G60" s="317" t="s">
        <v>899</v>
      </c>
      <c r="H60" s="320">
        <v>48</v>
      </c>
      <c r="I60" s="314" t="s">
        <v>1162</v>
      </c>
    </row>
    <row r="61" spans="1:9" ht="17.25" customHeight="1" x14ac:dyDescent="0.25">
      <c r="A61" s="319" t="s">
        <v>907</v>
      </c>
      <c r="B61" s="313" t="s">
        <v>34</v>
      </c>
      <c r="C61" s="32" t="s">
        <v>697</v>
      </c>
      <c r="D61" s="313">
        <v>10142318324</v>
      </c>
      <c r="E61" s="322">
        <v>5070000000</v>
      </c>
      <c r="F61" s="322">
        <v>15200000000</v>
      </c>
      <c r="G61" s="315" t="s">
        <v>899</v>
      </c>
      <c r="H61" s="320">
        <v>48</v>
      </c>
      <c r="I61" s="314" t="s">
        <v>1162</v>
      </c>
    </row>
    <row r="62" spans="1:9" ht="17.25" customHeight="1" x14ac:dyDescent="0.25">
      <c r="A62" s="316" t="s">
        <v>907</v>
      </c>
      <c r="B62" s="314" t="s">
        <v>34</v>
      </c>
      <c r="C62" s="32" t="s">
        <v>698</v>
      </c>
      <c r="D62" s="314">
        <v>31958000</v>
      </c>
      <c r="E62" s="321">
        <v>16000000</v>
      </c>
      <c r="F62" s="321">
        <v>47900000</v>
      </c>
      <c r="G62" s="317" t="s">
        <v>899</v>
      </c>
      <c r="H62" s="320">
        <v>48</v>
      </c>
      <c r="I62" s="314" t="s">
        <v>1162</v>
      </c>
    </row>
    <row r="63" spans="1:9" ht="17.25" customHeight="1" x14ac:dyDescent="0.25">
      <c r="A63" s="319" t="s">
        <v>907</v>
      </c>
      <c r="B63" s="313" t="s">
        <v>34</v>
      </c>
      <c r="C63" s="32" t="s">
        <v>699</v>
      </c>
      <c r="D63" s="313">
        <v>31958000</v>
      </c>
      <c r="E63" s="322">
        <v>16000000</v>
      </c>
      <c r="F63" s="322">
        <v>47900000</v>
      </c>
      <c r="G63" s="315" t="s">
        <v>899</v>
      </c>
      <c r="H63" s="320">
        <v>48</v>
      </c>
      <c r="I63" s="314" t="s">
        <v>1162</v>
      </c>
    </row>
    <row r="64" spans="1:9" ht="17.25" customHeight="1" x14ac:dyDescent="0.25">
      <c r="A64" s="316" t="s">
        <v>907</v>
      </c>
      <c r="B64" s="314" t="s">
        <v>34</v>
      </c>
      <c r="C64" s="32" t="s">
        <v>700</v>
      </c>
      <c r="D64" s="314">
        <v>31958000</v>
      </c>
      <c r="E64" s="321">
        <v>16000000</v>
      </c>
      <c r="F64" s="321">
        <v>47900000</v>
      </c>
      <c r="G64" s="317" t="s">
        <v>899</v>
      </c>
      <c r="H64" s="320">
        <v>48</v>
      </c>
      <c r="I64" s="314" t="s">
        <v>1162</v>
      </c>
    </row>
    <row r="65" spans="1:9" ht="17.25" customHeight="1" x14ac:dyDescent="0.25">
      <c r="A65" s="319" t="s">
        <v>907</v>
      </c>
      <c r="B65" s="313" t="s">
        <v>34</v>
      </c>
      <c r="C65" s="32" t="s">
        <v>701</v>
      </c>
      <c r="D65" s="313">
        <v>31958000</v>
      </c>
      <c r="E65" s="322">
        <v>16000000</v>
      </c>
      <c r="F65" s="322">
        <v>47900000</v>
      </c>
      <c r="G65" s="315" t="s">
        <v>899</v>
      </c>
      <c r="H65" s="320">
        <v>48</v>
      </c>
      <c r="I65" s="314" t="s">
        <v>1162</v>
      </c>
    </row>
    <row r="66" spans="1:9" ht="17.25" customHeight="1" x14ac:dyDescent="0.25">
      <c r="A66" s="316" t="s">
        <v>907</v>
      </c>
      <c r="B66" s="314" t="s">
        <v>34</v>
      </c>
      <c r="C66" s="32" t="s">
        <v>702</v>
      </c>
      <c r="D66" s="314">
        <v>31958000</v>
      </c>
      <c r="E66" s="321">
        <v>16000000</v>
      </c>
      <c r="F66" s="321">
        <v>47900000</v>
      </c>
      <c r="G66" s="317" t="s">
        <v>899</v>
      </c>
      <c r="H66" s="320">
        <v>48</v>
      </c>
      <c r="I66" s="314" t="s">
        <v>1162</v>
      </c>
    </row>
    <row r="67" spans="1:9" ht="17.25" customHeight="1" x14ac:dyDescent="0.25">
      <c r="A67" s="319" t="s">
        <v>788</v>
      </c>
      <c r="B67" s="313" t="s">
        <v>29</v>
      </c>
      <c r="C67" s="313" t="s">
        <v>850</v>
      </c>
      <c r="D67" s="313">
        <v>18250000</v>
      </c>
      <c r="E67" s="313">
        <v>14600000</v>
      </c>
      <c r="F67" s="313">
        <v>21900000</v>
      </c>
      <c r="G67" s="315" t="s">
        <v>894</v>
      </c>
      <c r="H67" s="320" t="s">
        <v>906</v>
      </c>
      <c r="I67" s="396" t="s">
        <v>1164</v>
      </c>
    </row>
    <row r="68" spans="1:9" ht="17.25" customHeight="1" x14ac:dyDescent="0.25">
      <c r="A68" s="316" t="s">
        <v>788</v>
      </c>
      <c r="B68" s="314" t="s">
        <v>29</v>
      </c>
      <c r="C68" s="314" t="s">
        <v>851</v>
      </c>
      <c r="D68" s="314">
        <v>18250000</v>
      </c>
      <c r="E68" s="314">
        <v>14600000</v>
      </c>
      <c r="F68" s="314">
        <v>21900000</v>
      </c>
      <c r="G68" s="315" t="s">
        <v>894</v>
      </c>
      <c r="H68" s="320" t="s">
        <v>906</v>
      </c>
      <c r="I68" s="396" t="s">
        <v>1164</v>
      </c>
    </row>
    <row r="69" spans="1:9" ht="17.25" customHeight="1" x14ac:dyDescent="0.25">
      <c r="A69" s="319" t="s">
        <v>788</v>
      </c>
      <c r="B69" s="313" t="s">
        <v>29</v>
      </c>
      <c r="C69" s="313" t="s">
        <v>852</v>
      </c>
      <c r="D69" s="313">
        <v>104147.64</v>
      </c>
      <c r="E69" s="313">
        <v>83318.112000000008</v>
      </c>
      <c r="F69" s="313">
        <v>124977.16799999999</v>
      </c>
      <c r="G69" s="315" t="s">
        <v>894</v>
      </c>
      <c r="H69" s="320" t="s">
        <v>906</v>
      </c>
      <c r="I69" s="396" t="s">
        <v>1164</v>
      </c>
    </row>
    <row r="70" spans="1:9" ht="17.25" customHeight="1" x14ac:dyDescent="0.25">
      <c r="A70" s="316" t="s">
        <v>788</v>
      </c>
      <c r="B70" s="314" t="s">
        <v>29</v>
      </c>
      <c r="C70" s="314" t="s">
        <v>853</v>
      </c>
      <c r="D70" s="314">
        <v>104147.64</v>
      </c>
      <c r="E70" s="314">
        <v>83318.112000000008</v>
      </c>
      <c r="F70" s="314">
        <v>124977.16799999999</v>
      </c>
      <c r="G70" s="315" t="s">
        <v>894</v>
      </c>
      <c r="H70" s="320" t="s">
        <v>906</v>
      </c>
      <c r="I70" s="396" t="s">
        <v>1164</v>
      </c>
    </row>
    <row r="71" spans="1:9" ht="17.25" customHeight="1" x14ac:dyDescent="0.25">
      <c r="A71" s="319" t="s">
        <v>788</v>
      </c>
      <c r="B71" s="313" t="s">
        <v>29</v>
      </c>
      <c r="C71" s="313" t="s">
        <v>854</v>
      </c>
      <c r="D71" s="313">
        <v>18250000</v>
      </c>
      <c r="E71" s="313">
        <v>14600000</v>
      </c>
      <c r="F71" s="313">
        <v>21900000</v>
      </c>
      <c r="G71" s="315" t="s">
        <v>894</v>
      </c>
      <c r="H71" s="320" t="s">
        <v>906</v>
      </c>
      <c r="I71" s="396" t="s">
        <v>1164</v>
      </c>
    </row>
    <row r="72" spans="1:9" ht="17.25" customHeight="1" x14ac:dyDescent="0.25">
      <c r="A72" s="316" t="s">
        <v>788</v>
      </c>
      <c r="B72" s="314" t="s">
        <v>29</v>
      </c>
      <c r="C72" s="314" t="s">
        <v>855</v>
      </c>
      <c r="D72" s="314">
        <v>18250000</v>
      </c>
      <c r="E72" s="314">
        <v>14600000</v>
      </c>
      <c r="F72" s="314">
        <v>21900000</v>
      </c>
      <c r="G72" s="315" t="s">
        <v>894</v>
      </c>
      <c r="H72" s="320" t="s">
        <v>906</v>
      </c>
      <c r="I72" s="396" t="s">
        <v>1164</v>
      </c>
    </row>
    <row r="73" spans="1:9" ht="17.25" customHeight="1" x14ac:dyDescent="0.25">
      <c r="A73" s="319" t="s">
        <v>788</v>
      </c>
      <c r="B73" s="313" t="s">
        <v>29</v>
      </c>
      <c r="C73" s="313" t="s">
        <v>856</v>
      </c>
      <c r="D73" s="313">
        <v>9117217.7119999994</v>
      </c>
      <c r="E73" s="313">
        <v>7293774.1695999997</v>
      </c>
      <c r="F73" s="313">
        <v>10940661.254399998</v>
      </c>
      <c r="G73" s="315" t="s">
        <v>894</v>
      </c>
      <c r="H73" s="320" t="s">
        <v>906</v>
      </c>
      <c r="I73" s="396" t="s">
        <v>1164</v>
      </c>
    </row>
    <row r="74" spans="1:9" ht="17.25" customHeight="1" x14ac:dyDescent="0.25">
      <c r="A74" s="316" t="s">
        <v>788</v>
      </c>
      <c r="B74" s="314" t="s">
        <v>29</v>
      </c>
      <c r="C74" s="314" t="s">
        <v>857</v>
      </c>
      <c r="D74" s="314">
        <v>9117217.7119999994</v>
      </c>
      <c r="E74" s="314">
        <v>7293774.1695999997</v>
      </c>
      <c r="F74" s="314">
        <v>10940661.254399998</v>
      </c>
      <c r="G74" s="315" t="s">
        <v>894</v>
      </c>
      <c r="H74" s="320" t="s">
        <v>906</v>
      </c>
      <c r="I74" s="396" t="s">
        <v>1164</v>
      </c>
    </row>
    <row r="75" spans="1:9" ht="17.25" customHeight="1" x14ac:dyDescent="0.25">
      <c r="A75" s="319" t="s">
        <v>788</v>
      </c>
      <c r="B75" s="313" t="s">
        <v>29</v>
      </c>
      <c r="C75" s="313" t="s">
        <v>858</v>
      </c>
      <c r="D75" s="313">
        <v>9117217.7119999994</v>
      </c>
      <c r="E75" s="313">
        <v>7293774.1695999997</v>
      </c>
      <c r="F75" s="313">
        <v>10940661.254399998</v>
      </c>
      <c r="G75" s="315" t="s">
        <v>894</v>
      </c>
      <c r="H75" s="320" t="s">
        <v>906</v>
      </c>
      <c r="I75" s="396" t="s">
        <v>1164</v>
      </c>
    </row>
    <row r="76" spans="1:9" ht="17.25" customHeight="1" x14ac:dyDescent="0.25">
      <c r="A76" s="316" t="s">
        <v>788</v>
      </c>
      <c r="B76" s="314" t="s">
        <v>29</v>
      </c>
      <c r="C76" s="314" t="s">
        <v>859</v>
      </c>
      <c r="D76" s="314">
        <v>9117217.7119999994</v>
      </c>
      <c r="E76" s="314">
        <v>7293774.1695999997</v>
      </c>
      <c r="F76" s="314">
        <v>10940661.254399998</v>
      </c>
      <c r="G76" s="315" t="s">
        <v>894</v>
      </c>
      <c r="H76" s="320" t="s">
        <v>906</v>
      </c>
      <c r="I76" s="396" t="s">
        <v>1164</v>
      </c>
    </row>
    <row r="77" spans="1:9" ht="17.25" customHeight="1" x14ac:dyDescent="0.25">
      <c r="A77" s="319" t="s">
        <v>788</v>
      </c>
      <c r="B77" s="313" t="s">
        <v>29</v>
      </c>
      <c r="C77" s="313" t="s">
        <v>921</v>
      </c>
      <c r="D77" s="313">
        <v>9117217.7119999994</v>
      </c>
      <c r="E77" s="313">
        <v>7293774.1695999997</v>
      </c>
      <c r="F77" s="313">
        <v>10940661.254399998</v>
      </c>
      <c r="G77" s="315" t="s">
        <v>894</v>
      </c>
      <c r="H77" s="320" t="s">
        <v>906</v>
      </c>
      <c r="I77" s="396" t="s">
        <v>1164</v>
      </c>
    </row>
    <row r="78" spans="1:9" ht="17.25" customHeight="1" x14ac:dyDescent="0.25">
      <c r="A78" s="316" t="s">
        <v>788</v>
      </c>
      <c r="B78" s="314" t="s">
        <v>29</v>
      </c>
      <c r="C78" s="314" t="s">
        <v>922</v>
      </c>
      <c r="D78" s="314">
        <v>9117217.7119999994</v>
      </c>
      <c r="E78" s="314">
        <v>7293774.1695999997</v>
      </c>
      <c r="F78" s="314">
        <v>10940661.254399998</v>
      </c>
      <c r="G78" s="315" t="s">
        <v>894</v>
      </c>
      <c r="H78" s="320" t="s">
        <v>906</v>
      </c>
      <c r="I78" s="396" t="s">
        <v>1164</v>
      </c>
    </row>
    <row r="79" spans="1:9" ht="17.25" customHeight="1" x14ac:dyDescent="0.25">
      <c r="A79" s="319" t="s">
        <v>788</v>
      </c>
      <c r="B79" s="313" t="s">
        <v>29</v>
      </c>
      <c r="C79" s="313" t="s">
        <v>23</v>
      </c>
      <c r="D79" s="313">
        <v>1</v>
      </c>
      <c r="E79" s="313">
        <v>100</v>
      </c>
      <c r="F79" s="313">
        <v>101</v>
      </c>
      <c r="G79" s="315" t="s">
        <v>906</v>
      </c>
      <c r="H79" s="320" t="s">
        <v>906</v>
      </c>
      <c r="I79" s="320" t="s">
        <v>906</v>
      </c>
    </row>
    <row r="80" spans="1:9" ht="17.25" customHeight="1" x14ac:dyDescent="0.25">
      <c r="A80" s="316" t="s">
        <v>788</v>
      </c>
      <c r="B80" s="314" t="s">
        <v>29</v>
      </c>
      <c r="C80" s="314" t="s">
        <v>13</v>
      </c>
      <c r="D80" s="314">
        <v>1</v>
      </c>
      <c r="E80" s="313">
        <v>100</v>
      </c>
      <c r="F80" s="313">
        <v>101</v>
      </c>
      <c r="G80" s="317" t="s">
        <v>906</v>
      </c>
      <c r="H80" s="320" t="s">
        <v>906</v>
      </c>
      <c r="I80" s="320" t="s">
        <v>906</v>
      </c>
    </row>
    <row r="81" spans="1:9" ht="17.25" customHeight="1" x14ac:dyDescent="0.25">
      <c r="A81" s="319" t="s">
        <v>788</v>
      </c>
      <c r="B81" s="313" t="s">
        <v>30</v>
      </c>
      <c r="C81" s="313" t="s">
        <v>850</v>
      </c>
      <c r="D81" s="313">
        <v>1</v>
      </c>
      <c r="E81" s="313">
        <v>0.8</v>
      </c>
      <c r="F81" s="313">
        <v>1</v>
      </c>
      <c r="G81" s="315" t="s">
        <v>905</v>
      </c>
      <c r="H81" s="320" t="s">
        <v>906</v>
      </c>
      <c r="I81" s="314" t="s">
        <v>1161</v>
      </c>
    </row>
    <row r="82" spans="1:9" ht="17.25" customHeight="1" x14ac:dyDescent="0.25">
      <c r="A82" s="316" t="s">
        <v>788</v>
      </c>
      <c r="B82" s="314" t="s">
        <v>30</v>
      </c>
      <c r="C82" s="314" t="s">
        <v>851</v>
      </c>
      <c r="D82" s="314">
        <v>1</v>
      </c>
      <c r="E82" s="314">
        <v>0.8</v>
      </c>
      <c r="F82" s="314">
        <v>1</v>
      </c>
      <c r="G82" s="317" t="s">
        <v>905</v>
      </c>
      <c r="H82" s="320" t="s">
        <v>906</v>
      </c>
      <c r="I82" s="314" t="s">
        <v>1161</v>
      </c>
    </row>
    <row r="83" spans="1:9" ht="17.25" customHeight="1" x14ac:dyDescent="0.25">
      <c r="A83" s="319" t="s">
        <v>788</v>
      </c>
      <c r="B83" s="313" t="s">
        <v>30</v>
      </c>
      <c r="C83" s="313" t="s">
        <v>852</v>
      </c>
      <c r="D83" s="313">
        <v>1</v>
      </c>
      <c r="E83" s="313">
        <v>0.8</v>
      </c>
      <c r="F83" s="313">
        <v>1</v>
      </c>
      <c r="G83" s="315" t="s">
        <v>905</v>
      </c>
      <c r="H83" s="320" t="s">
        <v>906</v>
      </c>
      <c r="I83" s="314" t="s">
        <v>1161</v>
      </c>
    </row>
    <row r="84" spans="1:9" ht="17.25" customHeight="1" x14ac:dyDescent="0.25">
      <c r="A84" s="316" t="s">
        <v>788</v>
      </c>
      <c r="B84" s="314" t="s">
        <v>30</v>
      </c>
      <c r="C84" s="314" t="s">
        <v>853</v>
      </c>
      <c r="D84" s="314">
        <v>1</v>
      </c>
      <c r="E84" s="314">
        <v>0.8</v>
      </c>
      <c r="F84" s="314">
        <v>1</v>
      </c>
      <c r="G84" s="317" t="s">
        <v>905</v>
      </c>
      <c r="H84" s="320" t="s">
        <v>906</v>
      </c>
      <c r="I84" s="314" t="s">
        <v>1161</v>
      </c>
    </row>
    <row r="85" spans="1:9" ht="17.25" customHeight="1" x14ac:dyDescent="0.25">
      <c r="A85" s="319" t="s">
        <v>788</v>
      </c>
      <c r="B85" s="313" t="s">
        <v>30</v>
      </c>
      <c r="C85" s="313" t="s">
        <v>854</v>
      </c>
      <c r="D85" s="313">
        <v>1</v>
      </c>
      <c r="E85" s="313">
        <v>0.8</v>
      </c>
      <c r="F85" s="313">
        <v>1</v>
      </c>
      <c r="G85" s="315" t="s">
        <v>905</v>
      </c>
      <c r="H85" s="320" t="s">
        <v>906</v>
      </c>
      <c r="I85" s="314" t="s">
        <v>1161</v>
      </c>
    </row>
    <row r="86" spans="1:9" ht="17.25" customHeight="1" x14ac:dyDescent="0.25">
      <c r="A86" s="316" t="s">
        <v>788</v>
      </c>
      <c r="B86" s="314" t="s">
        <v>30</v>
      </c>
      <c r="C86" s="314" t="s">
        <v>855</v>
      </c>
      <c r="D86" s="314">
        <v>1</v>
      </c>
      <c r="E86" s="314">
        <v>0.8</v>
      </c>
      <c r="F86" s="314">
        <v>1</v>
      </c>
      <c r="G86" s="317" t="s">
        <v>905</v>
      </c>
      <c r="H86" s="320" t="s">
        <v>906</v>
      </c>
      <c r="I86" s="314" t="s">
        <v>1161</v>
      </c>
    </row>
    <row r="87" spans="1:9" ht="17.25" customHeight="1" x14ac:dyDescent="0.25">
      <c r="A87" s="319" t="s">
        <v>788</v>
      </c>
      <c r="B87" s="313" t="s">
        <v>30</v>
      </c>
      <c r="C87" s="313" t="s">
        <v>856</v>
      </c>
      <c r="D87" s="313">
        <v>1</v>
      </c>
      <c r="E87" s="313">
        <v>0.8</v>
      </c>
      <c r="F87" s="313">
        <v>1</v>
      </c>
      <c r="G87" s="315" t="s">
        <v>905</v>
      </c>
      <c r="H87" s="320" t="s">
        <v>906</v>
      </c>
      <c r="I87" s="314" t="s">
        <v>1161</v>
      </c>
    </row>
    <row r="88" spans="1:9" ht="17.25" customHeight="1" x14ac:dyDescent="0.25">
      <c r="A88" s="316" t="s">
        <v>788</v>
      </c>
      <c r="B88" s="314" t="s">
        <v>30</v>
      </c>
      <c r="C88" s="314" t="s">
        <v>857</v>
      </c>
      <c r="D88" s="314">
        <v>1</v>
      </c>
      <c r="E88" s="314">
        <v>0.8</v>
      </c>
      <c r="F88" s="314">
        <v>1</v>
      </c>
      <c r="G88" s="317" t="s">
        <v>905</v>
      </c>
      <c r="H88" s="320" t="s">
        <v>906</v>
      </c>
      <c r="I88" s="314" t="s">
        <v>1161</v>
      </c>
    </row>
    <row r="89" spans="1:9" ht="17.25" customHeight="1" x14ac:dyDescent="0.25">
      <c r="A89" s="319" t="s">
        <v>788</v>
      </c>
      <c r="B89" s="313" t="s">
        <v>30</v>
      </c>
      <c r="C89" s="313" t="s">
        <v>858</v>
      </c>
      <c r="D89" s="313">
        <v>1</v>
      </c>
      <c r="E89" s="313">
        <v>0.8</v>
      </c>
      <c r="F89" s="313">
        <v>1</v>
      </c>
      <c r="G89" s="315" t="s">
        <v>905</v>
      </c>
      <c r="H89" s="320" t="s">
        <v>906</v>
      </c>
      <c r="I89" s="314" t="s">
        <v>1161</v>
      </c>
    </row>
    <row r="90" spans="1:9" ht="17.25" customHeight="1" x14ac:dyDescent="0.25">
      <c r="A90" s="316" t="s">
        <v>788</v>
      </c>
      <c r="B90" s="314" t="s">
        <v>30</v>
      </c>
      <c r="C90" s="314" t="s">
        <v>859</v>
      </c>
      <c r="D90" s="314">
        <v>1</v>
      </c>
      <c r="E90" s="314">
        <v>0.8</v>
      </c>
      <c r="F90" s="314">
        <v>1</v>
      </c>
      <c r="G90" s="317" t="s">
        <v>905</v>
      </c>
      <c r="H90" s="320" t="s">
        <v>906</v>
      </c>
      <c r="I90" s="314" t="s">
        <v>1161</v>
      </c>
    </row>
    <row r="91" spans="1:9" ht="17.25" customHeight="1" x14ac:dyDescent="0.25">
      <c r="A91" s="319" t="s">
        <v>788</v>
      </c>
      <c r="B91" s="313" t="s">
        <v>30</v>
      </c>
      <c r="C91" s="313" t="s">
        <v>921</v>
      </c>
      <c r="D91" s="313"/>
      <c r="E91" s="313">
        <v>0.8</v>
      </c>
      <c r="F91" s="313">
        <v>1</v>
      </c>
      <c r="G91" s="315" t="s">
        <v>905</v>
      </c>
      <c r="H91" s="320" t="s">
        <v>906</v>
      </c>
      <c r="I91" s="314" t="s">
        <v>1161</v>
      </c>
    </row>
    <row r="92" spans="1:9" ht="17.25" customHeight="1" x14ac:dyDescent="0.25">
      <c r="A92" s="316" t="s">
        <v>788</v>
      </c>
      <c r="B92" s="314" t="s">
        <v>30</v>
      </c>
      <c r="C92" s="314" t="s">
        <v>922</v>
      </c>
      <c r="D92" s="314"/>
      <c r="E92" s="314">
        <v>0.8</v>
      </c>
      <c r="F92" s="314">
        <v>1</v>
      </c>
      <c r="G92" s="317" t="s">
        <v>905</v>
      </c>
      <c r="H92" s="320" t="s">
        <v>906</v>
      </c>
      <c r="I92" s="314" t="s">
        <v>1161</v>
      </c>
    </row>
    <row r="93" spans="1:9" ht="17.25" customHeight="1" x14ac:dyDescent="0.25">
      <c r="A93" s="319" t="s">
        <v>788</v>
      </c>
      <c r="B93" s="313" t="s">
        <v>30</v>
      </c>
      <c r="C93" s="313" t="s">
        <v>23</v>
      </c>
      <c r="D93" s="313">
        <v>1</v>
      </c>
      <c r="E93" s="314">
        <v>0.99999999900000003</v>
      </c>
      <c r="F93" s="313">
        <v>1</v>
      </c>
      <c r="G93" s="315" t="s">
        <v>895</v>
      </c>
      <c r="H93" s="320" t="s">
        <v>906</v>
      </c>
      <c r="I93" s="320" t="s">
        <v>906</v>
      </c>
    </row>
    <row r="94" spans="1:9" ht="17.25" customHeight="1" x14ac:dyDescent="0.25">
      <c r="A94" s="316" t="s">
        <v>788</v>
      </c>
      <c r="B94" s="314" t="s">
        <v>30</v>
      </c>
      <c r="C94" s="314" t="s">
        <v>13</v>
      </c>
      <c r="D94" s="314">
        <v>1</v>
      </c>
      <c r="E94" s="314">
        <v>0.99999999900000003</v>
      </c>
      <c r="F94" s="314">
        <v>1</v>
      </c>
      <c r="G94" s="317" t="s">
        <v>895</v>
      </c>
      <c r="H94" s="320" t="s">
        <v>906</v>
      </c>
      <c r="I94" s="320" t="s">
        <v>906</v>
      </c>
    </row>
    <row r="95" spans="1:9" ht="17.25" customHeight="1" x14ac:dyDescent="0.25">
      <c r="A95" s="319" t="s">
        <v>788</v>
      </c>
      <c r="B95" s="313" t="s">
        <v>31</v>
      </c>
      <c r="C95" s="313" t="s">
        <v>850</v>
      </c>
      <c r="D95" s="313">
        <v>20</v>
      </c>
      <c r="E95" s="313">
        <v>10</v>
      </c>
      <c r="F95" s="313">
        <v>30</v>
      </c>
      <c r="G95" s="315" t="s">
        <v>882</v>
      </c>
      <c r="H95" s="320" t="s">
        <v>906</v>
      </c>
      <c r="I95" s="314" t="s">
        <v>1165</v>
      </c>
    </row>
    <row r="96" spans="1:9" ht="17.25" customHeight="1" x14ac:dyDescent="0.25">
      <c r="A96" s="316" t="s">
        <v>788</v>
      </c>
      <c r="B96" s="314" t="s">
        <v>31</v>
      </c>
      <c r="C96" s="314" t="s">
        <v>851</v>
      </c>
      <c r="D96" s="314">
        <v>20</v>
      </c>
      <c r="E96" s="314">
        <v>10</v>
      </c>
      <c r="F96" s="314">
        <v>30</v>
      </c>
      <c r="G96" s="315" t="s">
        <v>882</v>
      </c>
      <c r="H96" s="320" t="s">
        <v>906</v>
      </c>
      <c r="I96" s="314" t="s">
        <v>1165</v>
      </c>
    </row>
    <row r="97" spans="1:9" ht="17.25" customHeight="1" x14ac:dyDescent="0.25">
      <c r="A97" s="319" t="s">
        <v>788</v>
      </c>
      <c r="B97" s="313" t="s">
        <v>31</v>
      </c>
      <c r="C97" s="313" t="s">
        <v>852</v>
      </c>
      <c r="D97" s="313">
        <v>20</v>
      </c>
      <c r="E97" s="313">
        <v>10</v>
      </c>
      <c r="F97" s="313">
        <v>30</v>
      </c>
      <c r="G97" s="315" t="s">
        <v>882</v>
      </c>
      <c r="H97" s="320" t="s">
        <v>906</v>
      </c>
      <c r="I97" s="314" t="s">
        <v>1165</v>
      </c>
    </row>
    <row r="98" spans="1:9" ht="17.25" customHeight="1" x14ac:dyDescent="0.25">
      <c r="A98" s="316" t="s">
        <v>788</v>
      </c>
      <c r="B98" s="314" t="s">
        <v>31</v>
      </c>
      <c r="C98" s="314" t="s">
        <v>853</v>
      </c>
      <c r="D98" s="314">
        <v>20</v>
      </c>
      <c r="E98" s="313">
        <v>10</v>
      </c>
      <c r="F98" s="313">
        <v>30</v>
      </c>
      <c r="G98" s="315" t="s">
        <v>882</v>
      </c>
      <c r="H98" s="320" t="s">
        <v>906</v>
      </c>
      <c r="I98" s="314" t="s">
        <v>1165</v>
      </c>
    </row>
    <row r="99" spans="1:9" ht="17.25" customHeight="1" x14ac:dyDescent="0.25">
      <c r="A99" s="319" t="s">
        <v>788</v>
      </c>
      <c r="B99" s="313" t="s">
        <v>31</v>
      </c>
      <c r="C99" s="313" t="s">
        <v>854</v>
      </c>
      <c r="D99" s="313">
        <v>20</v>
      </c>
      <c r="E99" s="313">
        <v>10</v>
      </c>
      <c r="F99" s="313">
        <v>30</v>
      </c>
      <c r="G99" s="315" t="s">
        <v>882</v>
      </c>
      <c r="H99" s="320" t="s">
        <v>906</v>
      </c>
      <c r="I99" s="314" t="s">
        <v>1165</v>
      </c>
    </row>
    <row r="100" spans="1:9" ht="17.25" customHeight="1" x14ac:dyDescent="0.25">
      <c r="A100" s="316" t="s">
        <v>788</v>
      </c>
      <c r="B100" s="314" t="s">
        <v>31</v>
      </c>
      <c r="C100" s="314" t="s">
        <v>855</v>
      </c>
      <c r="D100" s="314">
        <v>20</v>
      </c>
      <c r="E100" s="314">
        <v>10</v>
      </c>
      <c r="F100" s="314">
        <v>30</v>
      </c>
      <c r="G100" s="315" t="s">
        <v>882</v>
      </c>
      <c r="H100" s="320" t="s">
        <v>906</v>
      </c>
      <c r="I100" s="314" t="s">
        <v>1165</v>
      </c>
    </row>
    <row r="101" spans="1:9" ht="17.25" customHeight="1" x14ac:dyDescent="0.25">
      <c r="A101" s="319" t="s">
        <v>788</v>
      </c>
      <c r="B101" s="313" t="s">
        <v>31</v>
      </c>
      <c r="C101" s="313" t="s">
        <v>856</v>
      </c>
      <c r="D101" s="313">
        <v>25</v>
      </c>
      <c r="E101" s="313">
        <v>12.5</v>
      </c>
      <c r="F101" s="313">
        <v>37.5</v>
      </c>
      <c r="G101" s="315" t="s">
        <v>882</v>
      </c>
      <c r="H101" s="320" t="s">
        <v>906</v>
      </c>
      <c r="I101" s="314" t="s">
        <v>1165</v>
      </c>
    </row>
    <row r="102" spans="1:9" ht="17.25" customHeight="1" x14ac:dyDescent="0.25">
      <c r="A102" s="316" t="s">
        <v>788</v>
      </c>
      <c r="B102" s="314" t="s">
        <v>31</v>
      </c>
      <c r="C102" s="314" t="s">
        <v>857</v>
      </c>
      <c r="D102" s="314">
        <v>25</v>
      </c>
      <c r="E102" s="314">
        <v>12.5</v>
      </c>
      <c r="F102" s="314">
        <v>37.5</v>
      </c>
      <c r="G102" s="315" t="s">
        <v>882</v>
      </c>
      <c r="H102" s="320" t="s">
        <v>906</v>
      </c>
      <c r="I102" s="314" t="s">
        <v>1165</v>
      </c>
    </row>
    <row r="103" spans="1:9" ht="17.25" customHeight="1" x14ac:dyDescent="0.25">
      <c r="A103" s="319" t="s">
        <v>788</v>
      </c>
      <c r="B103" s="313" t="s">
        <v>31</v>
      </c>
      <c r="C103" s="313" t="s">
        <v>858</v>
      </c>
      <c r="D103" s="313">
        <v>25</v>
      </c>
      <c r="E103" s="313">
        <v>12.5</v>
      </c>
      <c r="F103" s="313">
        <v>37.5</v>
      </c>
      <c r="G103" s="315" t="s">
        <v>882</v>
      </c>
      <c r="H103" s="320" t="s">
        <v>906</v>
      </c>
      <c r="I103" s="314" t="s">
        <v>1165</v>
      </c>
    </row>
    <row r="104" spans="1:9" ht="17.25" customHeight="1" x14ac:dyDescent="0.25">
      <c r="A104" s="316" t="s">
        <v>788</v>
      </c>
      <c r="B104" s="314" t="s">
        <v>31</v>
      </c>
      <c r="C104" s="314" t="s">
        <v>859</v>
      </c>
      <c r="D104" s="314">
        <v>25</v>
      </c>
      <c r="E104" s="314">
        <v>12.5</v>
      </c>
      <c r="F104" s="314">
        <v>37.5</v>
      </c>
      <c r="G104" s="315" t="s">
        <v>882</v>
      </c>
      <c r="H104" s="320" t="s">
        <v>906</v>
      </c>
      <c r="I104" s="314" t="s">
        <v>1165</v>
      </c>
    </row>
    <row r="105" spans="1:9" ht="17.25" customHeight="1" x14ac:dyDescent="0.25">
      <c r="A105" s="319" t="s">
        <v>788</v>
      </c>
      <c r="B105" s="313" t="s">
        <v>31</v>
      </c>
      <c r="C105" s="313" t="s">
        <v>921</v>
      </c>
      <c r="D105" s="313">
        <v>25</v>
      </c>
      <c r="E105" s="313">
        <v>12.5</v>
      </c>
      <c r="F105" s="313">
        <v>37.5</v>
      </c>
      <c r="G105" s="315" t="s">
        <v>882</v>
      </c>
      <c r="H105" s="320" t="s">
        <v>906</v>
      </c>
      <c r="I105" s="314" t="s">
        <v>1165</v>
      </c>
    </row>
    <row r="106" spans="1:9" ht="17.25" customHeight="1" x14ac:dyDescent="0.25">
      <c r="A106" s="316" t="s">
        <v>788</v>
      </c>
      <c r="B106" s="314" t="s">
        <v>31</v>
      </c>
      <c r="C106" s="314" t="s">
        <v>922</v>
      </c>
      <c r="D106" s="314">
        <v>25</v>
      </c>
      <c r="E106" s="314">
        <v>12.5</v>
      </c>
      <c r="F106" s="314">
        <v>37.5</v>
      </c>
      <c r="G106" s="315" t="s">
        <v>882</v>
      </c>
      <c r="H106" s="320" t="s">
        <v>906</v>
      </c>
      <c r="I106" s="314" t="s">
        <v>1165</v>
      </c>
    </row>
    <row r="107" spans="1:9" ht="17.25" customHeight="1" x14ac:dyDescent="0.25">
      <c r="A107" s="319" t="s">
        <v>788</v>
      </c>
      <c r="B107" s="313" t="s">
        <v>31</v>
      </c>
      <c r="C107" s="313" t="s">
        <v>23</v>
      </c>
      <c r="D107" s="313">
        <v>1</v>
      </c>
      <c r="E107" s="313">
        <v>0.99999999900000003</v>
      </c>
      <c r="F107" s="313">
        <v>1</v>
      </c>
      <c r="G107" s="315" t="s">
        <v>895</v>
      </c>
      <c r="H107" s="320" t="s">
        <v>906</v>
      </c>
      <c r="I107" s="320" t="s">
        <v>906</v>
      </c>
    </row>
    <row r="108" spans="1:9" ht="17.25" customHeight="1" x14ac:dyDescent="0.25">
      <c r="A108" s="316" t="s">
        <v>788</v>
      </c>
      <c r="B108" s="314" t="s">
        <v>31</v>
      </c>
      <c r="C108" s="314" t="s">
        <v>13</v>
      </c>
      <c r="D108" s="314">
        <v>1</v>
      </c>
      <c r="E108" s="314">
        <v>0.99999999900000003</v>
      </c>
      <c r="F108" s="314">
        <v>1</v>
      </c>
      <c r="G108" s="317" t="s">
        <v>895</v>
      </c>
      <c r="H108" s="320" t="s">
        <v>906</v>
      </c>
      <c r="I108" s="320" t="s">
        <v>906</v>
      </c>
    </row>
    <row r="109" spans="1:9" ht="17.25" customHeight="1" x14ac:dyDescent="0.25">
      <c r="A109" s="319" t="s">
        <v>788</v>
      </c>
      <c r="B109" s="313" t="s">
        <v>32</v>
      </c>
      <c r="C109" s="313" t="s">
        <v>850</v>
      </c>
      <c r="D109" s="313">
        <v>0.99979899999999999</v>
      </c>
      <c r="E109" s="313">
        <v>0.9123</v>
      </c>
      <c r="F109" s="313">
        <v>1</v>
      </c>
      <c r="G109" s="315" t="s">
        <v>904</v>
      </c>
      <c r="H109" s="320">
        <v>20</v>
      </c>
      <c r="I109" s="314" t="s">
        <v>1162</v>
      </c>
    </row>
    <row r="110" spans="1:9" ht="17.25" customHeight="1" x14ac:dyDescent="0.25">
      <c r="A110" s="316" t="s">
        <v>788</v>
      </c>
      <c r="B110" s="314" t="s">
        <v>32</v>
      </c>
      <c r="C110" s="314" t="s">
        <v>851</v>
      </c>
      <c r="D110" s="314">
        <v>0.99979899999999999</v>
      </c>
      <c r="E110" s="314">
        <v>0.9123</v>
      </c>
      <c r="F110" s="314">
        <v>1</v>
      </c>
      <c r="G110" s="317" t="s">
        <v>904</v>
      </c>
      <c r="H110" s="320">
        <v>20</v>
      </c>
      <c r="I110" s="314" t="s">
        <v>1162</v>
      </c>
    </row>
    <row r="111" spans="1:9" ht="17.25" customHeight="1" x14ac:dyDescent="0.25">
      <c r="A111" s="319" t="s">
        <v>788</v>
      </c>
      <c r="B111" s="313" t="s">
        <v>32</v>
      </c>
      <c r="C111" s="313" t="s">
        <v>852</v>
      </c>
      <c r="D111" s="313">
        <v>1</v>
      </c>
      <c r="E111" s="313">
        <v>0.9859</v>
      </c>
      <c r="F111" s="313">
        <v>1</v>
      </c>
      <c r="G111" s="315" t="s">
        <v>903</v>
      </c>
      <c r="H111" s="320">
        <v>92</v>
      </c>
      <c r="I111" s="314" t="s">
        <v>1162</v>
      </c>
    </row>
    <row r="112" spans="1:9" ht="17.25" customHeight="1" x14ac:dyDescent="0.25">
      <c r="A112" s="316" t="s">
        <v>788</v>
      </c>
      <c r="B112" s="314" t="s">
        <v>32</v>
      </c>
      <c r="C112" s="314" t="s">
        <v>853</v>
      </c>
      <c r="D112" s="314">
        <v>1</v>
      </c>
      <c r="E112" s="314">
        <v>0.9859</v>
      </c>
      <c r="F112" s="314">
        <v>1</v>
      </c>
      <c r="G112" s="317" t="s">
        <v>902</v>
      </c>
      <c r="H112" s="320">
        <v>92</v>
      </c>
      <c r="I112" s="314" t="s">
        <v>1162</v>
      </c>
    </row>
    <row r="113" spans="1:9" ht="17.25" customHeight="1" x14ac:dyDescent="0.25">
      <c r="A113" s="319" t="s">
        <v>788</v>
      </c>
      <c r="B113" s="313" t="s">
        <v>32</v>
      </c>
      <c r="C113" s="313" t="s">
        <v>854</v>
      </c>
      <c r="D113" s="313">
        <v>0.98499999999999999</v>
      </c>
      <c r="E113" s="313">
        <v>0.97</v>
      </c>
      <c r="F113" s="313">
        <v>1</v>
      </c>
      <c r="G113" s="315" t="s">
        <v>901</v>
      </c>
      <c r="H113" s="320" t="s">
        <v>906</v>
      </c>
      <c r="I113" s="314" t="s">
        <v>1163</v>
      </c>
    </row>
    <row r="114" spans="1:9" ht="17.25" customHeight="1" x14ac:dyDescent="0.25">
      <c r="A114" s="316" t="s">
        <v>788</v>
      </c>
      <c r="B114" s="314" t="s">
        <v>32</v>
      </c>
      <c r="C114" s="314" t="s">
        <v>855</v>
      </c>
      <c r="D114" s="314">
        <v>0.98499999999999999</v>
      </c>
      <c r="E114" s="314">
        <v>0.97</v>
      </c>
      <c r="F114" s="314">
        <v>1</v>
      </c>
      <c r="G114" s="317" t="s">
        <v>901</v>
      </c>
      <c r="H114" s="320" t="s">
        <v>906</v>
      </c>
      <c r="I114" s="314" t="s">
        <v>1163</v>
      </c>
    </row>
    <row r="115" spans="1:9" ht="17.25" customHeight="1" x14ac:dyDescent="0.25">
      <c r="A115" s="319" t="s">
        <v>788</v>
      </c>
      <c r="B115" s="313" t="s">
        <v>32</v>
      </c>
      <c r="C115" s="313" t="s">
        <v>856</v>
      </c>
      <c r="D115" s="313">
        <v>0.95238095199999995</v>
      </c>
      <c r="E115" s="313">
        <v>0.90476190399999989</v>
      </c>
      <c r="F115" s="313">
        <v>1</v>
      </c>
      <c r="G115" s="315" t="s">
        <v>901</v>
      </c>
      <c r="H115" s="320" t="s">
        <v>906</v>
      </c>
      <c r="I115" s="314" t="s">
        <v>1163</v>
      </c>
    </row>
    <row r="116" spans="1:9" ht="17.25" customHeight="1" x14ac:dyDescent="0.25">
      <c r="A116" s="316" t="s">
        <v>788</v>
      </c>
      <c r="B116" s="314" t="s">
        <v>32</v>
      </c>
      <c r="C116" s="314" t="s">
        <v>857</v>
      </c>
      <c r="D116" s="314">
        <v>0.95238095199999995</v>
      </c>
      <c r="E116" s="314">
        <v>0.90476190399999989</v>
      </c>
      <c r="F116" s="314">
        <v>1</v>
      </c>
      <c r="G116" s="317" t="s">
        <v>901</v>
      </c>
      <c r="H116" s="320" t="s">
        <v>906</v>
      </c>
      <c r="I116" s="314" t="s">
        <v>1163</v>
      </c>
    </row>
    <row r="117" spans="1:9" ht="17.25" customHeight="1" x14ac:dyDescent="0.25">
      <c r="A117" s="319" t="s">
        <v>788</v>
      </c>
      <c r="B117" s="313" t="s">
        <v>32</v>
      </c>
      <c r="C117" s="313" t="s">
        <v>858</v>
      </c>
      <c r="D117" s="313">
        <v>0.95238095199999995</v>
      </c>
      <c r="E117" s="313">
        <v>0.90476190399999989</v>
      </c>
      <c r="F117" s="313">
        <v>1</v>
      </c>
      <c r="G117" s="315" t="s">
        <v>901</v>
      </c>
      <c r="H117" s="320" t="s">
        <v>906</v>
      </c>
      <c r="I117" s="314" t="s">
        <v>1163</v>
      </c>
    </row>
    <row r="118" spans="1:9" ht="17.25" customHeight="1" x14ac:dyDescent="0.25">
      <c r="A118" s="316" t="s">
        <v>788</v>
      </c>
      <c r="B118" s="314" t="s">
        <v>32</v>
      </c>
      <c r="C118" s="314" t="s">
        <v>859</v>
      </c>
      <c r="D118" s="314">
        <v>0.95238095199999995</v>
      </c>
      <c r="E118" s="314">
        <v>0.90476190399999989</v>
      </c>
      <c r="F118" s="314">
        <v>1</v>
      </c>
      <c r="G118" s="317" t="s">
        <v>901</v>
      </c>
      <c r="H118" s="320" t="s">
        <v>906</v>
      </c>
      <c r="I118" s="314" t="s">
        <v>1163</v>
      </c>
    </row>
    <row r="119" spans="1:9" ht="17.25" customHeight="1" x14ac:dyDescent="0.25">
      <c r="A119" s="319" t="s">
        <v>788</v>
      </c>
      <c r="B119" s="313" t="s">
        <v>32</v>
      </c>
      <c r="C119" s="313" t="s">
        <v>921</v>
      </c>
      <c r="D119" s="313">
        <v>0.45</v>
      </c>
      <c r="E119" s="313">
        <v>0.52243489174772506</v>
      </c>
      <c r="F119" s="313">
        <v>0.63501144164759726</v>
      </c>
      <c r="G119" s="315" t="s">
        <v>1156</v>
      </c>
      <c r="H119" s="320" t="s">
        <v>906</v>
      </c>
      <c r="I119" s="314" t="s">
        <v>1166</v>
      </c>
    </row>
    <row r="120" spans="1:9" ht="17.25" customHeight="1" x14ac:dyDescent="0.25">
      <c r="A120" s="316" t="s">
        <v>788</v>
      </c>
      <c r="B120" s="314" t="s">
        <v>32</v>
      </c>
      <c r="C120" s="314" t="s">
        <v>922</v>
      </c>
      <c r="D120" s="314">
        <v>0.45</v>
      </c>
      <c r="E120" s="314">
        <v>0.52243489174772506</v>
      </c>
      <c r="F120" s="314">
        <v>0.63501144164759726</v>
      </c>
      <c r="G120" s="317" t="s">
        <v>1156</v>
      </c>
      <c r="H120" s="320" t="s">
        <v>906</v>
      </c>
      <c r="I120" s="314" t="s">
        <v>1166</v>
      </c>
    </row>
    <row r="121" spans="1:9" ht="17.25" customHeight="1" x14ac:dyDescent="0.25">
      <c r="A121" s="319" t="s">
        <v>788</v>
      </c>
      <c r="B121" s="313" t="s">
        <v>32</v>
      </c>
      <c r="C121" s="313" t="s">
        <v>23</v>
      </c>
      <c r="D121" s="313">
        <v>1</v>
      </c>
      <c r="E121" s="313">
        <v>0.99999998999999995</v>
      </c>
      <c r="F121" s="313">
        <v>1</v>
      </c>
      <c r="G121" s="315" t="s">
        <v>895</v>
      </c>
      <c r="H121" s="320" t="s">
        <v>906</v>
      </c>
      <c r="I121" s="320" t="s">
        <v>906</v>
      </c>
    </row>
    <row r="122" spans="1:9" ht="17.25" customHeight="1" x14ac:dyDescent="0.25">
      <c r="A122" s="316" t="s">
        <v>788</v>
      </c>
      <c r="B122" s="314" t="s">
        <v>32</v>
      </c>
      <c r="C122" s="314" t="s">
        <v>13</v>
      </c>
      <c r="D122" s="314">
        <v>1</v>
      </c>
      <c r="E122" s="314">
        <v>0.99999998999999995</v>
      </c>
      <c r="F122" s="314">
        <v>1</v>
      </c>
      <c r="G122" s="317" t="s">
        <v>895</v>
      </c>
      <c r="H122" s="320" t="s">
        <v>906</v>
      </c>
      <c r="I122" s="320" t="s">
        <v>906</v>
      </c>
    </row>
    <row r="123" spans="1:9" ht="17.25" customHeight="1" x14ac:dyDescent="0.25">
      <c r="A123" s="319" t="s">
        <v>788</v>
      </c>
      <c r="B123" s="313" t="s">
        <v>36</v>
      </c>
      <c r="C123" s="313" t="s">
        <v>850</v>
      </c>
      <c r="D123" s="313">
        <v>0</v>
      </c>
      <c r="E123" s="313">
        <v>0</v>
      </c>
      <c r="F123" s="313">
        <v>1.0000000000000001E-9</v>
      </c>
      <c r="G123" s="315" t="s">
        <v>900</v>
      </c>
      <c r="H123" s="320">
        <v>85</v>
      </c>
      <c r="I123" s="314" t="s">
        <v>1162</v>
      </c>
    </row>
    <row r="124" spans="1:9" ht="17.25" customHeight="1" x14ac:dyDescent="0.25">
      <c r="A124" s="316" t="s">
        <v>788</v>
      </c>
      <c r="B124" s="314" t="s">
        <v>36</v>
      </c>
      <c r="C124" s="314" t="s">
        <v>851</v>
      </c>
      <c r="D124" s="314">
        <v>6.72</v>
      </c>
      <c r="E124" s="314">
        <v>4.4800000000000004</v>
      </c>
      <c r="F124" s="314">
        <v>7.508</v>
      </c>
      <c r="G124" s="317" t="s">
        <v>900</v>
      </c>
      <c r="H124" s="320">
        <v>85</v>
      </c>
      <c r="I124" s="314" t="s">
        <v>1162</v>
      </c>
    </row>
    <row r="125" spans="1:9" ht="17.25" customHeight="1" x14ac:dyDescent="0.25">
      <c r="A125" s="319" t="s">
        <v>788</v>
      </c>
      <c r="B125" s="313" t="s">
        <v>36</v>
      </c>
      <c r="C125" s="313" t="s">
        <v>852</v>
      </c>
      <c r="D125" s="313">
        <v>0</v>
      </c>
      <c r="E125" s="313">
        <v>0</v>
      </c>
      <c r="F125" s="313">
        <v>1.0000000000000001E-9</v>
      </c>
      <c r="G125" s="315" t="s">
        <v>900</v>
      </c>
      <c r="H125" s="320">
        <v>85</v>
      </c>
      <c r="I125" s="314" t="s">
        <v>1162</v>
      </c>
    </row>
    <row r="126" spans="1:9" ht="17.25" customHeight="1" x14ac:dyDescent="0.25">
      <c r="A126" s="316" t="s">
        <v>788</v>
      </c>
      <c r="B126" s="314" t="s">
        <v>36</v>
      </c>
      <c r="C126" s="314" t="s">
        <v>853</v>
      </c>
      <c r="D126" s="314">
        <v>3.948E-4</v>
      </c>
      <c r="E126" s="314">
        <v>0</v>
      </c>
      <c r="F126" s="314">
        <v>0.93520000000000003</v>
      </c>
      <c r="G126" s="317" t="s">
        <v>900</v>
      </c>
      <c r="H126" s="320">
        <v>85</v>
      </c>
      <c r="I126" s="314" t="s">
        <v>1162</v>
      </c>
    </row>
    <row r="127" spans="1:9" ht="17.25" customHeight="1" x14ac:dyDescent="0.25">
      <c r="A127" s="319" t="s">
        <v>788</v>
      </c>
      <c r="B127" s="313" t="s">
        <v>36</v>
      </c>
      <c r="C127" s="313" t="s">
        <v>854</v>
      </c>
      <c r="D127" s="313">
        <v>0</v>
      </c>
      <c r="E127" s="313">
        <v>0</v>
      </c>
      <c r="F127" s="313">
        <v>1.0000000000000001E-9</v>
      </c>
      <c r="G127" s="315" t="s">
        <v>900</v>
      </c>
      <c r="H127" s="320">
        <v>85</v>
      </c>
      <c r="I127" s="314" t="s">
        <v>1162</v>
      </c>
    </row>
    <row r="128" spans="1:9" ht="17.25" customHeight="1" x14ac:dyDescent="0.25">
      <c r="A128" s="316" t="s">
        <v>788</v>
      </c>
      <c r="B128" s="314" t="s">
        <v>36</v>
      </c>
      <c r="C128" s="314" t="s">
        <v>855</v>
      </c>
      <c r="D128" s="314">
        <v>2.4089870000000002</v>
      </c>
      <c r="E128" s="314">
        <v>2.2320000000000002</v>
      </c>
      <c r="F128" s="314">
        <v>2.5870000000000002</v>
      </c>
      <c r="G128" s="317" t="s">
        <v>900</v>
      </c>
      <c r="H128" s="320">
        <v>85</v>
      </c>
      <c r="I128" s="314" t="s">
        <v>1162</v>
      </c>
    </row>
    <row r="129" spans="1:9" ht="17.25" customHeight="1" x14ac:dyDescent="0.25">
      <c r="A129" s="319" t="s">
        <v>788</v>
      </c>
      <c r="B129" s="313" t="s">
        <v>36</v>
      </c>
      <c r="C129" s="313" t="s">
        <v>856</v>
      </c>
      <c r="D129" s="313">
        <v>0</v>
      </c>
      <c r="E129" s="313">
        <v>0</v>
      </c>
      <c r="F129" s="313">
        <v>1.0000000000000001E-9</v>
      </c>
      <c r="G129" s="315" t="s">
        <v>900</v>
      </c>
      <c r="H129" s="320">
        <v>85</v>
      </c>
      <c r="I129" s="314" t="s">
        <v>1162</v>
      </c>
    </row>
    <row r="130" spans="1:9" ht="17.25" customHeight="1" x14ac:dyDescent="0.25">
      <c r="A130" s="316" t="s">
        <v>788</v>
      </c>
      <c r="B130" s="314" t="s">
        <v>36</v>
      </c>
      <c r="C130" s="314" t="s">
        <v>857</v>
      </c>
      <c r="D130" s="314">
        <v>5.2306900000000001</v>
      </c>
      <c r="E130" s="314">
        <v>4.5</v>
      </c>
      <c r="F130" s="314">
        <v>7.34</v>
      </c>
      <c r="G130" s="317" t="s">
        <v>900</v>
      </c>
      <c r="H130" s="320">
        <v>85</v>
      </c>
      <c r="I130" s="314" t="s">
        <v>1162</v>
      </c>
    </row>
    <row r="131" spans="1:9" ht="17.25" customHeight="1" x14ac:dyDescent="0.25">
      <c r="A131" s="319" t="s">
        <v>788</v>
      </c>
      <c r="B131" s="313" t="s">
        <v>36</v>
      </c>
      <c r="C131" s="313" t="s">
        <v>858</v>
      </c>
      <c r="D131" s="313">
        <v>0</v>
      </c>
      <c r="E131" s="313">
        <v>0</v>
      </c>
      <c r="F131" s="313">
        <v>1.0000000000000001E-9</v>
      </c>
      <c r="G131" s="315" t="s">
        <v>900</v>
      </c>
      <c r="H131" s="320">
        <v>85</v>
      </c>
      <c r="I131" s="314" t="s">
        <v>1162</v>
      </c>
    </row>
    <row r="132" spans="1:9" ht="17.25" customHeight="1" x14ac:dyDescent="0.25">
      <c r="A132" s="316" t="s">
        <v>788</v>
      </c>
      <c r="B132" s="314" t="s">
        <v>36</v>
      </c>
      <c r="C132" s="314" t="s">
        <v>859</v>
      </c>
      <c r="D132" s="314">
        <v>3.5553499999999998</v>
      </c>
      <c r="E132" s="314">
        <v>2.82</v>
      </c>
      <c r="F132" s="314">
        <v>5.67</v>
      </c>
      <c r="G132" s="317" t="s">
        <v>900</v>
      </c>
      <c r="H132" s="320">
        <v>85</v>
      </c>
      <c r="I132" s="314" t="s">
        <v>1162</v>
      </c>
    </row>
    <row r="133" spans="1:9" ht="17.25" customHeight="1" x14ac:dyDescent="0.25">
      <c r="A133" s="319" t="s">
        <v>788</v>
      </c>
      <c r="B133" s="313" t="s">
        <v>36</v>
      </c>
      <c r="C133" s="313" t="s">
        <v>921</v>
      </c>
      <c r="D133" s="313">
        <v>0</v>
      </c>
      <c r="E133" s="313">
        <v>0</v>
      </c>
      <c r="F133" s="313">
        <v>1.0000000000000001E-9</v>
      </c>
      <c r="G133" s="315" t="s">
        <v>1157</v>
      </c>
      <c r="H133" s="320" t="s">
        <v>906</v>
      </c>
      <c r="I133" s="320" t="s">
        <v>906</v>
      </c>
    </row>
    <row r="134" spans="1:9" ht="17.25" customHeight="1" x14ac:dyDescent="0.25">
      <c r="A134" s="316" t="s">
        <v>788</v>
      </c>
      <c r="B134" s="314" t="s">
        <v>36</v>
      </c>
      <c r="C134" s="314" t="s">
        <v>922</v>
      </c>
      <c r="D134" s="314">
        <v>0</v>
      </c>
      <c r="E134" s="314">
        <v>0</v>
      </c>
      <c r="F134" s="314">
        <v>1.0000000000000001E-9</v>
      </c>
      <c r="G134" s="317" t="s">
        <v>1157</v>
      </c>
      <c r="H134" s="320" t="s">
        <v>906</v>
      </c>
      <c r="I134" s="320" t="s">
        <v>906</v>
      </c>
    </row>
    <row r="135" spans="1:9" ht="17.25" customHeight="1" x14ac:dyDescent="0.25">
      <c r="A135" s="319" t="s">
        <v>788</v>
      </c>
      <c r="B135" s="313" t="s">
        <v>36</v>
      </c>
      <c r="C135" s="313" t="s">
        <v>23</v>
      </c>
      <c r="D135" s="313">
        <v>0</v>
      </c>
      <c r="E135" s="313">
        <v>0</v>
      </c>
      <c r="F135" s="313">
        <v>1.0000000000000001E-9</v>
      </c>
      <c r="G135" s="315" t="s">
        <v>895</v>
      </c>
      <c r="H135" s="320" t="s">
        <v>906</v>
      </c>
      <c r="I135" s="320" t="s">
        <v>906</v>
      </c>
    </row>
    <row r="136" spans="1:9" ht="17.25" customHeight="1" x14ac:dyDescent="0.25">
      <c r="A136" s="316" t="s">
        <v>788</v>
      </c>
      <c r="B136" s="314" t="s">
        <v>36</v>
      </c>
      <c r="C136" s="314" t="s">
        <v>13</v>
      </c>
      <c r="D136" s="314">
        <v>0</v>
      </c>
      <c r="E136" s="314">
        <v>0</v>
      </c>
      <c r="F136" s="314">
        <v>1.0000000000000001E-9</v>
      </c>
      <c r="G136" s="317" t="s">
        <v>895</v>
      </c>
      <c r="H136" s="320" t="s">
        <v>906</v>
      </c>
      <c r="I136" s="320" t="s">
        <v>906</v>
      </c>
    </row>
    <row r="137" spans="1:9" ht="17.25" customHeight="1" x14ac:dyDescent="0.25">
      <c r="A137" s="319" t="s">
        <v>788</v>
      </c>
      <c r="B137" s="313" t="s">
        <v>39</v>
      </c>
      <c r="C137" s="313" t="s">
        <v>850</v>
      </c>
      <c r="D137" s="313">
        <v>1672.56</v>
      </c>
      <c r="E137" s="313">
        <v>836.28</v>
      </c>
      <c r="F137" s="313">
        <v>2508.84</v>
      </c>
      <c r="G137" s="315" t="s">
        <v>899</v>
      </c>
      <c r="H137" s="320">
        <v>48</v>
      </c>
      <c r="I137" s="314" t="s">
        <v>1167</v>
      </c>
    </row>
    <row r="138" spans="1:9" ht="17.25" customHeight="1" x14ac:dyDescent="0.25">
      <c r="A138" s="316" t="s">
        <v>788</v>
      </c>
      <c r="B138" s="314" t="s">
        <v>39</v>
      </c>
      <c r="C138" s="314" t="s">
        <v>851</v>
      </c>
      <c r="D138" s="314">
        <v>1672.56</v>
      </c>
      <c r="E138" s="314">
        <v>836.28</v>
      </c>
      <c r="F138" s="314">
        <v>2508.84</v>
      </c>
      <c r="G138" s="317" t="s">
        <v>899</v>
      </c>
      <c r="H138" s="320">
        <v>48</v>
      </c>
      <c r="I138" s="314" t="s">
        <v>1167</v>
      </c>
    </row>
    <row r="139" spans="1:9" ht="17.25" customHeight="1" x14ac:dyDescent="0.25">
      <c r="A139" s="319" t="s">
        <v>788</v>
      </c>
      <c r="B139" s="313" t="s">
        <v>39</v>
      </c>
      <c r="C139" s="313" t="s">
        <v>852</v>
      </c>
      <c r="D139" s="313">
        <v>0.1196</v>
      </c>
      <c r="E139" s="313">
        <v>5.9799999999999999E-2</v>
      </c>
      <c r="F139" s="313">
        <v>0.1794</v>
      </c>
      <c r="G139" s="315" t="s">
        <v>899</v>
      </c>
      <c r="H139" s="320">
        <v>48</v>
      </c>
      <c r="I139" s="314" t="s">
        <v>1167</v>
      </c>
    </row>
    <row r="140" spans="1:9" ht="17.25" customHeight="1" x14ac:dyDescent="0.25">
      <c r="A140" s="316" t="s">
        <v>788</v>
      </c>
      <c r="B140" s="314" t="s">
        <v>39</v>
      </c>
      <c r="C140" s="314" t="s">
        <v>853</v>
      </c>
      <c r="D140" s="314">
        <v>0.1196</v>
      </c>
      <c r="E140" s="314">
        <v>5.9799999999999999E-2</v>
      </c>
      <c r="F140" s="314">
        <v>0.1794</v>
      </c>
      <c r="G140" s="317" t="s">
        <v>899</v>
      </c>
      <c r="H140" s="320">
        <v>48</v>
      </c>
      <c r="I140" s="314" t="s">
        <v>1167</v>
      </c>
    </row>
    <row r="141" spans="1:9" ht="17.25" customHeight="1" x14ac:dyDescent="0.25">
      <c r="A141" s="319" t="s">
        <v>788</v>
      </c>
      <c r="B141" s="313" t="s">
        <v>39</v>
      </c>
      <c r="C141" s="313" t="s">
        <v>854</v>
      </c>
      <c r="D141" s="313">
        <v>1673.7560000000001</v>
      </c>
      <c r="E141" s="313">
        <v>836.87800000000004</v>
      </c>
      <c r="F141" s="313">
        <v>2510.634</v>
      </c>
      <c r="G141" s="315" t="s">
        <v>899</v>
      </c>
      <c r="H141" s="320">
        <v>48</v>
      </c>
      <c r="I141" s="314" t="s">
        <v>1167</v>
      </c>
    </row>
    <row r="142" spans="1:9" ht="17.25" customHeight="1" x14ac:dyDescent="0.25">
      <c r="A142" s="316" t="s">
        <v>788</v>
      </c>
      <c r="B142" s="314" t="s">
        <v>39</v>
      </c>
      <c r="C142" s="314" t="s">
        <v>855</v>
      </c>
      <c r="D142" s="314">
        <v>1673.7560000000001</v>
      </c>
      <c r="E142" s="314">
        <v>836.87800000000004</v>
      </c>
      <c r="F142" s="314">
        <v>2510.634</v>
      </c>
      <c r="G142" s="317" t="s">
        <v>899</v>
      </c>
      <c r="H142" s="320">
        <v>48</v>
      </c>
      <c r="I142" s="314" t="s">
        <v>1167</v>
      </c>
    </row>
    <row r="143" spans="1:9" ht="17.25" customHeight="1" x14ac:dyDescent="0.25">
      <c r="A143" s="319" t="s">
        <v>788</v>
      </c>
      <c r="B143" s="313" t="s">
        <v>39</v>
      </c>
      <c r="C143" s="313" t="s">
        <v>856</v>
      </c>
      <c r="D143" s="313">
        <v>1672.6795999999999</v>
      </c>
      <c r="E143" s="313">
        <v>836.33979999999997</v>
      </c>
      <c r="F143" s="313">
        <v>2509.0194000000001</v>
      </c>
      <c r="G143" s="315" t="s">
        <v>899</v>
      </c>
      <c r="H143" s="320">
        <v>48</v>
      </c>
      <c r="I143" s="314" t="s">
        <v>1167</v>
      </c>
    </row>
    <row r="144" spans="1:9" ht="17.25" customHeight="1" x14ac:dyDescent="0.25">
      <c r="A144" s="316" t="s">
        <v>788</v>
      </c>
      <c r="B144" s="314" t="s">
        <v>39</v>
      </c>
      <c r="C144" s="314" t="s">
        <v>857</v>
      </c>
      <c r="D144" s="314">
        <v>1672.6795999999999</v>
      </c>
      <c r="E144" s="314">
        <v>836.33979999999997</v>
      </c>
      <c r="F144" s="314">
        <v>2509.0194000000001</v>
      </c>
      <c r="G144" s="317" t="s">
        <v>899</v>
      </c>
      <c r="H144" s="320">
        <v>48</v>
      </c>
      <c r="I144" s="314" t="s">
        <v>1167</v>
      </c>
    </row>
    <row r="145" spans="1:9" ht="17.25" customHeight="1" x14ac:dyDescent="0.25">
      <c r="A145" s="319" t="s">
        <v>788</v>
      </c>
      <c r="B145" s="313" t="s">
        <v>39</v>
      </c>
      <c r="C145" s="313" t="s">
        <v>858</v>
      </c>
      <c r="D145" s="313">
        <v>1672.6795999999999</v>
      </c>
      <c r="E145" s="313">
        <v>836.33979999999997</v>
      </c>
      <c r="F145" s="313">
        <v>2509.0194000000001</v>
      </c>
      <c r="G145" s="315" t="s">
        <v>899</v>
      </c>
      <c r="H145" s="320">
        <v>48</v>
      </c>
      <c r="I145" s="314" t="s">
        <v>1167</v>
      </c>
    </row>
    <row r="146" spans="1:9" ht="17.25" customHeight="1" x14ac:dyDescent="0.25">
      <c r="A146" s="316" t="s">
        <v>788</v>
      </c>
      <c r="B146" s="314" t="s">
        <v>39</v>
      </c>
      <c r="C146" s="314" t="s">
        <v>859</v>
      </c>
      <c r="D146" s="314">
        <v>1672.6795999999999</v>
      </c>
      <c r="E146" s="314">
        <v>836.33979999999997</v>
      </c>
      <c r="F146" s="314">
        <v>2509.0194000000001</v>
      </c>
      <c r="G146" s="317" t="s">
        <v>899</v>
      </c>
      <c r="H146" s="320">
        <v>48</v>
      </c>
      <c r="I146" s="314" t="s">
        <v>1167</v>
      </c>
    </row>
    <row r="147" spans="1:9" ht="17.25" customHeight="1" x14ac:dyDescent="0.25">
      <c r="A147" s="319" t="s">
        <v>788</v>
      </c>
      <c r="B147" s="313" t="s">
        <v>39</v>
      </c>
      <c r="C147" s="313" t="s">
        <v>921</v>
      </c>
      <c r="D147" s="313">
        <v>1672.6795999999999</v>
      </c>
      <c r="E147" s="313">
        <v>836.33979999999997</v>
      </c>
      <c r="F147" s="313">
        <v>2509.0194000000001</v>
      </c>
      <c r="G147" s="315" t="s">
        <v>899</v>
      </c>
      <c r="H147" s="320">
        <v>48</v>
      </c>
      <c r="I147" s="314" t="s">
        <v>1167</v>
      </c>
    </row>
    <row r="148" spans="1:9" ht="17.25" customHeight="1" x14ac:dyDescent="0.25">
      <c r="A148" s="316" t="s">
        <v>788</v>
      </c>
      <c r="B148" s="314" t="s">
        <v>39</v>
      </c>
      <c r="C148" s="314" t="s">
        <v>922</v>
      </c>
      <c r="D148" s="314">
        <v>1672.6795999999999</v>
      </c>
      <c r="E148" s="314">
        <v>836.33979999999997</v>
      </c>
      <c r="F148" s="314">
        <v>2509.0194000000001</v>
      </c>
      <c r="G148" s="317" t="s">
        <v>899</v>
      </c>
      <c r="H148" s="320">
        <v>48</v>
      </c>
      <c r="I148" s="314" t="s">
        <v>1167</v>
      </c>
    </row>
    <row r="149" spans="1:9" ht="17.25" customHeight="1" x14ac:dyDescent="0.25">
      <c r="A149" s="319" t="s">
        <v>788</v>
      </c>
      <c r="B149" s="313" t="s">
        <v>39</v>
      </c>
      <c r="C149" s="313" t="s">
        <v>23</v>
      </c>
      <c r="D149" s="313">
        <v>0</v>
      </c>
      <c r="E149" s="313">
        <v>0</v>
      </c>
      <c r="F149" s="313">
        <v>1.0000000000000001E-9</v>
      </c>
      <c r="G149" s="315" t="s">
        <v>895</v>
      </c>
      <c r="H149" s="320" t="s">
        <v>906</v>
      </c>
      <c r="I149" s="320" t="s">
        <v>906</v>
      </c>
    </row>
    <row r="150" spans="1:9" ht="17.25" customHeight="1" x14ac:dyDescent="0.25">
      <c r="A150" s="316" t="s">
        <v>788</v>
      </c>
      <c r="B150" s="314" t="s">
        <v>39</v>
      </c>
      <c r="C150" s="314" t="s">
        <v>13</v>
      </c>
      <c r="D150" s="314">
        <v>0</v>
      </c>
      <c r="E150" s="314">
        <v>0</v>
      </c>
      <c r="F150" s="314">
        <v>1.0000000000000001E-9</v>
      </c>
      <c r="G150" s="317" t="s">
        <v>895</v>
      </c>
      <c r="H150" s="320" t="s">
        <v>906</v>
      </c>
      <c r="I150" s="320" t="s">
        <v>906</v>
      </c>
    </row>
    <row r="151" spans="1:9" ht="17.25" customHeight="1" x14ac:dyDescent="0.25">
      <c r="A151" s="319" t="s">
        <v>788</v>
      </c>
      <c r="B151" s="313" t="s">
        <v>42</v>
      </c>
      <c r="C151" s="313" t="s">
        <v>850</v>
      </c>
      <c r="D151" s="313">
        <v>12</v>
      </c>
      <c r="E151" s="313">
        <v>6</v>
      </c>
      <c r="F151" s="313">
        <v>15</v>
      </c>
      <c r="G151" s="315" t="s">
        <v>897</v>
      </c>
      <c r="H151" s="320">
        <v>92</v>
      </c>
      <c r="I151" s="314" t="s">
        <v>1162</v>
      </c>
    </row>
    <row r="152" spans="1:9" ht="17.25" customHeight="1" x14ac:dyDescent="0.25">
      <c r="A152" s="316" t="s">
        <v>788</v>
      </c>
      <c r="B152" s="314" t="s">
        <v>42</v>
      </c>
      <c r="C152" s="314" t="s">
        <v>851</v>
      </c>
      <c r="D152" s="314">
        <v>26.666666670000001</v>
      </c>
      <c r="E152" s="314">
        <v>13.333333333333332</v>
      </c>
      <c r="F152" s="314">
        <v>33.333333333333336</v>
      </c>
      <c r="G152" s="317" t="s">
        <v>1168</v>
      </c>
      <c r="H152" s="320">
        <v>92</v>
      </c>
      <c r="I152" s="314" t="s">
        <v>1162</v>
      </c>
    </row>
    <row r="153" spans="1:9" ht="17.25" customHeight="1" x14ac:dyDescent="0.25">
      <c r="A153" s="319" t="s">
        <v>788</v>
      </c>
      <c r="B153" s="313" t="s">
        <v>42</v>
      </c>
      <c r="C153" s="313" t="s">
        <v>852</v>
      </c>
      <c r="D153" s="313">
        <v>7.0500000000000001E-4</v>
      </c>
      <c r="E153" s="313">
        <v>0</v>
      </c>
      <c r="F153" s="313">
        <v>1.41E-3</v>
      </c>
      <c r="G153" s="315" t="s">
        <v>898</v>
      </c>
      <c r="H153" s="320">
        <v>85</v>
      </c>
      <c r="I153" s="314" t="s">
        <v>1169</v>
      </c>
    </row>
    <row r="154" spans="1:9" ht="17.25" customHeight="1" x14ac:dyDescent="0.25">
      <c r="A154" s="316" t="s">
        <v>788</v>
      </c>
      <c r="B154" s="314" t="s">
        <v>42</v>
      </c>
      <c r="C154" s="314" t="s">
        <v>853</v>
      </c>
      <c r="D154" s="314">
        <v>1.5666670000000001E-3</v>
      </c>
      <c r="E154" s="314">
        <v>0</v>
      </c>
      <c r="F154" s="314">
        <v>3.1329999999999999E-3</v>
      </c>
      <c r="G154" s="317" t="s">
        <v>898</v>
      </c>
      <c r="H154" s="320">
        <v>85</v>
      </c>
      <c r="I154" s="314" t="s">
        <v>1169</v>
      </c>
    </row>
    <row r="155" spans="1:9" ht="17.25" customHeight="1" x14ac:dyDescent="0.25">
      <c r="A155" s="319" t="s">
        <v>788</v>
      </c>
      <c r="B155" s="313" t="s">
        <v>42</v>
      </c>
      <c r="C155" s="313" t="s">
        <v>854</v>
      </c>
      <c r="D155" s="313">
        <v>11.417</v>
      </c>
      <c r="E155" s="313">
        <v>10.58</v>
      </c>
      <c r="F155" s="313">
        <v>12.26</v>
      </c>
      <c r="G155" s="315" t="s">
        <v>897</v>
      </c>
      <c r="H155" s="320">
        <v>92</v>
      </c>
      <c r="I155" s="314" t="s">
        <v>1162</v>
      </c>
    </row>
    <row r="156" spans="1:9" ht="17.25" customHeight="1" x14ac:dyDescent="0.25">
      <c r="A156" s="316" t="s">
        <v>788</v>
      </c>
      <c r="B156" s="314" t="s">
        <v>42</v>
      </c>
      <c r="C156" s="314" t="s">
        <v>855</v>
      </c>
      <c r="D156" s="314">
        <v>11.417</v>
      </c>
      <c r="E156" s="314">
        <v>10.58</v>
      </c>
      <c r="F156" s="314">
        <v>12.26</v>
      </c>
      <c r="G156" s="317" t="s">
        <v>897</v>
      </c>
      <c r="H156" s="320">
        <v>92</v>
      </c>
      <c r="I156" s="314" t="s">
        <v>1162</v>
      </c>
    </row>
    <row r="157" spans="1:9" ht="17.25" customHeight="1" x14ac:dyDescent="0.25">
      <c r="A157" s="319" t="s">
        <v>788</v>
      </c>
      <c r="B157" s="313" t="s">
        <v>42</v>
      </c>
      <c r="C157" s="313" t="s">
        <v>856</v>
      </c>
      <c r="D157" s="313">
        <v>24.79</v>
      </c>
      <c r="E157" s="313">
        <v>19.14</v>
      </c>
      <c r="F157" s="313">
        <v>30.44</v>
      </c>
      <c r="G157" s="315" t="s">
        <v>897</v>
      </c>
      <c r="H157" s="320">
        <v>92</v>
      </c>
      <c r="I157" s="314" t="s">
        <v>1162</v>
      </c>
    </row>
    <row r="158" spans="1:9" ht="17.25" customHeight="1" x14ac:dyDescent="0.25">
      <c r="A158" s="316" t="s">
        <v>788</v>
      </c>
      <c r="B158" s="314" t="s">
        <v>42</v>
      </c>
      <c r="C158" s="314" t="s">
        <v>857</v>
      </c>
      <c r="D158" s="314">
        <v>24.79</v>
      </c>
      <c r="E158" s="314">
        <v>19.14</v>
      </c>
      <c r="F158" s="314">
        <v>30.44</v>
      </c>
      <c r="G158" s="317" t="s">
        <v>897</v>
      </c>
      <c r="H158" s="320">
        <v>92</v>
      </c>
      <c r="I158" s="314" t="s">
        <v>1162</v>
      </c>
    </row>
    <row r="159" spans="1:9" ht="17.25" customHeight="1" x14ac:dyDescent="0.25">
      <c r="A159" s="319" t="s">
        <v>788</v>
      </c>
      <c r="B159" s="313" t="s">
        <v>42</v>
      </c>
      <c r="C159" s="313" t="s">
        <v>858</v>
      </c>
      <c r="D159" s="313">
        <v>16.850000000000001</v>
      </c>
      <c r="E159" s="313">
        <v>11.2</v>
      </c>
      <c r="F159" s="313">
        <v>22.5</v>
      </c>
      <c r="G159" s="315" t="s">
        <v>897</v>
      </c>
      <c r="H159" s="320">
        <v>92</v>
      </c>
      <c r="I159" s="314" t="s">
        <v>1162</v>
      </c>
    </row>
    <row r="160" spans="1:9" ht="17.25" customHeight="1" x14ac:dyDescent="0.25">
      <c r="A160" s="316" t="s">
        <v>788</v>
      </c>
      <c r="B160" s="314" t="s">
        <v>42</v>
      </c>
      <c r="C160" s="314" t="s">
        <v>859</v>
      </c>
      <c r="D160" s="314">
        <v>16.850000000000001</v>
      </c>
      <c r="E160" s="314">
        <v>11.2</v>
      </c>
      <c r="F160" s="314">
        <v>22.5</v>
      </c>
      <c r="G160" s="317" t="s">
        <v>897</v>
      </c>
      <c r="H160" s="320">
        <v>92</v>
      </c>
      <c r="I160" s="314" t="s">
        <v>1162</v>
      </c>
    </row>
    <row r="161" spans="1:9" ht="17.25" customHeight="1" x14ac:dyDescent="0.25">
      <c r="A161" s="319" t="s">
        <v>788</v>
      </c>
      <c r="B161" s="313" t="s">
        <v>42</v>
      </c>
      <c r="C161" s="313" t="s">
        <v>921</v>
      </c>
      <c r="D161" s="313">
        <v>16.850000000000001</v>
      </c>
      <c r="E161" s="313">
        <v>0</v>
      </c>
      <c r="F161" s="322">
        <v>1.0000000000000001E-9</v>
      </c>
      <c r="G161" s="315" t="s">
        <v>1158</v>
      </c>
      <c r="H161" s="320" t="s">
        <v>906</v>
      </c>
      <c r="I161" s="320" t="s">
        <v>906</v>
      </c>
    </row>
    <row r="162" spans="1:9" ht="17.25" customHeight="1" x14ac:dyDescent="0.25">
      <c r="A162" s="316" t="s">
        <v>788</v>
      </c>
      <c r="B162" s="314" t="s">
        <v>42</v>
      </c>
      <c r="C162" s="314" t="s">
        <v>922</v>
      </c>
      <c r="D162" s="314">
        <v>16.850000000000001</v>
      </c>
      <c r="E162" s="314">
        <v>0</v>
      </c>
      <c r="F162" s="321">
        <v>1.0000000000000001E-9</v>
      </c>
      <c r="G162" s="317" t="s">
        <v>1158</v>
      </c>
      <c r="H162" s="320" t="s">
        <v>906</v>
      </c>
      <c r="I162" s="320" t="s">
        <v>906</v>
      </c>
    </row>
    <row r="163" spans="1:9" ht="17.25" customHeight="1" x14ac:dyDescent="0.25">
      <c r="A163" s="319" t="s">
        <v>788</v>
      </c>
      <c r="B163" s="313" t="s">
        <v>42</v>
      </c>
      <c r="C163" s="313" t="s">
        <v>23</v>
      </c>
      <c r="D163" s="313">
        <v>0</v>
      </c>
      <c r="E163" s="313">
        <v>0</v>
      </c>
      <c r="F163" s="313">
        <v>1.0000000000000001E-9</v>
      </c>
      <c r="G163" s="315" t="s">
        <v>895</v>
      </c>
      <c r="H163" s="320" t="s">
        <v>906</v>
      </c>
      <c r="I163" s="314"/>
    </row>
    <row r="164" spans="1:9" ht="17.25" customHeight="1" x14ac:dyDescent="0.25">
      <c r="A164" s="316" t="s">
        <v>788</v>
      </c>
      <c r="B164" s="314" t="s">
        <v>42</v>
      </c>
      <c r="C164" s="314" t="s">
        <v>13</v>
      </c>
      <c r="D164" s="314">
        <v>0</v>
      </c>
      <c r="E164" s="314">
        <v>0</v>
      </c>
      <c r="F164" s="314">
        <v>1.0000000000000001E-9</v>
      </c>
      <c r="G164" s="317" t="s">
        <v>895</v>
      </c>
      <c r="H164" s="320" t="s">
        <v>906</v>
      </c>
      <c r="I164" s="314"/>
    </row>
    <row r="165" spans="1:9" ht="17.25" customHeight="1" x14ac:dyDescent="0.25">
      <c r="A165" s="319" t="s">
        <v>788</v>
      </c>
      <c r="B165" s="313" t="s">
        <v>46</v>
      </c>
      <c r="C165" s="313" t="s">
        <v>850</v>
      </c>
      <c r="D165" s="313">
        <v>3.32E-3</v>
      </c>
      <c r="E165" s="313">
        <v>2.1199999999999999E-3</v>
      </c>
      <c r="F165" s="313">
        <v>3.0120000000000001E-2</v>
      </c>
      <c r="G165" s="315" t="s">
        <v>897</v>
      </c>
      <c r="H165" s="320" t="s">
        <v>960</v>
      </c>
      <c r="I165" s="314" t="s">
        <v>1162</v>
      </c>
    </row>
    <row r="166" spans="1:9" ht="17.25" customHeight="1" x14ac:dyDescent="0.25">
      <c r="A166" s="316" t="s">
        <v>788</v>
      </c>
      <c r="B166" s="314" t="s">
        <v>46</v>
      </c>
      <c r="C166" s="314" t="s">
        <v>851</v>
      </c>
      <c r="D166" s="314">
        <v>3.32E-3</v>
      </c>
      <c r="E166" s="314">
        <v>2.1199999999999999E-3</v>
      </c>
      <c r="F166" s="314">
        <v>3.0120000000000001E-2</v>
      </c>
      <c r="G166" s="317" t="s">
        <v>897</v>
      </c>
      <c r="H166" s="320" t="s">
        <v>960</v>
      </c>
      <c r="I166" s="314" t="s">
        <v>1162</v>
      </c>
    </row>
    <row r="167" spans="1:9" ht="17.25" customHeight="1" x14ac:dyDescent="0.25">
      <c r="A167" s="319" t="s">
        <v>788</v>
      </c>
      <c r="B167" s="313" t="s">
        <v>46</v>
      </c>
      <c r="C167" s="313" t="s">
        <v>852</v>
      </c>
      <c r="D167" s="313">
        <v>0</v>
      </c>
      <c r="E167" s="313">
        <v>0</v>
      </c>
      <c r="F167" s="313">
        <v>5.0000000000000001E-3</v>
      </c>
      <c r="G167" s="315" t="s">
        <v>896</v>
      </c>
      <c r="H167" s="320" t="s">
        <v>1098</v>
      </c>
      <c r="I167" s="314" t="s">
        <v>1170</v>
      </c>
    </row>
    <row r="168" spans="1:9" ht="17.25" customHeight="1" x14ac:dyDescent="0.25">
      <c r="A168" s="316" t="s">
        <v>788</v>
      </c>
      <c r="B168" s="314" t="s">
        <v>46</v>
      </c>
      <c r="C168" s="314" t="s">
        <v>853</v>
      </c>
      <c r="D168" s="314">
        <v>0</v>
      </c>
      <c r="E168" s="314">
        <v>0</v>
      </c>
      <c r="F168" s="314">
        <v>5.0000000000000001E-3</v>
      </c>
      <c r="G168" s="317" t="s">
        <v>896</v>
      </c>
      <c r="H168" s="320" t="s">
        <v>1098</v>
      </c>
      <c r="I168" s="314" t="s">
        <v>1170</v>
      </c>
    </row>
    <row r="169" spans="1:9" ht="17.25" customHeight="1" x14ac:dyDescent="0.25">
      <c r="A169" s="319" t="s">
        <v>788</v>
      </c>
      <c r="B169" s="313" t="s">
        <v>46</v>
      </c>
      <c r="C169" s="313" t="s">
        <v>854</v>
      </c>
      <c r="D169" s="313">
        <v>0</v>
      </c>
      <c r="E169" s="313">
        <v>0</v>
      </c>
      <c r="F169" s="313">
        <v>5.0000000000000001E-3</v>
      </c>
      <c r="G169" s="315" t="s">
        <v>896</v>
      </c>
      <c r="H169" s="320" t="s">
        <v>1098</v>
      </c>
      <c r="I169" s="314" t="s">
        <v>1170</v>
      </c>
    </row>
    <row r="170" spans="1:9" ht="17.25" customHeight="1" x14ac:dyDescent="0.25">
      <c r="A170" s="316" t="s">
        <v>788</v>
      </c>
      <c r="B170" s="314" t="s">
        <v>46</v>
      </c>
      <c r="C170" s="314" t="s">
        <v>855</v>
      </c>
      <c r="D170" s="314">
        <v>0</v>
      </c>
      <c r="E170" s="314">
        <v>0</v>
      </c>
      <c r="F170" s="314">
        <v>5.0000000000000001E-3</v>
      </c>
      <c r="G170" s="317" t="s">
        <v>896</v>
      </c>
      <c r="H170" s="320" t="s">
        <v>1098</v>
      </c>
      <c r="I170" s="314" t="s">
        <v>1170</v>
      </c>
    </row>
    <row r="171" spans="1:9" ht="17.25" customHeight="1" x14ac:dyDescent="0.25">
      <c r="A171" s="319" t="s">
        <v>788</v>
      </c>
      <c r="B171" s="313" t="s">
        <v>46</v>
      </c>
      <c r="C171" s="313" t="s">
        <v>856</v>
      </c>
      <c r="D171" s="313">
        <v>0</v>
      </c>
      <c r="E171" s="313">
        <v>0</v>
      </c>
      <c r="F171" s="313">
        <v>5.0000000000000001E-3</v>
      </c>
      <c r="G171" s="315" t="s">
        <v>896</v>
      </c>
      <c r="H171" s="320" t="s">
        <v>1098</v>
      </c>
      <c r="I171" s="314" t="s">
        <v>1170</v>
      </c>
    </row>
    <row r="172" spans="1:9" ht="17.25" customHeight="1" x14ac:dyDescent="0.25">
      <c r="A172" s="316" t="s">
        <v>788</v>
      </c>
      <c r="B172" s="314" t="s">
        <v>46</v>
      </c>
      <c r="C172" s="314" t="s">
        <v>857</v>
      </c>
      <c r="D172" s="314">
        <v>0</v>
      </c>
      <c r="E172" s="314">
        <v>0</v>
      </c>
      <c r="F172" s="314">
        <v>5.0000000000000001E-3</v>
      </c>
      <c r="G172" s="317" t="s">
        <v>896</v>
      </c>
      <c r="H172" s="320" t="s">
        <v>1098</v>
      </c>
      <c r="I172" s="314" t="s">
        <v>1170</v>
      </c>
    </row>
    <row r="173" spans="1:9" ht="17.25" customHeight="1" x14ac:dyDescent="0.25">
      <c r="A173" s="319" t="s">
        <v>788</v>
      </c>
      <c r="B173" s="313" t="s">
        <v>46</v>
      </c>
      <c r="C173" s="313" t="s">
        <v>858</v>
      </c>
      <c r="D173" s="313">
        <v>0</v>
      </c>
      <c r="E173" s="313">
        <v>0</v>
      </c>
      <c r="F173" s="313">
        <v>5.0000000000000001E-3</v>
      </c>
      <c r="G173" s="315" t="s">
        <v>896</v>
      </c>
      <c r="H173" s="320" t="s">
        <v>1098</v>
      </c>
      <c r="I173" s="314" t="s">
        <v>1170</v>
      </c>
    </row>
    <row r="174" spans="1:9" ht="17.25" customHeight="1" x14ac:dyDescent="0.25">
      <c r="A174" s="316" t="s">
        <v>788</v>
      </c>
      <c r="B174" s="314" t="s">
        <v>46</v>
      </c>
      <c r="C174" s="314" t="s">
        <v>859</v>
      </c>
      <c r="D174" s="314">
        <v>0</v>
      </c>
      <c r="E174" s="314">
        <v>0</v>
      </c>
      <c r="F174" s="314">
        <v>5.0000000000000001E-3</v>
      </c>
      <c r="G174" s="317" t="s">
        <v>896</v>
      </c>
      <c r="H174" s="320" t="s">
        <v>1098</v>
      </c>
      <c r="I174" s="314" t="s">
        <v>1170</v>
      </c>
    </row>
    <row r="175" spans="1:9" ht="17.25" customHeight="1" x14ac:dyDescent="0.25">
      <c r="A175" s="319" t="s">
        <v>788</v>
      </c>
      <c r="B175" s="313" t="s">
        <v>46</v>
      </c>
      <c r="C175" s="313" t="s">
        <v>921</v>
      </c>
      <c r="D175" s="313">
        <v>0</v>
      </c>
      <c r="E175" s="313">
        <v>0</v>
      </c>
      <c r="F175" s="313">
        <v>5.0000000000000001E-3</v>
      </c>
      <c r="G175" s="315" t="s">
        <v>896</v>
      </c>
      <c r="H175" s="320" t="s">
        <v>1098</v>
      </c>
      <c r="I175" s="314" t="s">
        <v>1170</v>
      </c>
    </row>
    <row r="176" spans="1:9" ht="17.25" customHeight="1" x14ac:dyDescent="0.25">
      <c r="A176" s="316" t="s">
        <v>788</v>
      </c>
      <c r="B176" s="314" t="s">
        <v>46</v>
      </c>
      <c r="C176" s="314" t="s">
        <v>922</v>
      </c>
      <c r="D176" s="314">
        <v>0</v>
      </c>
      <c r="E176" s="314">
        <v>0</v>
      </c>
      <c r="F176" s="314">
        <v>5.0000000000000001E-3</v>
      </c>
      <c r="G176" s="317" t="s">
        <v>896</v>
      </c>
      <c r="H176" s="320" t="s">
        <v>1098</v>
      </c>
      <c r="I176" s="314" t="s">
        <v>1170</v>
      </c>
    </row>
    <row r="177" spans="1:9" ht="17.25" customHeight="1" x14ac:dyDescent="0.25">
      <c r="A177" s="319" t="s">
        <v>788</v>
      </c>
      <c r="B177" s="313" t="s">
        <v>46</v>
      </c>
      <c r="C177" s="313" t="s">
        <v>23</v>
      </c>
      <c r="D177" s="313">
        <v>0</v>
      </c>
      <c r="E177" s="313">
        <v>0</v>
      </c>
      <c r="F177" s="313">
        <v>1.0000000000000001E-9</v>
      </c>
      <c r="G177" s="315" t="s">
        <v>895</v>
      </c>
      <c r="H177" s="320" t="s">
        <v>906</v>
      </c>
      <c r="I177" s="320" t="s">
        <v>906</v>
      </c>
    </row>
    <row r="178" spans="1:9" ht="17.25" customHeight="1" x14ac:dyDescent="0.25">
      <c r="A178" s="316" t="s">
        <v>788</v>
      </c>
      <c r="B178" s="314" t="s">
        <v>46</v>
      </c>
      <c r="C178" s="314" t="s">
        <v>13</v>
      </c>
      <c r="D178" s="314">
        <v>0</v>
      </c>
      <c r="E178" s="314">
        <v>0</v>
      </c>
      <c r="F178" s="314">
        <v>1.0000000000000001E-9</v>
      </c>
      <c r="G178" s="317" t="s">
        <v>895</v>
      </c>
      <c r="H178" s="320" t="s">
        <v>906</v>
      </c>
      <c r="I178" s="320" t="s">
        <v>906</v>
      </c>
    </row>
    <row r="179" spans="1:9" ht="17.25" customHeight="1" x14ac:dyDescent="0.25">
      <c r="A179" s="319" t="s">
        <v>886</v>
      </c>
      <c r="B179" s="313" t="s">
        <v>29</v>
      </c>
      <c r="C179" s="313" t="s">
        <v>47</v>
      </c>
      <c r="D179" s="313">
        <v>15746899.199999999</v>
      </c>
      <c r="E179" s="313">
        <v>12597519.359999999</v>
      </c>
      <c r="F179" s="313">
        <v>18896279.039999999</v>
      </c>
      <c r="G179" s="315" t="s">
        <v>894</v>
      </c>
      <c r="H179" s="320" t="s">
        <v>906</v>
      </c>
      <c r="I179" s="396" t="s">
        <v>1164</v>
      </c>
    </row>
    <row r="180" spans="1:9" ht="17.25" customHeight="1" x14ac:dyDescent="0.25">
      <c r="A180" s="316" t="s">
        <v>886</v>
      </c>
      <c r="B180" s="314" t="s">
        <v>29</v>
      </c>
      <c r="C180" s="314" t="s">
        <v>48</v>
      </c>
      <c r="D180" s="314">
        <v>15746899.199999999</v>
      </c>
      <c r="E180" s="314">
        <v>12597519.359999999</v>
      </c>
      <c r="F180" s="314">
        <v>18896279.039999999</v>
      </c>
      <c r="G180" s="317" t="s">
        <v>894</v>
      </c>
      <c r="H180" s="320" t="s">
        <v>906</v>
      </c>
      <c r="I180" s="396" t="s">
        <v>1164</v>
      </c>
    </row>
    <row r="181" spans="1:9" ht="17.25" customHeight="1" x14ac:dyDescent="0.25">
      <c r="A181" s="319" t="s">
        <v>886</v>
      </c>
      <c r="B181" s="313" t="s">
        <v>29</v>
      </c>
      <c r="C181" s="313" t="s">
        <v>49</v>
      </c>
      <c r="D181" s="313">
        <v>661369.80000000005</v>
      </c>
      <c r="E181" s="313">
        <v>529095.84000000008</v>
      </c>
      <c r="F181" s="313">
        <v>793643.76</v>
      </c>
      <c r="G181" s="315" t="s">
        <v>894</v>
      </c>
      <c r="H181" s="320" t="s">
        <v>906</v>
      </c>
      <c r="I181" s="396" t="s">
        <v>1164</v>
      </c>
    </row>
    <row r="182" spans="1:9" ht="17.25" customHeight="1" x14ac:dyDescent="0.25">
      <c r="A182" s="316" t="s">
        <v>886</v>
      </c>
      <c r="B182" s="314" t="s">
        <v>29</v>
      </c>
      <c r="C182" s="314" t="s">
        <v>50</v>
      </c>
      <c r="D182" s="314">
        <v>661369.80000000005</v>
      </c>
      <c r="E182" s="314">
        <v>529095.84000000008</v>
      </c>
      <c r="F182" s="314">
        <v>793643.76</v>
      </c>
      <c r="G182" s="317" t="s">
        <v>894</v>
      </c>
      <c r="H182" s="320" t="s">
        <v>906</v>
      </c>
      <c r="I182" s="396" t="s">
        <v>1164</v>
      </c>
    </row>
    <row r="183" spans="1:9" ht="17.25" customHeight="1" x14ac:dyDescent="0.25">
      <c r="A183" s="319" t="s">
        <v>886</v>
      </c>
      <c r="B183" s="313" t="s">
        <v>29</v>
      </c>
      <c r="C183" s="313" t="s">
        <v>51</v>
      </c>
      <c r="D183" s="313">
        <v>10161600</v>
      </c>
      <c r="E183" s="313">
        <v>8129280</v>
      </c>
      <c r="F183" s="313">
        <v>12193920</v>
      </c>
      <c r="G183" s="315" t="s">
        <v>894</v>
      </c>
      <c r="H183" s="320" t="s">
        <v>906</v>
      </c>
      <c r="I183" s="396" t="s">
        <v>1164</v>
      </c>
    </row>
    <row r="184" spans="1:9" ht="17.25" customHeight="1" x14ac:dyDescent="0.25">
      <c r="A184" s="316" t="s">
        <v>886</v>
      </c>
      <c r="B184" s="314" t="s">
        <v>29</v>
      </c>
      <c r="C184" s="314" t="s">
        <v>52</v>
      </c>
      <c r="D184" s="314">
        <v>10161600</v>
      </c>
      <c r="E184" s="314">
        <v>8129280</v>
      </c>
      <c r="F184" s="314">
        <v>12193920</v>
      </c>
      <c r="G184" s="317" t="s">
        <v>894</v>
      </c>
      <c r="H184" s="320" t="s">
        <v>906</v>
      </c>
      <c r="I184" s="396" t="s">
        <v>1164</v>
      </c>
    </row>
    <row r="185" spans="1:9" ht="17.25" customHeight="1" x14ac:dyDescent="0.25">
      <c r="A185" s="319" t="s">
        <v>886</v>
      </c>
      <c r="B185" s="313" t="s">
        <v>29</v>
      </c>
      <c r="C185" s="313" t="s">
        <v>53</v>
      </c>
      <c r="D185" s="313">
        <v>508080</v>
      </c>
      <c r="E185" s="313">
        <v>406464</v>
      </c>
      <c r="F185" s="313">
        <v>609696</v>
      </c>
      <c r="G185" s="315" t="s">
        <v>894</v>
      </c>
      <c r="H185" s="320" t="s">
        <v>906</v>
      </c>
      <c r="I185" s="396" t="s">
        <v>1164</v>
      </c>
    </row>
    <row r="186" spans="1:9" ht="17.25" customHeight="1" x14ac:dyDescent="0.25">
      <c r="A186" s="316" t="s">
        <v>886</v>
      </c>
      <c r="B186" s="314" t="s">
        <v>29</v>
      </c>
      <c r="C186" s="314" t="s">
        <v>54</v>
      </c>
      <c r="D186" s="314">
        <v>508080</v>
      </c>
      <c r="E186" s="314">
        <v>406464</v>
      </c>
      <c r="F186" s="314">
        <v>609696</v>
      </c>
      <c r="G186" s="317" t="s">
        <v>894</v>
      </c>
      <c r="H186" s="320" t="s">
        <v>906</v>
      </c>
      <c r="I186" s="396" t="s">
        <v>1164</v>
      </c>
    </row>
    <row r="187" spans="1:9" ht="17.25" customHeight="1" x14ac:dyDescent="0.25">
      <c r="A187" s="319" t="s">
        <v>886</v>
      </c>
      <c r="B187" s="313" t="s">
        <v>29</v>
      </c>
      <c r="C187" s="313" t="s">
        <v>55</v>
      </c>
      <c r="D187" s="313">
        <v>221555000</v>
      </c>
      <c r="E187" s="313">
        <v>177244000</v>
      </c>
      <c r="F187" s="313">
        <v>265866000</v>
      </c>
      <c r="G187" s="315" t="s">
        <v>894</v>
      </c>
      <c r="H187" s="320" t="s">
        <v>906</v>
      </c>
      <c r="I187" s="396" t="s">
        <v>1164</v>
      </c>
    </row>
    <row r="188" spans="1:9" ht="17.25" customHeight="1" x14ac:dyDescent="0.25">
      <c r="A188" s="316" t="s">
        <v>886</v>
      </c>
      <c r="B188" s="314" t="s">
        <v>29</v>
      </c>
      <c r="C188" s="314" t="s">
        <v>56</v>
      </c>
      <c r="D188" s="314">
        <v>221555000</v>
      </c>
      <c r="E188" s="314">
        <v>177244000</v>
      </c>
      <c r="F188" s="314">
        <v>265866000</v>
      </c>
      <c r="G188" s="317" t="s">
        <v>894</v>
      </c>
      <c r="H188" s="320" t="s">
        <v>906</v>
      </c>
      <c r="I188" s="396" t="s">
        <v>1164</v>
      </c>
    </row>
    <row r="189" spans="1:9" ht="17.25" customHeight="1" x14ac:dyDescent="0.25">
      <c r="A189" s="319" t="s">
        <v>886</v>
      </c>
      <c r="B189" s="313" t="s">
        <v>29</v>
      </c>
      <c r="C189" s="313" t="s">
        <v>57</v>
      </c>
      <c r="D189" s="313">
        <v>221555000</v>
      </c>
      <c r="E189" s="313">
        <v>177244000</v>
      </c>
      <c r="F189" s="313">
        <v>265866000</v>
      </c>
      <c r="G189" s="315" t="s">
        <v>894</v>
      </c>
      <c r="H189" s="320" t="s">
        <v>906</v>
      </c>
      <c r="I189" s="396" t="s">
        <v>1164</v>
      </c>
    </row>
    <row r="190" spans="1:9" ht="17.25" customHeight="1" x14ac:dyDescent="0.25">
      <c r="A190" s="316" t="s">
        <v>886</v>
      </c>
      <c r="B190" s="314" t="s">
        <v>29</v>
      </c>
      <c r="C190" s="314" t="s">
        <v>58</v>
      </c>
      <c r="D190" s="314">
        <v>221555000</v>
      </c>
      <c r="E190" s="314">
        <v>177244000</v>
      </c>
      <c r="F190" s="314">
        <v>265866000</v>
      </c>
      <c r="G190" s="317" t="s">
        <v>894</v>
      </c>
      <c r="H190" s="320" t="s">
        <v>906</v>
      </c>
      <c r="I190" s="396" t="s">
        <v>1164</v>
      </c>
    </row>
    <row r="191" spans="1:9" ht="17.25" customHeight="1" x14ac:dyDescent="0.25">
      <c r="A191" s="319" t="s">
        <v>886</v>
      </c>
      <c r="B191" s="313" t="s">
        <v>29</v>
      </c>
      <c r="C191" s="313" t="s">
        <v>59</v>
      </c>
      <c r="D191" s="313">
        <v>221555000</v>
      </c>
      <c r="E191" s="313">
        <v>177244000</v>
      </c>
      <c r="F191" s="313">
        <v>265866000</v>
      </c>
      <c r="G191" s="315" t="s">
        <v>894</v>
      </c>
      <c r="H191" s="320" t="s">
        <v>906</v>
      </c>
      <c r="I191" s="396" t="s">
        <v>1164</v>
      </c>
    </row>
    <row r="192" spans="1:9" ht="17.25" customHeight="1" x14ac:dyDescent="0.25">
      <c r="A192" s="316" t="s">
        <v>886</v>
      </c>
      <c r="B192" s="314" t="s">
        <v>29</v>
      </c>
      <c r="C192" s="314" t="s">
        <v>60</v>
      </c>
      <c r="D192" s="314">
        <v>221555000</v>
      </c>
      <c r="E192" s="314">
        <v>177244000</v>
      </c>
      <c r="F192" s="314">
        <v>265866000</v>
      </c>
      <c r="G192" s="317" t="s">
        <v>894</v>
      </c>
      <c r="H192" s="320" t="s">
        <v>906</v>
      </c>
      <c r="I192" s="396" t="s">
        <v>1164</v>
      </c>
    </row>
    <row r="193" spans="1:9" ht="17.25" customHeight="1" x14ac:dyDescent="0.25">
      <c r="A193" s="319" t="s">
        <v>886</v>
      </c>
      <c r="B193" s="313" t="s">
        <v>31</v>
      </c>
      <c r="C193" s="313" t="s">
        <v>47</v>
      </c>
      <c r="D193" s="313">
        <v>7</v>
      </c>
      <c r="E193" s="313">
        <v>5.71</v>
      </c>
      <c r="F193" s="313">
        <v>10.27</v>
      </c>
      <c r="G193" s="315" t="s">
        <v>893</v>
      </c>
      <c r="H193" s="320" t="s">
        <v>1102</v>
      </c>
      <c r="I193" s="314" t="s">
        <v>1162</v>
      </c>
    </row>
    <row r="194" spans="1:9" ht="17.25" customHeight="1" x14ac:dyDescent="0.25">
      <c r="A194" s="316" t="s">
        <v>886</v>
      </c>
      <c r="B194" s="314" t="s">
        <v>31</v>
      </c>
      <c r="C194" s="314" t="s">
        <v>48</v>
      </c>
      <c r="D194" s="314">
        <v>7</v>
      </c>
      <c r="E194" s="314">
        <v>5.71</v>
      </c>
      <c r="F194" s="314">
        <v>10.27</v>
      </c>
      <c r="G194" s="317" t="s">
        <v>893</v>
      </c>
      <c r="H194" s="320" t="s">
        <v>1102</v>
      </c>
      <c r="I194" s="314" t="s">
        <v>1162</v>
      </c>
    </row>
    <row r="195" spans="1:9" ht="17.25" customHeight="1" x14ac:dyDescent="0.25">
      <c r="A195" s="319" t="s">
        <v>886</v>
      </c>
      <c r="B195" s="313" t="s">
        <v>31</v>
      </c>
      <c r="C195" s="313" t="s">
        <v>49</v>
      </c>
      <c r="D195" s="313">
        <v>7</v>
      </c>
      <c r="E195" s="313">
        <v>5.71</v>
      </c>
      <c r="F195" s="313">
        <v>10.27</v>
      </c>
      <c r="G195" s="315" t="s">
        <v>893</v>
      </c>
      <c r="H195" s="320" t="s">
        <v>1102</v>
      </c>
      <c r="I195" s="314" t="s">
        <v>1162</v>
      </c>
    </row>
    <row r="196" spans="1:9" ht="17.25" customHeight="1" x14ac:dyDescent="0.25">
      <c r="A196" s="316" t="s">
        <v>886</v>
      </c>
      <c r="B196" s="314" t="s">
        <v>31</v>
      </c>
      <c r="C196" s="314" t="s">
        <v>50</v>
      </c>
      <c r="D196" s="314">
        <v>7</v>
      </c>
      <c r="E196" s="314">
        <v>5.71</v>
      </c>
      <c r="F196" s="314">
        <v>10.27</v>
      </c>
      <c r="G196" s="317" t="s">
        <v>893</v>
      </c>
      <c r="H196" s="320" t="s">
        <v>1102</v>
      </c>
      <c r="I196" s="314" t="s">
        <v>1162</v>
      </c>
    </row>
    <row r="197" spans="1:9" ht="17.25" customHeight="1" x14ac:dyDescent="0.25">
      <c r="A197" s="319" t="s">
        <v>886</v>
      </c>
      <c r="B197" s="313" t="s">
        <v>31</v>
      </c>
      <c r="C197" s="313" t="s">
        <v>51</v>
      </c>
      <c r="D197" s="313">
        <v>10</v>
      </c>
      <c r="E197" s="313">
        <v>6.85</v>
      </c>
      <c r="F197" s="313">
        <v>11.42</v>
      </c>
      <c r="G197" s="315" t="s">
        <v>893</v>
      </c>
      <c r="H197" s="320" t="s">
        <v>1102</v>
      </c>
      <c r="I197" s="314" t="s">
        <v>1162</v>
      </c>
    </row>
    <row r="198" spans="1:9" ht="17.25" customHeight="1" x14ac:dyDescent="0.25">
      <c r="A198" s="316" t="s">
        <v>886</v>
      </c>
      <c r="B198" s="314" t="s">
        <v>31</v>
      </c>
      <c r="C198" s="314" t="s">
        <v>52</v>
      </c>
      <c r="D198" s="314">
        <v>10</v>
      </c>
      <c r="E198" s="314">
        <v>6.85</v>
      </c>
      <c r="F198" s="314">
        <v>11.42</v>
      </c>
      <c r="G198" s="317" t="s">
        <v>893</v>
      </c>
      <c r="H198" s="320" t="s">
        <v>1102</v>
      </c>
      <c r="I198" s="314" t="s">
        <v>1162</v>
      </c>
    </row>
    <row r="199" spans="1:9" ht="17.25" customHeight="1" x14ac:dyDescent="0.25">
      <c r="A199" s="319" t="s">
        <v>886</v>
      </c>
      <c r="B199" s="313" t="s">
        <v>31</v>
      </c>
      <c r="C199" s="313" t="s">
        <v>53</v>
      </c>
      <c r="D199" s="313">
        <v>10</v>
      </c>
      <c r="E199" s="313">
        <v>6.85</v>
      </c>
      <c r="F199" s="313">
        <v>11.42</v>
      </c>
      <c r="G199" s="315" t="s">
        <v>893</v>
      </c>
      <c r="H199" s="320" t="s">
        <v>1102</v>
      </c>
      <c r="I199" s="314" t="s">
        <v>1162</v>
      </c>
    </row>
    <row r="200" spans="1:9" ht="17.25" customHeight="1" x14ac:dyDescent="0.25">
      <c r="A200" s="316" t="s">
        <v>886</v>
      </c>
      <c r="B200" s="314" t="s">
        <v>31</v>
      </c>
      <c r="C200" s="314" t="s">
        <v>54</v>
      </c>
      <c r="D200" s="314">
        <v>10</v>
      </c>
      <c r="E200" s="314">
        <v>6.85</v>
      </c>
      <c r="F200" s="314">
        <v>11.42</v>
      </c>
      <c r="G200" s="317" t="s">
        <v>893</v>
      </c>
      <c r="H200" s="320" t="s">
        <v>1102</v>
      </c>
      <c r="I200" s="314" t="s">
        <v>1162</v>
      </c>
    </row>
    <row r="201" spans="1:9" ht="17.25" customHeight="1" x14ac:dyDescent="0.25">
      <c r="A201" s="319" t="s">
        <v>886</v>
      </c>
      <c r="B201" s="313" t="s">
        <v>31</v>
      </c>
      <c r="C201" s="313" t="s">
        <v>55</v>
      </c>
      <c r="D201" s="313">
        <v>20</v>
      </c>
      <c r="E201" s="313">
        <v>15</v>
      </c>
      <c r="F201" s="313">
        <v>25</v>
      </c>
      <c r="G201" s="315" t="s">
        <v>892</v>
      </c>
      <c r="H201" s="320" t="s">
        <v>906</v>
      </c>
      <c r="I201" s="314" t="s">
        <v>1162</v>
      </c>
    </row>
    <row r="202" spans="1:9" ht="17.25" customHeight="1" x14ac:dyDescent="0.25">
      <c r="A202" s="316" t="s">
        <v>886</v>
      </c>
      <c r="B202" s="314" t="s">
        <v>31</v>
      </c>
      <c r="C202" s="314" t="s">
        <v>56</v>
      </c>
      <c r="D202" s="314">
        <v>20</v>
      </c>
      <c r="E202" s="314">
        <v>15</v>
      </c>
      <c r="F202" s="314">
        <v>25</v>
      </c>
      <c r="G202" s="317" t="s">
        <v>892</v>
      </c>
      <c r="H202" s="320" t="s">
        <v>906</v>
      </c>
      <c r="I202" s="314" t="s">
        <v>1162</v>
      </c>
    </row>
    <row r="203" spans="1:9" ht="17.25" customHeight="1" x14ac:dyDescent="0.25">
      <c r="A203" s="319" t="s">
        <v>886</v>
      </c>
      <c r="B203" s="313" t="s">
        <v>31</v>
      </c>
      <c r="C203" s="313" t="s">
        <v>57</v>
      </c>
      <c r="D203" s="313">
        <v>20</v>
      </c>
      <c r="E203" s="313">
        <v>15</v>
      </c>
      <c r="F203" s="313">
        <v>25</v>
      </c>
      <c r="G203" s="315" t="s">
        <v>892</v>
      </c>
      <c r="H203" s="320" t="s">
        <v>906</v>
      </c>
      <c r="I203" s="314" t="s">
        <v>1162</v>
      </c>
    </row>
    <row r="204" spans="1:9" ht="17.25" customHeight="1" x14ac:dyDescent="0.25">
      <c r="A204" s="316" t="s">
        <v>886</v>
      </c>
      <c r="B204" s="314" t="s">
        <v>31</v>
      </c>
      <c r="C204" s="314" t="s">
        <v>58</v>
      </c>
      <c r="D204" s="314">
        <v>20</v>
      </c>
      <c r="E204" s="314">
        <v>15</v>
      </c>
      <c r="F204" s="314">
        <v>25</v>
      </c>
      <c r="G204" s="317" t="s">
        <v>892</v>
      </c>
      <c r="H204" s="320" t="s">
        <v>906</v>
      </c>
      <c r="I204" s="314" t="s">
        <v>1162</v>
      </c>
    </row>
    <row r="205" spans="1:9" ht="17.25" customHeight="1" x14ac:dyDescent="0.25">
      <c r="A205" s="319" t="s">
        <v>886</v>
      </c>
      <c r="B205" s="313" t="s">
        <v>31</v>
      </c>
      <c r="C205" s="313" t="s">
        <v>59</v>
      </c>
      <c r="D205" s="313">
        <v>20</v>
      </c>
      <c r="E205" s="313">
        <v>15</v>
      </c>
      <c r="F205" s="313">
        <v>25</v>
      </c>
      <c r="G205" s="315" t="s">
        <v>892</v>
      </c>
      <c r="H205" s="320" t="s">
        <v>906</v>
      </c>
      <c r="I205" s="314" t="s">
        <v>1162</v>
      </c>
    </row>
    <row r="206" spans="1:9" ht="17.25" customHeight="1" x14ac:dyDescent="0.25">
      <c r="A206" s="316" t="s">
        <v>886</v>
      </c>
      <c r="B206" s="314" t="s">
        <v>31</v>
      </c>
      <c r="C206" s="314" t="s">
        <v>60</v>
      </c>
      <c r="D206" s="314">
        <v>20</v>
      </c>
      <c r="E206" s="314">
        <v>15</v>
      </c>
      <c r="F206" s="314">
        <v>25</v>
      </c>
      <c r="G206" s="317" t="s">
        <v>892</v>
      </c>
      <c r="H206" s="320" t="s">
        <v>906</v>
      </c>
      <c r="I206" s="314" t="s">
        <v>1162</v>
      </c>
    </row>
    <row r="207" spans="1:9" ht="17.25" customHeight="1" x14ac:dyDescent="0.25">
      <c r="A207" s="319" t="s">
        <v>886</v>
      </c>
      <c r="B207" s="313" t="s">
        <v>34</v>
      </c>
      <c r="C207" s="313" t="s">
        <v>47</v>
      </c>
      <c r="D207" s="313">
        <v>4545867.5</v>
      </c>
      <c r="E207" s="313">
        <v>2272933.75</v>
      </c>
      <c r="F207" s="313">
        <v>6818801.25</v>
      </c>
      <c r="G207" s="315" t="s">
        <v>891</v>
      </c>
      <c r="H207" s="320" t="s">
        <v>906</v>
      </c>
      <c r="I207" s="314" t="s">
        <v>1172</v>
      </c>
    </row>
    <row r="208" spans="1:9" ht="17.25" customHeight="1" x14ac:dyDescent="0.25">
      <c r="A208" s="316" t="s">
        <v>886</v>
      </c>
      <c r="B208" s="314" t="s">
        <v>34</v>
      </c>
      <c r="C208" s="314" t="s">
        <v>48</v>
      </c>
      <c r="D208" s="314">
        <v>4564927.0999999996</v>
      </c>
      <c r="E208" s="314">
        <v>2282463.5529999998</v>
      </c>
      <c r="F208" s="314">
        <v>6847390.659</v>
      </c>
      <c r="G208" s="317" t="s">
        <v>891</v>
      </c>
      <c r="H208" s="320" t="s">
        <v>906</v>
      </c>
      <c r="I208" s="314" t="s">
        <v>1172</v>
      </c>
    </row>
    <row r="209" spans="1:9" ht="17.25" customHeight="1" x14ac:dyDescent="0.25">
      <c r="A209" s="319" t="s">
        <v>886</v>
      </c>
      <c r="B209" s="313" t="s">
        <v>34</v>
      </c>
      <c r="C209" s="313" t="s">
        <v>49</v>
      </c>
      <c r="D209" s="313">
        <v>181834.7</v>
      </c>
      <c r="E209" s="313">
        <v>90917.35</v>
      </c>
      <c r="F209" s="313">
        <v>272752.05</v>
      </c>
      <c r="G209" s="315" t="s">
        <v>891</v>
      </c>
      <c r="H209" s="320" t="s">
        <v>906</v>
      </c>
      <c r="I209" s="314" t="s">
        <v>1172</v>
      </c>
    </row>
    <row r="210" spans="1:9" ht="17.25" customHeight="1" x14ac:dyDescent="0.25">
      <c r="A210" s="316" t="s">
        <v>886</v>
      </c>
      <c r="B210" s="314" t="s">
        <v>34</v>
      </c>
      <c r="C210" s="314" t="s">
        <v>50</v>
      </c>
      <c r="D210" s="314">
        <v>182120.6</v>
      </c>
      <c r="E210" s="314">
        <v>91060.297049999994</v>
      </c>
      <c r="F210" s="314">
        <v>273180.89110000001</v>
      </c>
      <c r="G210" s="317" t="s">
        <v>891</v>
      </c>
      <c r="H210" s="320" t="s">
        <v>906</v>
      </c>
      <c r="I210" s="314" t="s">
        <v>1172</v>
      </c>
    </row>
    <row r="211" spans="1:9" ht="17.25" customHeight="1" x14ac:dyDescent="0.25">
      <c r="A211" s="319" t="s">
        <v>886</v>
      </c>
      <c r="B211" s="313" t="s">
        <v>34</v>
      </c>
      <c r="C211" s="313" t="s">
        <v>51</v>
      </c>
      <c r="D211" s="313">
        <v>7375293</v>
      </c>
      <c r="E211" s="313">
        <v>3687646.4780000001</v>
      </c>
      <c r="F211" s="313">
        <v>11062939.43</v>
      </c>
      <c r="G211" s="315" t="s">
        <v>891</v>
      </c>
      <c r="H211" s="320" t="s">
        <v>906</v>
      </c>
      <c r="I211" s="314" t="s">
        <v>1172</v>
      </c>
    </row>
    <row r="212" spans="1:9" ht="17.25" customHeight="1" x14ac:dyDescent="0.25">
      <c r="A212" s="316" t="s">
        <v>886</v>
      </c>
      <c r="B212" s="314" t="s">
        <v>34</v>
      </c>
      <c r="C212" s="314" t="s">
        <v>52</v>
      </c>
      <c r="D212" s="314">
        <v>7431403.5999999996</v>
      </c>
      <c r="E212" s="314">
        <v>3715701.7859999998</v>
      </c>
      <c r="F212" s="314">
        <v>11147105.359999999</v>
      </c>
      <c r="G212" s="317" t="s">
        <v>891</v>
      </c>
      <c r="H212" s="320" t="s">
        <v>906</v>
      </c>
      <c r="I212" s="314" t="s">
        <v>1172</v>
      </c>
    </row>
    <row r="213" spans="1:9" ht="17.25" customHeight="1" x14ac:dyDescent="0.25">
      <c r="A213" s="319" t="s">
        <v>886</v>
      </c>
      <c r="B213" s="313" t="s">
        <v>34</v>
      </c>
      <c r="C213" s="313" t="s">
        <v>53</v>
      </c>
      <c r="D213" s="313">
        <v>368764.6</v>
      </c>
      <c r="E213" s="313">
        <v>184382.32389999999</v>
      </c>
      <c r="F213" s="313">
        <v>553146.97169999999</v>
      </c>
      <c r="G213" s="315" t="s">
        <v>891</v>
      </c>
      <c r="H213" s="320" t="s">
        <v>906</v>
      </c>
      <c r="I213" s="314" t="s">
        <v>1172</v>
      </c>
    </row>
    <row r="214" spans="1:9" ht="17.25" customHeight="1" x14ac:dyDescent="0.25">
      <c r="A214" s="316" t="s">
        <v>886</v>
      </c>
      <c r="B214" s="314" t="s">
        <v>34</v>
      </c>
      <c r="C214" s="314" t="s">
        <v>54</v>
      </c>
      <c r="D214" s="314">
        <v>371570.2</v>
      </c>
      <c r="E214" s="314">
        <v>185785.08929999999</v>
      </c>
      <c r="F214" s="314">
        <v>557355.26780000003</v>
      </c>
      <c r="G214" s="317" t="s">
        <v>891</v>
      </c>
      <c r="H214" s="320" t="s">
        <v>906</v>
      </c>
      <c r="I214" s="314" t="s">
        <v>1172</v>
      </c>
    </row>
    <row r="215" spans="1:9" ht="17.25" customHeight="1" x14ac:dyDescent="0.25">
      <c r="A215" s="319" t="s">
        <v>886</v>
      </c>
      <c r="B215" s="313" t="s">
        <v>34</v>
      </c>
      <c r="C215" s="313" t="s">
        <v>55</v>
      </c>
      <c r="D215" s="313">
        <v>1496796.8</v>
      </c>
      <c r="E215" s="313">
        <v>748398.42429999996</v>
      </c>
      <c r="F215" s="313">
        <v>2245195.273</v>
      </c>
      <c r="G215" s="315" t="s">
        <v>891</v>
      </c>
      <c r="H215" s="320" t="s">
        <v>906</v>
      </c>
      <c r="I215" s="314" t="s">
        <v>1172</v>
      </c>
    </row>
    <row r="216" spans="1:9" ht="17.25" customHeight="1" x14ac:dyDescent="0.25">
      <c r="A216" s="316" t="s">
        <v>886</v>
      </c>
      <c r="B216" s="314" t="s">
        <v>34</v>
      </c>
      <c r="C216" s="314" t="s">
        <v>56</v>
      </c>
      <c r="D216" s="314">
        <v>1680381.8</v>
      </c>
      <c r="E216" s="314">
        <v>840190.90670000005</v>
      </c>
      <c r="F216" s="314">
        <v>2520572.7200000002</v>
      </c>
      <c r="G216" s="317" t="s">
        <v>891</v>
      </c>
      <c r="H216" s="320" t="s">
        <v>906</v>
      </c>
      <c r="I216" s="314" t="s">
        <v>1172</v>
      </c>
    </row>
    <row r="217" spans="1:9" ht="17.25" customHeight="1" x14ac:dyDescent="0.25">
      <c r="A217" s="319" t="s">
        <v>886</v>
      </c>
      <c r="B217" s="313" t="s">
        <v>34</v>
      </c>
      <c r="C217" s="313" t="s">
        <v>57</v>
      </c>
      <c r="D217" s="313">
        <v>1496796.8</v>
      </c>
      <c r="E217" s="313">
        <v>748398.42429999996</v>
      </c>
      <c r="F217" s="313">
        <v>2245195.273</v>
      </c>
      <c r="G217" s="315" t="s">
        <v>891</v>
      </c>
      <c r="H217" s="320" t="s">
        <v>906</v>
      </c>
      <c r="I217" s="314" t="s">
        <v>1172</v>
      </c>
    </row>
    <row r="218" spans="1:9" ht="17.25" customHeight="1" x14ac:dyDescent="0.25">
      <c r="A218" s="316" t="s">
        <v>886</v>
      </c>
      <c r="B218" s="314" t="s">
        <v>34</v>
      </c>
      <c r="C218" s="314" t="s">
        <v>58</v>
      </c>
      <c r="D218" s="314">
        <v>1680381.8</v>
      </c>
      <c r="E218" s="314">
        <v>840190.90670000005</v>
      </c>
      <c r="F218" s="314">
        <v>2520572.7200000002</v>
      </c>
      <c r="G218" s="317" t="s">
        <v>891</v>
      </c>
      <c r="H218" s="320" t="s">
        <v>906</v>
      </c>
      <c r="I218" s="314" t="s">
        <v>1172</v>
      </c>
    </row>
    <row r="219" spans="1:9" ht="17.25" customHeight="1" x14ac:dyDescent="0.25">
      <c r="A219" s="319" t="s">
        <v>886</v>
      </c>
      <c r="B219" s="313" t="s">
        <v>34</v>
      </c>
      <c r="C219" s="313" t="s">
        <v>59</v>
      </c>
      <c r="D219" s="313">
        <v>1496796.8</v>
      </c>
      <c r="E219" s="313">
        <v>748398.42429999996</v>
      </c>
      <c r="F219" s="313">
        <v>2245195.273</v>
      </c>
      <c r="G219" s="315" t="s">
        <v>891</v>
      </c>
      <c r="H219" s="320" t="s">
        <v>906</v>
      </c>
      <c r="I219" s="314" t="s">
        <v>1172</v>
      </c>
    </row>
    <row r="220" spans="1:9" ht="17.25" customHeight="1" x14ac:dyDescent="0.25">
      <c r="A220" s="316" t="s">
        <v>886</v>
      </c>
      <c r="B220" s="314" t="s">
        <v>34</v>
      </c>
      <c r="C220" s="314" t="s">
        <v>60</v>
      </c>
      <c r="D220" s="314">
        <v>1680381.8</v>
      </c>
      <c r="E220" s="314">
        <v>840190.90670000005</v>
      </c>
      <c r="F220" s="314">
        <v>2520572.7200000002</v>
      </c>
      <c r="G220" s="317" t="s">
        <v>891</v>
      </c>
      <c r="H220" s="320" t="s">
        <v>906</v>
      </c>
      <c r="I220" s="314" t="s">
        <v>1172</v>
      </c>
    </row>
    <row r="221" spans="1:9" ht="17.25" customHeight="1" x14ac:dyDescent="0.25">
      <c r="A221" s="319" t="s">
        <v>886</v>
      </c>
      <c r="B221" s="313" t="s">
        <v>36</v>
      </c>
      <c r="C221" s="313" t="s">
        <v>47</v>
      </c>
      <c r="D221" s="313">
        <v>0</v>
      </c>
      <c r="E221" s="313">
        <v>0</v>
      </c>
      <c r="F221" s="313">
        <v>1.0000000000000001E-9</v>
      </c>
      <c r="G221" s="315" t="s">
        <v>890</v>
      </c>
      <c r="H221" s="320" t="s">
        <v>906</v>
      </c>
      <c r="I221" s="320" t="s">
        <v>906</v>
      </c>
    </row>
    <row r="222" spans="1:9" ht="17.25" customHeight="1" x14ac:dyDescent="0.25">
      <c r="A222" s="316" t="s">
        <v>886</v>
      </c>
      <c r="B222" s="314" t="s">
        <v>36</v>
      </c>
      <c r="C222" s="314" t="s">
        <v>48</v>
      </c>
      <c r="D222" s="314">
        <v>0</v>
      </c>
      <c r="E222" s="314">
        <v>0</v>
      </c>
      <c r="F222" s="314">
        <v>1.0000000000000001E-9</v>
      </c>
      <c r="G222" s="317" t="s">
        <v>890</v>
      </c>
      <c r="H222" s="320" t="s">
        <v>906</v>
      </c>
      <c r="I222" s="320" t="s">
        <v>906</v>
      </c>
    </row>
    <row r="223" spans="1:9" ht="17.25" customHeight="1" x14ac:dyDescent="0.25">
      <c r="A223" s="319" t="s">
        <v>886</v>
      </c>
      <c r="B223" s="313" t="s">
        <v>36</v>
      </c>
      <c r="C223" s="313" t="s">
        <v>49</v>
      </c>
      <c r="D223" s="313">
        <v>0</v>
      </c>
      <c r="E223" s="313">
        <v>0</v>
      </c>
      <c r="F223" s="313">
        <v>1.0000000000000001E-9</v>
      </c>
      <c r="G223" s="315" t="s">
        <v>890</v>
      </c>
      <c r="H223" s="320" t="s">
        <v>906</v>
      </c>
      <c r="I223" s="320" t="s">
        <v>906</v>
      </c>
    </row>
    <row r="224" spans="1:9" ht="17.25" customHeight="1" x14ac:dyDescent="0.25">
      <c r="A224" s="316" t="s">
        <v>886</v>
      </c>
      <c r="B224" s="314" t="s">
        <v>36</v>
      </c>
      <c r="C224" s="314" t="s">
        <v>50</v>
      </c>
      <c r="D224" s="314">
        <v>0</v>
      </c>
      <c r="E224" s="314">
        <v>0</v>
      </c>
      <c r="F224" s="314">
        <v>1.0000000000000001E-9</v>
      </c>
      <c r="G224" s="317" t="s">
        <v>890</v>
      </c>
      <c r="H224" s="320" t="s">
        <v>906</v>
      </c>
      <c r="I224" s="320" t="s">
        <v>906</v>
      </c>
    </row>
    <row r="225" spans="1:9" ht="17.25" customHeight="1" x14ac:dyDescent="0.25">
      <c r="A225" s="319" t="s">
        <v>886</v>
      </c>
      <c r="B225" s="313" t="s">
        <v>36</v>
      </c>
      <c r="C225" s="313" t="s">
        <v>51</v>
      </c>
      <c r="D225" s="313">
        <v>0</v>
      </c>
      <c r="E225" s="313">
        <v>0</v>
      </c>
      <c r="F225" s="313">
        <v>1.0000000000000001E-9</v>
      </c>
      <c r="G225" s="315" t="s">
        <v>890</v>
      </c>
      <c r="H225" s="320" t="s">
        <v>906</v>
      </c>
      <c r="I225" s="320" t="s">
        <v>906</v>
      </c>
    </row>
    <row r="226" spans="1:9" ht="17.25" customHeight="1" x14ac:dyDescent="0.25">
      <c r="A226" s="316" t="s">
        <v>886</v>
      </c>
      <c r="B226" s="314" t="s">
        <v>36</v>
      </c>
      <c r="C226" s="314" t="s">
        <v>52</v>
      </c>
      <c r="D226" s="314">
        <v>0</v>
      </c>
      <c r="E226" s="314">
        <v>0</v>
      </c>
      <c r="F226" s="314">
        <v>1.0000000000000001E-9</v>
      </c>
      <c r="G226" s="317" t="s">
        <v>890</v>
      </c>
      <c r="H226" s="320" t="s">
        <v>906</v>
      </c>
      <c r="I226" s="320" t="s">
        <v>906</v>
      </c>
    </row>
    <row r="227" spans="1:9" ht="17.25" customHeight="1" x14ac:dyDescent="0.25">
      <c r="A227" s="319" t="s">
        <v>886</v>
      </c>
      <c r="B227" s="313" t="s">
        <v>36</v>
      </c>
      <c r="C227" s="313" t="s">
        <v>53</v>
      </c>
      <c r="D227" s="313">
        <v>0</v>
      </c>
      <c r="E227" s="313">
        <v>0</v>
      </c>
      <c r="F227" s="313">
        <v>1.0000000000000001E-9</v>
      </c>
      <c r="G227" s="315" t="s">
        <v>890</v>
      </c>
      <c r="H227" s="320" t="s">
        <v>906</v>
      </c>
      <c r="I227" s="320" t="s">
        <v>906</v>
      </c>
    </row>
    <row r="228" spans="1:9" ht="17.25" customHeight="1" x14ac:dyDescent="0.25">
      <c r="A228" s="316" t="s">
        <v>886</v>
      </c>
      <c r="B228" s="314" t="s">
        <v>36</v>
      </c>
      <c r="C228" s="314" t="s">
        <v>54</v>
      </c>
      <c r="D228" s="314">
        <v>0</v>
      </c>
      <c r="E228" s="314">
        <v>0</v>
      </c>
      <c r="F228" s="314">
        <v>1.0000000000000001E-9</v>
      </c>
      <c r="G228" s="317" t="s">
        <v>890</v>
      </c>
      <c r="H228" s="320" t="s">
        <v>906</v>
      </c>
      <c r="I228" s="320" t="s">
        <v>906</v>
      </c>
    </row>
    <row r="229" spans="1:9" ht="17.25" customHeight="1" x14ac:dyDescent="0.25">
      <c r="A229" s="319" t="s">
        <v>886</v>
      </c>
      <c r="B229" s="313" t="s">
        <v>36</v>
      </c>
      <c r="C229" s="313" t="s">
        <v>55</v>
      </c>
      <c r="D229" s="313">
        <v>6.3</v>
      </c>
      <c r="E229" s="313">
        <v>4.3</v>
      </c>
      <c r="F229" s="313">
        <v>8.1</v>
      </c>
      <c r="G229" s="315" t="s">
        <v>889</v>
      </c>
      <c r="H229" s="320" t="s">
        <v>1104</v>
      </c>
      <c r="I229" s="314" t="s">
        <v>1171</v>
      </c>
    </row>
    <row r="230" spans="1:9" ht="17.25" customHeight="1" x14ac:dyDescent="0.25">
      <c r="A230" s="316" t="s">
        <v>886</v>
      </c>
      <c r="B230" s="314" t="s">
        <v>36</v>
      </c>
      <c r="C230" s="314" t="s">
        <v>56</v>
      </c>
      <c r="D230" s="314">
        <v>6.1</v>
      </c>
      <c r="E230" s="314">
        <v>4.3</v>
      </c>
      <c r="F230" s="314">
        <v>8.1</v>
      </c>
      <c r="G230" s="317" t="s">
        <v>889</v>
      </c>
      <c r="H230" s="320" t="s">
        <v>1104</v>
      </c>
      <c r="I230" s="314" t="s">
        <v>1171</v>
      </c>
    </row>
    <row r="231" spans="1:9" ht="17.25" customHeight="1" x14ac:dyDescent="0.25">
      <c r="A231" s="319" t="s">
        <v>886</v>
      </c>
      <c r="B231" s="313" t="s">
        <v>36</v>
      </c>
      <c r="C231" s="313" t="s">
        <v>57</v>
      </c>
      <c r="D231" s="313">
        <v>4.0999999999999996</v>
      </c>
      <c r="E231" s="313">
        <v>1.3</v>
      </c>
      <c r="F231" s="313">
        <v>6.1</v>
      </c>
      <c r="G231" s="315" t="s">
        <v>889</v>
      </c>
      <c r="H231" s="320" t="s">
        <v>1104</v>
      </c>
      <c r="I231" s="314" t="s">
        <v>1171</v>
      </c>
    </row>
    <row r="232" spans="1:9" ht="17.25" customHeight="1" x14ac:dyDescent="0.25">
      <c r="A232" s="316" t="s">
        <v>886</v>
      </c>
      <c r="B232" s="314" t="s">
        <v>36</v>
      </c>
      <c r="C232" s="314" t="s">
        <v>58</v>
      </c>
      <c r="D232" s="314">
        <v>3</v>
      </c>
      <c r="E232" s="314">
        <v>1.3</v>
      </c>
      <c r="F232" s="314">
        <v>6.1</v>
      </c>
      <c r="G232" s="317" t="s">
        <v>889</v>
      </c>
      <c r="H232" s="320" t="s">
        <v>1104</v>
      </c>
      <c r="I232" s="314" t="s">
        <v>1171</v>
      </c>
    </row>
    <row r="233" spans="1:9" ht="17.25" customHeight="1" x14ac:dyDescent="0.25">
      <c r="A233" s="319" t="s">
        <v>886</v>
      </c>
      <c r="B233" s="313" t="s">
        <v>36</v>
      </c>
      <c r="C233" s="313" t="s">
        <v>59</v>
      </c>
      <c r="D233" s="313">
        <v>2.2999999999999998</v>
      </c>
      <c r="E233" s="313">
        <v>0.8</v>
      </c>
      <c r="F233" s="313">
        <v>4.4000000000000004</v>
      </c>
      <c r="G233" s="315" t="s">
        <v>889</v>
      </c>
      <c r="H233" s="320" t="s">
        <v>1104</v>
      </c>
      <c r="I233" s="314" t="s">
        <v>1171</v>
      </c>
    </row>
    <row r="234" spans="1:9" ht="17.25" customHeight="1" x14ac:dyDescent="0.25">
      <c r="A234" s="316" t="s">
        <v>886</v>
      </c>
      <c r="B234" s="314" t="s">
        <v>36</v>
      </c>
      <c r="C234" s="314" t="s">
        <v>60</v>
      </c>
      <c r="D234" s="314">
        <v>1.4</v>
      </c>
      <c r="E234" s="314">
        <v>0.8</v>
      </c>
      <c r="F234" s="314">
        <v>4.4000000000000004</v>
      </c>
      <c r="G234" s="317" t="s">
        <v>889</v>
      </c>
      <c r="H234" s="320" t="s">
        <v>1104</v>
      </c>
      <c r="I234" s="314" t="s">
        <v>1171</v>
      </c>
    </row>
    <row r="235" spans="1:9" ht="17.25" customHeight="1" x14ac:dyDescent="0.25">
      <c r="A235" s="319" t="s">
        <v>886</v>
      </c>
      <c r="B235" s="313" t="s">
        <v>38</v>
      </c>
      <c r="C235" s="313" t="s">
        <v>47</v>
      </c>
      <c r="D235" s="313">
        <v>55688.7</v>
      </c>
      <c r="E235" s="313">
        <v>27844.35</v>
      </c>
      <c r="F235" s="313">
        <v>83533.049999999988</v>
      </c>
      <c r="G235" s="315" t="s">
        <v>882</v>
      </c>
      <c r="H235" s="320" t="e">
        <v>#N/A</v>
      </c>
      <c r="I235" s="314" t="s">
        <v>1167</v>
      </c>
    </row>
    <row r="236" spans="1:9" ht="17.25" customHeight="1" x14ac:dyDescent="0.25">
      <c r="A236" s="316" t="s">
        <v>886</v>
      </c>
      <c r="B236" s="314" t="s">
        <v>38</v>
      </c>
      <c r="C236" s="314" t="s">
        <v>48</v>
      </c>
      <c r="D236" s="314">
        <v>45649.3</v>
      </c>
      <c r="E236" s="314">
        <v>22824.65</v>
      </c>
      <c r="F236" s="314">
        <v>68473.950000000012</v>
      </c>
      <c r="G236" s="317" t="s">
        <v>882</v>
      </c>
      <c r="H236" s="320" t="e">
        <v>#N/A</v>
      </c>
      <c r="I236" s="314" t="s">
        <v>1167</v>
      </c>
    </row>
    <row r="237" spans="1:9" ht="17.25" customHeight="1" x14ac:dyDescent="0.25">
      <c r="A237" s="319" t="s">
        <v>886</v>
      </c>
      <c r="B237" s="313" t="s">
        <v>38</v>
      </c>
      <c r="C237" s="313" t="s">
        <v>49</v>
      </c>
      <c r="D237" s="313">
        <v>18476.7</v>
      </c>
      <c r="E237" s="313">
        <v>9238.35</v>
      </c>
      <c r="F237" s="313">
        <v>27715.050000000003</v>
      </c>
      <c r="G237" s="315" t="s">
        <v>882</v>
      </c>
      <c r="H237" s="320" t="e">
        <v>#N/A</v>
      </c>
      <c r="I237" s="314" t="s">
        <v>1167</v>
      </c>
    </row>
    <row r="238" spans="1:9" ht="17.25" customHeight="1" x14ac:dyDescent="0.25">
      <c r="A238" s="316" t="s">
        <v>886</v>
      </c>
      <c r="B238" s="314" t="s">
        <v>38</v>
      </c>
      <c r="C238" s="314" t="s">
        <v>50</v>
      </c>
      <c r="D238" s="314">
        <v>3867.2</v>
      </c>
      <c r="E238" s="314">
        <v>1933.6</v>
      </c>
      <c r="F238" s="314">
        <v>5800.7999999999993</v>
      </c>
      <c r="G238" s="317" t="s">
        <v>882</v>
      </c>
      <c r="H238" s="320" t="e">
        <v>#N/A</v>
      </c>
      <c r="I238" s="314" t="s">
        <v>1167</v>
      </c>
    </row>
    <row r="239" spans="1:9" ht="17.25" customHeight="1" x14ac:dyDescent="0.25">
      <c r="A239" s="319" t="s">
        <v>886</v>
      </c>
      <c r="B239" s="313" t="s">
        <v>38</v>
      </c>
      <c r="C239" s="313" t="s">
        <v>51</v>
      </c>
      <c r="D239" s="313">
        <v>81254.899999999994</v>
      </c>
      <c r="E239" s="313">
        <v>40627.449999999997</v>
      </c>
      <c r="F239" s="313">
        <v>121882.34999999999</v>
      </c>
      <c r="G239" s="315" t="s">
        <v>882</v>
      </c>
      <c r="H239" s="320" t="e">
        <v>#N/A</v>
      </c>
      <c r="I239" s="314" t="s">
        <v>1167</v>
      </c>
    </row>
    <row r="240" spans="1:9" ht="17.25" customHeight="1" x14ac:dyDescent="0.25">
      <c r="A240" s="316" t="s">
        <v>886</v>
      </c>
      <c r="B240" s="314" t="s">
        <v>38</v>
      </c>
      <c r="C240" s="314" t="s">
        <v>52</v>
      </c>
      <c r="D240" s="314">
        <v>81816</v>
      </c>
      <c r="E240" s="314">
        <v>40908</v>
      </c>
      <c r="F240" s="314">
        <v>122724</v>
      </c>
      <c r="G240" s="317" t="s">
        <v>882</v>
      </c>
      <c r="H240" s="320" t="e">
        <v>#N/A</v>
      </c>
      <c r="I240" s="314" t="s">
        <v>1167</v>
      </c>
    </row>
    <row r="241" spans="1:9" ht="17.25" customHeight="1" x14ac:dyDescent="0.25">
      <c r="A241" s="319" t="s">
        <v>886</v>
      </c>
      <c r="B241" s="313" t="s">
        <v>38</v>
      </c>
      <c r="C241" s="313" t="s">
        <v>53</v>
      </c>
      <c r="D241" s="313">
        <v>16658.400000000001</v>
      </c>
      <c r="E241" s="313">
        <v>8329.2000000000007</v>
      </c>
      <c r="F241" s="313">
        <v>24987.600000000002</v>
      </c>
      <c r="G241" s="315" t="s">
        <v>882</v>
      </c>
      <c r="H241" s="320" t="e">
        <v>#N/A</v>
      </c>
      <c r="I241" s="314" t="s">
        <v>1167</v>
      </c>
    </row>
    <row r="242" spans="1:9" ht="17.25" customHeight="1" x14ac:dyDescent="0.25">
      <c r="A242" s="316" t="s">
        <v>886</v>
      </c>
      <c r="B242" s="314" t="s">
        <v>38</v>
      </c>
      <c r="C242" s="314" t="s">
        <v>54</v>
      </c>
      <c r="D242" s="314">
        <v>2046</v>
      </c>
      <c r="E242" s="314">
        <v>1023</v>
      </c>
      <c r="F242" s="314">
        <v>3069</v>
      </c>
      <c r="G242" s="317" t="s">
        <v>882</v>
      </c>
      <c r="H242" s="320" t="e">
        <v>#N/A</v>
      </c>
      <c r="I242" s="314" t="s">
        <v>1167</v>
      </c>
    </row>
    <row r="243" spans="1:9" ht="17.25" customHeight="1" x14ac:dyDescent="0.25">
      <c r="A243" s="319" t="s">
        <v>886</v>
      </c>
      <c r="B243" s="313" t="s">
        <v>38</v>
      </c>
      <c r="C243" s="313" t="s">
        <v>55</v>
      </c>
      <c r="D243" s="313">
        <v>44294</v>
      </c>
      <c r="E243" s="313">
        <v>22147</v>
      </c>
      <c r="F243" s="313">
        <v>66441</v>
      </c>
      <c r="G243" s="315" t="s">
        <v>882</v>
      </c>
      <c r="H243" s="320" t="e">
        <v>#N/A</v>
      </c>
      <c r="I243" s="314" t="s">
        <v>1167</v>
      </c>
    </row>
    <row r="244" spans="1:9" ht="17.25" customHeight="1" x14ac:dyDescent="0.25">
      <c r="A244" s="316" t="s">
        <v>886</v>
      </c>
      <c r="B244" s="314" t="s">
        <v>38</v>
      </c>
      <c r="C244" s="314" t="s">
        <v>56</v>
      </c>
      <c r="D244" s="314">
        <v>46129.8</v>
      </c>
      <c r="E244" s="314">
        <v>23064.9</v>
      </c>
      <c r="F244" s="314">
        <v>69194.700000000012</v>
      </c>
      <c r="G244" s="317" t="s">
        <v>882</v>
      </c>
      <c r="H244" s="320" t="e">
        <v>#N/A</v>
      </c>
      <c r="I244" s="314" t="s">
        <v>1167</v>
      </c>
    </row>
    <row r="245" spans="1:9" ht="17.25" customHeight="1" x14ac:dyDescent="0.25">
      <c r="A245" s="319" t="s">
        <v>886</v>
      </c>
      <c r="B245" s="313" t="s">
        <v>38</v>
      </c>
      <c r="C245" s="313" t="s">
        <v>57</v>
      </c>
      <c r="D245" s="313">
        <v>44294</v>
      </c>
      <c r="E245" s="313">
        <v>22147</v>
      </c>
      <c r="F245" s="313">
        <v>66441</v>
      </c>
      <c r="G245" s="315" t="s">
        <v>882</v>
      </c>
      <c r="H245" s="320" t="e">
        <v>#N/A</v>
      </c>
      <c r="I245" s="314" t="s">
        <v>1167</v>
      </c>
    </row>
    <row r="246" spans="1:9" ht="17.25" customHeight="1" x14ac:dyDescent="0.25">
      <c r="A246" s="316" t="s">
        <v>886</v>
      </c>
      <c r="B246" s="314" t="s">
        <v>38</v>
      </c>
      <c r="C246" s="314" t="s">
        <v>58</v>
      </c>
      <c r="D246" s="314">
        <v>46129.8</v>
      </c>
      <c r="E246" s="314">
        <v>23064.9</v>
      </c>
      <c r="F246" s="314">
        <v>69194.700000000012</v>
      </c>
      <c r="G246" s="317" t="s">
        <v>882</v>
      </c>
      <c r="H246" s="320" t="e">
        <v>#N/A</v>
      </c>
      <c r="I246" s="314" t="s">
        <v>1167</v>
      </c>
    </row>
    <row r="247" spans="1:9" ht="17.25" customHeight="1" x14ac:dyDescent="0.25">
      <c r="A247" s="319" t="s">
        <v>886</v>
      </c>
      <c r="B247" s="313" t="s">
        <v>38</v>
      </c>
      <c r="C247" s="313" t="s">
        <v>59</v>
      </c>
      <c r="D247" s="313">
        <v>40884</v>
      </c>
      <c r="E247" s="313">
        <v>20442</v>
      </c>
      <c r="F247" s="313">
        <v>61326</v>
      </c>
      <c r="G247" s="315" t="s">
        <v>882</v>
      </c>
      <c r="H247" s="320" t="e">
        <v>#N/A</v>
      </c>
      <c r="I247" s="314" t="s">
        <v>1167</v>
      </c>
    </row>
    <row r="248" spans="1:9" ht="17.25" customHeight="1" x14ac:dyDescent="0.25">
      <c r="A248" s="316" t="s">
        <v>886</v>
      </c>
      <c r="B248" s="314" t="s">
        <v>38</v>
      </c>
      <c r="C248" s="314" t="s">
        <v>60</v>
      </c>
      <c r="D248" s="314">
        <v>42719.8</v>
      </c>
      <c r="E248" s="314">
        <v>21359.9</v>
      </c>
      <c r="F248" s="314">
        <v>64079.700000000004</v>
      </c>
      <c r="G248" s="317" t="s">
        <v>882</v>
      </c>
      <c r="H248" s="320" t="e">
        <v>#N/A</v>
      </c>
      <c r="I248" s="314" t="s">
        <v>1167</v>
      </c>
    </row>
    <row r="249" spans="1:9" ht="17.25" customHeight="1" x14ac:dyDescent="0.25">
      <c r="A249" s="319" t="s">
        <v>886</v>
      </c>
      <c r="B249" s="313" t="s">
        <v>39</v>
      </c>
      <c r="C249" s="313" t="s">
        <v>47</v>
      </c>
      <c r="D249" s="313">
        <v>219.4</v>
      </c>
      <c r="E249" s="313">
        <v>109.7</v>
      </c>
      <c r="F249" s="313">
        <v>329.1</v>
      </c>
      <c r="G249" s="315" t="s">
        <v>882</v>
      </c>
      <c r="H249" s="320" t="e">
        <v>#N/A</v>
      </c>
      <c r="I249" s="314" t="s">
        <v>1167</v>
      </c>
    </row>
    <row r="250" spans="1:9" ht="17.25" customHeight="1" x14ac:dyDescent="0.25">
      <c r="A250" s="316" t="s">
        <v>886</v>
      </c>
      <c r="B250" s="314" t="s">
        <v>39</v>
      </c>
      <c r="C250" s="314" t="s">
        <v>48</v>
      </c>
      <c r="D250" s="314">
        <v>0</v>
      </c>
      <c r="E250" s="314">
        <v>0</v>
      </c>
      <c r="F250" s="314">
        <v>1.0000000000000001E-9</v>
      </c>
      <c r="G250" s="317" t="s">
        <v>882</v>
      </c>
      <c r="H250" s="320" t="e">
        <v>#N/A</v>
      </c>
      <c r="I250" s="314" t="s">
        <v>1167</v>
      </c>
    </row>
    <row r="251" spans="1:9" ht="17.25" customHeight="1" x14ac:dyDescent="0.25">
      <c r="A251" s="319" t="s">
        <v>886</v>
      </c>
      <c r="B251" s="313" t="s">
        <v>39</v>
      </c>
      <c r="C251" s="313" t="s">
        <v>49</v>
      </c>
      <c r="D251" s="313">
        <v>324.3</v>
      </c>
      <c r="E251" s="313">
        <v>162.15</v>
      </c>
      <c r="F251" s="313">
        <v>486.45000000000005</v>
      </c>
      <c r="G251" s="315" t="s">
        <v>882</v>
      </c>
      <c r="H251" s="320" t="e">
        <v>#N/A</v>
      </c>
      <c r="I251" s="314" t="s">
        <v>1167</v>
      </c>
    </row>
    <row r="252" spans="1:9" ht="17.25" customHeight="1" x14ac:dyDescent="0.25">
      <c r="A252" s="316" t="s">
        <v>886</v>
      </c>
      <c r="B252" s="314" t="s">
        <v>39</v>
      </c>
      <c r="C252" s="314" t="s">
        <v>50</v>
      </c>
      <c r="D252" s="314">
        <v>0</v>
      </c>
      <c r="E252" s="314">
        <v>0</v>
      </c>
      <c r="F252" s="314">
        <v>1.0000000000000001E-9</v>
      </c>
      <c r="G252" s="317" t="s">
        <v>882</v>
      </c>
      <c r="H252" s="320" t="e">
        <v>#N/A</v>
      </c>
      <c r="I252" s="314" t="s">
        <v>1167</v>
      </c>
    </row>
    <row r="253" spans="1:9" ht="17.25" customHeight="1" x14ac:dyDescent="0.25">
      <c r="A253" s="319" t="s">
        <v>886</v>
      </c>
      <c r="B253" s="313" t="s">
        <v>39</v>
      </c>
      <c r="C253" s="313" t="s">
        <v>51</v>
      </c>
      <c r="D253" s="313">
        <v>161.19999999999999</v>
      </c>
      <c r="E253" s="313">
        <v>80.599999999999994</v>
      </c>
      <c r="F253" s="313">
        <v>241.79999999999998</v>
      </c>
      <c r="G253" s="315" t="s">
        <v>882</v>
      </c>
      <c r="H253" s="320" t="e">
        <v>#N/A</v>
      </c>
      <c r="I253" s="314" t="s">
        <v>1167</v>
      </c>
    </row>
    <row r="254" spans="1:9" ht="17.25" customHeight="1" x14ac:dyDescent="0.25">
      <c r="A254" s="316" t="s">
        <v>886</v>
      </c>
      <c r="B254" s="314" t="s">
        <v>39</v>
      </c>
      <c r="C254" s="314" t="s">
        <v>52</v>
      </c>
      <c r="D254" s="314">
        <v>0</v>
      </c>
      <c r="E254" s="314">
        <v>0</v>
      </c>
      <c r="F254" s="314">
        <v>1.0000000000000001E-9</v>
      </c>
      <c r="G254" s="317" t="s">
        <v>882</v>
      </c>
      <c r="H254" s="320" t="e">
        <v>#N/A</v>
      </c>
      <c r="I254" s="314" t="s">
        <v>1167</v>
      </c>
    </row>
    <row r="255" spans="1:9" ht="17.25" customHeight="1" x14ac:dyDescent="0.25">
      <c r="A255" s="319" t="s">
        <v>886</v>
      </c>
      <c r="B255" s="313" t="s">
        <v>39</v>
      </c>
      <c r="C255" s="313" t="s">
        <v>53</v>
      </c>
      <c r="D255" s="313">
        <v>320.8</v>
      </c>
      <c r="E255" s="313">
        <v>160.4</v>
      </c>
      <c r="F255" s="313">
        <v>481.20000000000005</v>
      </c>
      <c r="G255" s="315" t="s">
        <v>882</v>
      </c>
      <c r="H255" s="320" t="e">
        <v>#N/A</v>
      </c>
      <c r="I255" s="314" t="s">
        <v>1167</v>
      </c>
    </row>
    <row r="256" spans="1:9" ht="17.25" customHeight="1" x14ac:dyDescent="0.25">
      <c r="A256" s="316" t="s">
        <v>886</v>
      </c>
      <c r="B256" s="314" t="s">
        <v>39</v>
      </c>
      <c r="C256" s="314" t="s">
        <v>54</v>
      </c>
      <c r="D256" s="314">
        <v>0</v>
      </c>
      <c r="E256" s="314">
        <v>0</v>
      </c>
      <c r="F256" s="314">
        <v>1.0000000000000001E-9</v>
      </c>
      <c r="G256" s="317" t="s">
        <v>882</v>
      </c>
      <c r="H256" s="320" t="e">
        <v>#N/A</v>
      </c>
      <c r="I256" s="314" t="s">
        <v>1167</v>
      </c>
    </row>
    <row r="257" spans="1:9" ht="17.25" customHeight="1" x14ac:dyDescent="0.25">
      <c r="A257" s="319" t="s">
        <v>886</v>
      </c>
      <c r="B257" s="313" t="s">
        <v>39</v>
      </c>
      <c r="C257" s="313" t="s">
        <v>55</v>
      </c>
      <c r="D257" s="313">
        <v>626.6</v>
      </c>
      <c r="E257" s="313">
        <v>313.3</v>
      </c>
      <c r="F257" s="313">
        <v>939.90000000000009</v>
      </c>
      <c r="G257" s="315" t="s">
        <v>882</v>
      </c>
      <c r="H257" s="320" t="e">
        <v>#N/A</v>
      </c>
      <c r="I257" s="314" t="s">
        <v>1167</v>
      </c>
    </row>
    <row r="258" spans="1:9" ht="17.25" customHeight="1" x14ac:dyDescent="0.25">
      <c r="A258" s="316" t="s">
        <v>886</v>
      </c>
      <c r="B258" s="314" t="s">
        <v>39</v>
      </c>
      <c r="C258" s="314" t="s">
        <v>56</v>
      </c>
      <c r="D258" s="314">
        <v>0</v>
      </c>
      <c r="E258" s="314">
        <v>0</v>
      </c>
      <c r="F258" s="314">
        <v>1.0000000000000001E-9</v>
      </c>
      <c r="G258" s="317" t="s">
        <v>882</v>
      </c>
      <c r="H258" s="320" t="e">
        <v>#N/A</v>
      </c>
      <c r="I258" s="314" t="s">
        <v>1167</v>
      </c>
    </row>
    <row r="259" spans="1:9" ht="17.25" customHeight="1" x14ac:dyDescent="0.25">
      <c r="A259" s="319" t="s">
        <v>886</v>
      </c>
      <c r="B259" s="313" t="s">
        <v>39</v>
      </c>
      <c r="C259" s="313" t="s">
        <v>57</v>
      </c>
      <c r="D259" s="313">
        <v>626.6</v>
      </c>
      <c r="E259" s="313">
        <v>313.3</v>
      </c>
      <c r="F259" s="313">
        <v>939.90000000000009</v>
      </c>
      <c r="G259" s="315" t="s">
        <v>882</v>
      </c>
      <c r="H259" s="320" t="e">
        <v>#N/A</v>
      </c>
      <c r="I259" s="314" t="s">
        <v>1167</v>
      </c>
    </row>
    <row r="260" spans="1:9" ht="17.25" customHeight="1" x14ac:dyDescent="0.25">
      <c r="A260" s="316" t="s">
        <v>886</v>
      </c>
      <c r="B260" s="314" t="s">
        <v>39</v>
      </c>
      <c r="C260" s="314" t="s">
        <v>58</v>
      </c>
      <c r="D260" s="314">
        <v>0</v>
      </c>
      <c r="E260" s="314">
        <v>0</v>
      </c>
      <c r="F260" s="314">
        <v>1.0000000000000001E-9</v>
      </c>
      <c r="G260" s="317" t="s">
        <v>882</v>
      </c>
      <c r="H260" s="320" t="e">
        <v>#N/A</v>
      </c>
      <c r="I260" s="314" t="s">
        <v>1167</v>
      </c>
    </row>
    <row r="261" spans="1:9" ht="17.25" customHeight="1" x14ac:dyDescent="0.25">
      <c r="A261" s="319" t="s">
        <v>886</v>
      </c>
      <c r="B261" s="313" t="s">
        <v>39</v>
      </c>
      <c r="C261" s="313" t="s">
        <v>59</v>
      </c>
      <c r="D261" s="313">
        <v>553.9</v>
      </c>
      <c r="E261" s="313">
        <v>276.95</v>
      </c>
      <c r="F261" s="313">
        <v>830.84999999999991</v>
      </c>
      <c r="G261" s="315" t="s">
        <v>882</v>
      </c>
      <c r="H261" s="320" t="e">
        <v>#N/A</v>
      </c>
      <c r="I261" s="314" t="s">
        <v>1167</v>
      </c>
    </row>
    <row r="262" spans="1:9" ht="17.25" customHeight="1" x14ac:dyDescent="0.25">
      <c r="A262" s="316" t="s">
        <v>886</v>
      </c>
      <c r="B262" s="314" t="s">
        <v>39</v>
      </c>
      <c r="C262" s="314" t="s">
        <v>60</v>
      </c>
      <c r="D262" s="314">
        <v>0</v>
      </c>
      <c r="E262" s="314">
        <v>0</v>
      </c>
      <c r="F262" s="314">
        <v>1.0000000000000001E-9</v>
      </c>
      <c r="G262" s="317" t="s">
        <v>882</v>
      </c>
      <c r="H262" s="320" t="e">
        <v>#N/A</v>
      </c>
      <c r="I262" s="314" t="s">
        <v>1167</v>
      </c>
    </row>
    <row r="263" spans="1:9" ht="17.25" customHeight="1" x14ac:dyDescent="0.25">
      <c r="A263" s="319" t="s">
        <v>886</v>
      </c>
      <c r="B263" s="313" t="s">
        <v>42</v>
      </c>
      <c r="C263" s="313" t="s">
        <v>47</v>
      </c>
      <c r="D263" s="313">
        <v>51.3</v>
      </c>
      <c r="E263" s="313">
        <v>46.25</v>
      </c>
      <c r="F263" s="313">
        <v>62.8</v>
      </c>
      <c r="G263" s="315" t="s">
        <v>888</v>
      </c>
      <c r="H263" s="320" t="s">
        <v>1106</v>
      </c>
      <c r="I263" s="314" t="s">
        <v>1162</v>
      </c>
    </row>
    <row r="264" spans="1:9" ht="17.25" customHeight="1" x14ac:dyDescent="0.25">
      <c r="A264" s="316" t="s">
        <v>886</v>
      </c>
      <c r="B264" s="314" t="s">
        <v>42</v>
      </c>
      <c r="C264" s="314" t="s">
        <v>48</v>
      </c>
      <c r="D264" s="314">
        <v>51.2</v>
      </c>
      <c r="E264" s="314">
        <v>46.25</v>
      </c>
      <c r="F264" s="314">
        <v>62.8</v>
      </c>
      <c r="G264" s="317" t="s">
        <v>888</v>
      </c>
      <c r="H264" s="320" t="s">
        <v>1106</v>
      </c>
      <c r="I264" s="314" t="s">
        <v>1162</v>
      </c>
    </row>
    <row r="265" spans="1:9" ht="17.25" customHeight="1" x14ac:dyDescent="0.25">
      <c r="A265" s="319" t="s">
        <v>886</v>
      </c>
      <c r="B265" s="313" t="s">
        <v>42</v>
      </c>
      <c r="C265" s="313" t="s">
        <v>49</v>
      </c>
      <c r="D265" s="313">
        <v>52.3</v>
      </c>
      <c r="E265" s="313">
        <v>46.25</v>
      </c>
      <c r="F265" s="313">
        <v>62.8</v>
      </c>
      <c r="G265" s="315" t="s">
        <v>888</v>
      </c>
      <c r="H265" s="320" t="s">
        <v>1106</v>
      </c>
      <c r="I265" s="314" t="s">
        <v>1162</v>
      </c>
    </row>
    <row r="266" spans="1:9" ht="17.25" customHeight="1" x14ac:dyDescent="0.25">
      <c r="A266" s="316" t="s">
        <v>886</v>
      </c>
      <c r="B266" s="314" t="s">
        <v>42</v>
      </c>
      <c r="C266" s="314" t="s">
        <v>50</v>
      </c>
      <c r="D266" s="314">
        <v>52.3</v>
      </c>
      <c r="E266" s="314">
        <v>46.25</v>
      </c>
      <c r="F266" s="314">
        <v>62.8</v>
      </c>
      <c r="G266" s="317" t="s">
        <v>888</v>
      </c>
      <c r="H266" s="320" t="s">
        <v>1106</v>
      </c>
      <c r="I266" s="314" t="s">
        <v>1162</v>
      </c>
    </row>
    <row r="267" spans="1:9" ht="17.25" customHeight="1" x14ac:dyDescent="0.25">
      <c r="A267" s="319" t="s">
        <v>886</v>
      </c>
      <c r="B267" s="313" t="s">
        <v>42</v>
      </c>
      <c r="C267" s="313" t="s">
        <v>51</v>
      </c>
      <c r="D267" s="313">
        <v>53.9</v>
      </c>
      <c r="E267" s="313">
        <v>44.4</v>
      </c>
      <c r="F267" s="313">
        <v>66.599999999999994</v>
      </c>
      <c r="G267" s="315" t="s">
        <v>888</v>
      </c>
      <c r="H267" s="320" t="s">
        <v>1106</v>
      </c>
      <c r="I267" s="314" t="s">
        <v>1162</v>
      </c>
    </row>
    <row r="268" spans="1:9" ht="17.25" customHeight="1" x14ac:dyDescent="0.25">
      <c r="A268" s="316" t="s">
        <v>886</v>
      </c>
      <c r="B268" s="314" t="s">
        <v>42</v>
      </c>
      <c r="C268" s="314" t="s">
        <v>52</v>
      </c>
      <c r="D268" s="314">
        <v>53.9</v>
      </c>
      <c r="E268" s="314">
        <v>44.4</v>
      </c>
      <c r="F268" s="314">
        <v>66.599999999999994</v>
      </c>
      <c r="G268" s="317" t="s">
        <v>888</v>
      </c>
      <c r="H268" s="320" t="s">
        <v>1106</v>
      </c>
      <c r="I268" s="314" t="s">
        <v>1162</v>
      </c>
    </row>
    <row r="269" spans="1:9" ht="17.25" customHeight="1" x14ac:dyDescent="0.25">
      <c r="A269" s="319" t="s">
        <v>886</v>
      </c>
      <c r="B269" s="313" t="s">
        <v>42</v>
      </c>
      <c r="C269" s="313" t="s">
        <v>53</v>
      </c>
      <c r="D269" s="313">
        <v>53.9</v>
      </c>
      <c r="E269" s="313">
        <v>44.4</v>
      </c>
      <c r="F269" s="313">
        <v>66.599999999999994</v>
      </c>
      <c r="G269" s="315" t="s">
        <v>888</v>
      </c>
      <c r="H269" s="320" t="s">
        <v>1106</v>
      </c>
      <c r="I269" s="314" t="s">
        <v>1162</v>
      </c>
    </row>
    <row r="270" spans="1:9" ht="17.25" customHeight="1" x14ac:dyDescent="0.25">
      <c r="A270" s="316" t="s">
        <v>886</v>
      </c>
      <c r="B270" s="314" t="s">
        <v>42</v>
      </c>
      <c r="C270" s="314" t="s">
        <v>54</v>
      </c>
      <c r="D270" s="314">
        <v>53.9</v>
      </c>
      <c r="E270" s="314">
        <v>44.4</v>
      </c>
      <c r="F270" s="314">
        <v>66.599999999999994</v>
      </c>
      <c r="G270" s="317" t="s">
        <v>888</v>
      </c>
      <c r="H270" s="320" t="s">
        <v>1106</v>
      </c>
      <c r="I270" s="314" t="s">
        <v>1162</v>
      </c>
    </row>
    <row r="271" spans="1:9" ht="17.25" customHeight="1" x14ac:dyDescent="0.25">
      <c r="A271" s="319" t="s">
        <v>886</v>
      </c>
      <c r="B271" s="313" t="s">
        <v>42</v>
      </c>
      <c r="C271" s="313" t="s">
        <v>55</v>
      </c>
      <c r="D271" s="313">
        <v>64.8</v>
      </c>
      <c r="E271" s="313">
        <v>54.01338423</v>
      </c>
      <c r="F271" s="313">
        <v>77.779273290000006</v>
      </c>
      <c r="G271" s="315" t="s">
        <v>887</v>
      </c>
      <c r="H271" s="320" t="e">
        <v>#N/A</v>
      </c>
      <c r="I271" s="314" t="s">
        <v>1174</v>
      </c>
    </row>
    <row r="272" spans="1:9" ht="17.25" customHeight="1" x14ac:dyDescent="0.25">
      <c r="A272" s="316" t="s">
        <v>886</v>
      </c>
      <c r="B272" s="314" t="s">
        <v>42</v>
      </c>
      <c r="C272" s="314" t="s">
        <v>56</v>
      </c>
      <c r="D272" s="314">
        <v>63.8</v>
      </c>
      <c r="E272" s="314">
        <v>53.193339780000002</v>
      </c>
      <c r="F272" s="314">
        <v>76.598409290000006</v>
      </c>
      <c r="G272" s="317" t="s">
        <v>887</v>
      </c>
      <c r="H272" s="320" t="e">
        <v>#N/A</v>
      </c>
      <c r="I272" s="314" t="s">
        <v>1174</v>
      </c>
    </row>
    <row r="273" spans="1:9" ht="17.25" customHeight="1" x14ac:dyDescent="0.25">
      <c r="A273" s="319" t="s">
        <v>886</v>
      </c>
      <c r="B273" s="313" t="s">
        <v>42</v>
      </c>
      <c r="C273" s="313" t="s">
        <v>57</v>
      </c>
      <c r="D273" s="313">
        <v>79.599999999999994</v>
      </c>
      <c r="E273" s="313">
        <v>66.292589489999997</v>
      </c>
      <c r="F273" s="313">
        <v>95.461328859999995</v>
      </c>
      <c r="G273" s="315" t="s">
        <v>887</v>
      </c>
      <c r="H273" s="320" t="e">
        <v>#N/A</v>
      </c>
      <c r="I273" s="314" t="s">
        <v>1174</v>
      </c>
    </row>
    <row r="274" spans="1:9" ht="17.25" customHeight="1" x14ac:dyDescent="0.25">
      <c r="A274" s="316" t="s">
        <v>886</v>
      </c>
      <c r="B274" s="314" t="s">
        <v>42</v>
      </c>
      <c r="C274" s="314" t="s">
        <v>58</v>
      </c>
      <c r="D274" s="314">
        <v>74.400000000000006</v>
      </c>
      <c r="E274" s="314">
        <v>61.978837630000001</v>
      </c>
      <c r="F274" s="314">
        <v>89.249526189999997</v>
      </c>
      <c r="G274" s="317" t="s">
        <v>887</v>
      </c>
      <c r="H274" s="320" t="e">
        <v>#N/A</v>
      </c>
      <c r="I274" s="314" t="s">
        <v>1174</v>
      </c>
    </row>
    <row r="275" spans="1:9" ht="17.25" customHeight="1" x14ac:dyDescent="0.25">
      <c r="A275" s="319" t="s">
        <v>886</v>
      </c>
      <c r="B275" s="313" t="s">
        <v>42</v>
      </c>
      <c r="C275" s="313" t="s">
        <v>59</v>
      </c>
      <c r="D275" s="313">
        <v>49.7</v>
      </c>
      <c r="E275" s="313">
        <v>41.44727073</v>
      </c>
      <c r="F275" s="313">
        <v>59.68406985</v>
      </c>
      <c r="G275" s="315" t="s">
        <v>887</v>
      </c>
      <c r="H275" s="320" t="e">
        <v>#N/A</v>
      </c>
      <c r="I275" s="314" t="s">
        <v>1174</v>
      </c>
    </row>
    <row r="276" spans="1:9" ht="17.25" customHeight="1" x14ac:dyDescent="0.25">
      <c r="A276" s="316" t="s">
        <v>886</v>
      </c>
      <c r="B276" s="314" t="s">
        <v>42</v>
      </c>
      <c r="C276" s="314" t="s">
        <v>60</v>
      </c>
      <c r="D276" s="314">
        <v>45.4</v>
      </c>
      <c r="E276" s="314">
        <v>37.849689249999997</v>
      </c>
      <c r="F276" s="314">
        <v>54.50355252</v>
      </c>
      <c r="G276" s="317" t="s">
        <v>887</v>
      </c>
      <c r="H276" s="320" t="e">
        <v>#N/A</v>
      </c>
      <c r="I276" s="314" t="s">
        <v>1174</v>
      </c>
    </row>
    <row r="277" spans="1:9" ht="17.25" customHeight="1" x14ac:dyDescent="0.25">
      <c r="A277" s="319" t="s">
        <v>886</v>
      </c>
      <c r="B277" s="313" t="s">
        <v>46</v>
      </c>
      <c r="C277" s="313" t="s">
        <v>47</v>
      </c>
      <c r="D277" s="313">
        <v>2.0500000000000001E-2</v>
      </c>
      <c r="E277" s="313">
        <v>1E-3</v>
      </c>
      <c r="F277" s="313">
        <v>0.04</v>
      </c>
      <c r="G277" s="315" t="s">
        <v>885</v>
      </c>
      <c r="H277" s="320" t="s">
        <v>960</v>
      </c>
      <c r="I277" s="314" t="s">
        <v>1162</v>
      </c>
    </row>
    <row r="278" spans="1:9" ht="17.25" customHeight="1" x14ac:dyDescent="0.25">
      <c r="A278" s="316" t="s">
        <v>886</v>
      </c>
      <c r="B278" s="314" t="s">
        <v>46</v>
      </c>
      <c r="C278" s="314" t="s">
        <v>48</v>
      </c>
      <c r="D278" s="314">
        <v>2.0500000000000001E-2</v>
      </c>
      <c r="E278" s="314">
        <v>1E-3</v>
      </c>
      <c r="F278" s="314">
        <v>0.04</v>
      </c>
      <c r="G278" s="317" t="s">
        <v>885</v>
      </c>
      <c r="H278" s="320" t="s">
        <v>960</v>
      </c>
      <c r="I278" s="314" t="s">
        <v>1162</v>
      </c>
    </row>
    <row r="279" spans="1:9" ht="17.25" customHeight="1" x14ac:dyDescent="0.25">
      <c r="A279" s="319" t="s">
        <v>886</v>
      </c>
      <c r="B279" s="313" t="s">
        <v>46</v>
      </c>
      <c r="C279" s="313" t="s">
        <v>49</v>
      </c>
      <c r="D279" s="313">
        <v>2.0500000000000001E-2</v>
      </c>
      <c r="E279" s="313">
        <v>1E-3</v>
      </c>
      <c r="F279" s="313">
        <v>0.04</v>
      </c>
      <c r="G279" s="315" t="s">
        <v>885</v>
      </c>
      <c r="H279" s="320" t="s">
        <v>960</v>
      </c>
      <c r="I279" s="314" t="s">
        <v>1162</v>
      </c>
    </row>
    <row r="280" spans="1:9" ht="17.25" customHeight="1" x14ac:dyDescent="0.25">
      <c r="A280" s="316" t="s">
        <v>886</v>
      </c>
      <c r="B280" s="314" t="s">
        <v>46</v>
      </c>
      <c r="C280" s="314" t="s">
        <v>50</v>
      </c>
      <c r="D280" s="314">
        <v>2.0500000000000001E-2</v>
      </c>
      <c r="E280" s="314">
        <v>1E-3</v>
      </c>
      <c r="F280" s="314">
        <v>0.04</v>
      </c>
      <c r="G280" s="317" t="s">
        <v>885</v>
      </c>
      <c r="H280" s="320" t="s">
        <v>960</v>
      </c>
      <c r="I280" s="314" t="s">
        <v>1162</v>
      </c>
    </row>
    <row r="281" spans="1:9" ht="17.25" customHeight="1" x14ac:dyDescent="0.25">
      <c r="A281" s="319" t="s">
        <v>886</v>
      </c>
      <c r="B281" s="313" t="s">
        <v>46</v>
      </c>
      <c r="C281" s="313" t="s">
        <v>51</v>
      </c>
      <c r="D281" s="313">
        <v>2.0500000000000001E-2</v>
      </c>
      <c r="E281" s="313">
        <v>1E-3</v>
      </c>
      <c r="F281" s="313">
        <v>0.04</v>
      </c>
      <c r="G281" s="315" t="s">
        <v>885</v>
      </c>
      <c r="H281" s="320" t="s">
        <v>960</v>
      </c>
      <c r="I281" s="314" t="s">
        <v>1162</v>
      </c>
    </row>
    <row r="282" spans="1:9" ht="17.25" customHeight="1" x14ac:dyDescent="0.25">
      <c r="A282" s="316" t="s">
        <v>886</v>
      </c>
      <c r="B282" s="314" t="s">
        <v>46</v>
      </c>
      <c r="C282" s="314" t="s">
        <v>52</v>
      </c>
      <c r="D282" s="314">
        <v>2.0500000000000001E-2</v>
      </c>
      <c r="E282" s="314">
        <v>1E-3</v>
      </c>
      <c r="F282" s="314">
        <v>0.04</v>
      </c>
      <c r="G282" s="317" t="s">
        <v>885</v>
      </c>
      <c r="H282" s="320" t="s">
        <v>960</v>
      </c>
      <c r="I282" s="314" t="s">
        <v>1162</v>
      </c>
    </row>
    <row r="283" spans="1:9" ht="17.25" customHeight="1" x14ac:dyDescent="0.25">
      <c r="A283" s="319" t="s">
        <v>886</v>
      </c>
      <c r="B283" s="313" t="s">
        <v>46</v>
      </c>
      <c r="C283" s="313" t="s">
        <v>53</v>
      </c>
      <c r="D283" s="313">
        <v>2.0500000000000001E-2</v>
      </c>
      <c r="E283" s="313">
        <v>1E-3</v>
      </c>
      <c r="F283" s="313">
        <v>0.04</v>
      </c>
      <c r="G283" s="315" t="s">
        <v>885</v>
      </c>
      <c r="H283" s="320" t="s">
        <v>960</v>
      </c>
      <c r="I283" s="314" t="s">
        <v>1162</v>
      </c>
    </row>
    <row r="284" spans="1:9" ht="17.25" customHeight="1" x14ac:dyDescent="0.25">
      <c r="A284" s="316" t="s">
        <v>886</v>
      </c>
      <c r="B284" s="314" t="s">
        <v>46</v>
      </c>
      <c r="C284" s="314" t="s">
        <v>54</v>
      </c>
      <c r="D284" s="314">
        <v>2.0500000000000001E-2</v>
      </c>
      <c r="E284" s="314">
        <v>1E-3</v>
      </c>
      <c r="F284" s="314">
        <v>0.04</v>
      </c>
      <c r="G284" s="317" t="s">
        <v>885</v>
      </c>
      <c r="H284" s="320" t="s">
        <v>960</v>
      </c>
      <c r="I284" s="314" t="s">
        <v>1162</v>
      </c>
    </row>
    <row r="285" spans="1:9" ht="17.25" customHeight="1" x14ac:dyDescent="0.25">
      <c r="A285" s="319" t="s">
        <v>886</v>
      </c>
      <c r="B285" s="313" t="s">
        <v>46</v>
      </c>
      <c r="C285" s="313" t="s">
        <v>55</v>
      </c>
      <c r="D285" s="313">
        <v>5.4999999999999997E-3</v>
      </c>
      <c r="E285" s="313">
        <v>1E-3</v>
      </c>
      <c r="F285" s="313">
        <v>0.01</v>
      </c>
      <c r="G285" s="315" t="s">
        <v>885</v>
      </c>
      <c r="H285" s="320" t="s">
        <v>960</v>
      </c>
      <c r="I285" s="314" t="s">
        <v>1162</v>
      </c>
    </row>
    <row r="286" spans="1:9" ht="17.25" customHeight="1" x14ac:dyDescent="0.25">
      <c r="A286" s="316" t="s">
        <v>886</v>
      </c>
      <c r="B286" s="314" t="s">
        <v>46</v>
      </c>
      <c r="C286" s="314" t="s">
        <v>56</v>
      </c>
      <c r="D286" s="314">
        <v>5.4999999999999997E-3</v>
      </c>
      <c r="E286" s="314">
        <v>1E-3</v>
      </c>
      <c r="F286" s="314">
        <v>0.01</v>
      </c>
      <c r="G286" s="317" t="s">
        <v>885</v>
      </c>
      <c r="H286" s="320" t="s">
        <v>960</v>
      </c>
      <c r="I286" s="314" t="s">
        <v>1162</v>
      </c>
    </row>
    <row r="287" spans="1:9" ht="17.25" customHeight="1" x14ac:dyDescent="0.25">
      <c r="A287" s="319" t="s">
        <v>886</v>
      </c>
      <c r="B287" s="313" t="s">
        <v>46</v>
      </c>
      <c r="C287" s="313" t="s">
        <v>57</v>
      </c>
      <c r="D287" s="313">
        <v>5.4999999999999997E-3</v>
      </c>
      <c r="E287" s="313">
        <v>1E-3</v>
      </c>
      <c r="F287" s="313">
        <v>0.01</v>
      </c>
      <c r="G287" s="315" t="s">
        <v>885</v>
      </c>
      <c r="H287" s="320" t="s">
        <v>960</v>
      </c>
      <c r="I287" s="314" t="s">
        <v>1162</v>
      </c>
    </row>
    <row r="288" spans="1:9" ht="17.25" customHeight="1" x14ac:dyDescent="0.25">
      <c r="A288" s="316" t="s">
        <v>886</v>
      </c>
      <c r="B288" s="314" t="s">
        <v>46</v>
      </c>
      <c r="C288" s="314" t="s">
        <v>58</v>
      </c>
      <c r="D288" s="314">
        <v>5.4999999999999997E-3</v>
      </c>
      <c r="E288" s="314">
        <v>1E-3</v>
      </c>
      <c r="F288" s="314">
        <v>0.01</v>
      </c>
      <c r="G288" s="317" t="s">
        <v>885</v>
      </c>
      <c r="H288" s="320" t="s">
        <v>960</v>
      </c>
      <c r="I288" s="314" t="s">
        <v>1162</v>
      </c>
    </row>
    <row r="289" spans="1:9" ht="17.25" customHeight="1" x14ac:dyDescent="0.25">
      <c r="A289" s="319" t="s">
        <v>886</v>
      </c>
      <c r="B289" s="313" t="s">
        <v>46</v>
      </c>
      <c r="C289" s="313" t="s">
        <v>59</v>
      </c>
      <c r="D289" s="313">
        <v>5.4999999999999997E-3</v>
      </c>
      <c r="E289" s="313">
        <v>1E-3</v>
      </c>
      <c r="F289" s="313">
        <v>0.01</v>
      </c>
      <c r="G289" s="315" t="s">
        <v>885</v>
      </c>
      <c r="H289" s="320" t="s">
        <v>960</v>
      </c>
      <c r="I289" s="314" t="s">
        <v>1162</v>
      </c>
    </row>
    <row r="290" spans="1:9" ht="17.25" customHeight="1" x14ac:dyDescent="0.25">
      <c r="A290" s="316" t="s">
        <v>886</v>
      </c>
      <c r="B290" s="314" t="s">
        <v>46</v>
      </c>
      <c r="C290" s="314" t="s">
        <v>60</v>
      </c>
      <c r="D290" s="314">
        <v>5.4999999999999997E-3</v>
      </c>
      <c r="E290" s="314">
        <v>1E-3</v>
      </c>
      <c r="F290" s="314">
        <v>0.01</v>
      </c>
      <c r="G290" s="317" t="s">
        <v>885</v>
      </c>
      <c r="H290" s="320" t="s">
        <v>960</v>
      </c>
      <c r="I290" s="314" t="s">
        <v>1162</v>
      </c>
    </row>
    <row r="291" spans="1:9" ht="17.25" customHeight="1" x14ac:dyDescent="0.25">
      <c r="A291" s="319" t="s">
        <v>879</v>
      </c>
      <c r="B291" s="313" t="s">
        <v>31</v>
      </c>
      <c r="C291" s="32" t="s">
        <v>308</v>
      </c>
      <c r="D291" s="313">
        <v>40</v>
      </c>
      <c r="E291" s="313">
        <v>25</v>
      </c>
      <c r="F291" s="313">
        <v>55</v>
      </c>
      <c r="G291" s="315" t="s">
        <v>1177</v>
      </c>
      <c r="H291" s="320" t="s">
        <v>1020</v>
      </c>
      <c r="I291" s="314" t="s">
        <v>1176</v>
      </c>
    </row>
    <row r="292" spans="1:9" ht="17.25" customHeight="1" x14ac:dyDescent="0.25">
      <c r="A292" s="316" t="s">
        <v>879</v>
      </c>
      <c r="B292" s="314" t="s">
        <v>31</v>
      </c>
      <c r="C292" s="32" t="s">
        <v>309</v>
      </c>
      <c r="D292" s="314">
        <v>20</v>
      </c>
      <c r="E292" s="314">
        <v>12.5</v>
      </c>
      <c r="F292" s="314">
        <v>25</v>
      </c>
      <c r="G292" s="317" t="s">
        <v>884</v>
      </c>
      <c r="H292" s="320" t="s">
        <v>1108</v>
      </c>
      <c r="I292" s="314" t="s">
        <v>1162</v>
      </c>
    </row>
    <row r="293" spans="1:9" ht="17.25" customHeight="1" x14ac:dyDescent="0.25">
      <c r="A293" s="319" t="s">
        <v>879</v>
      </c>
      <c r="B293" s="313" t="s">
        <v>31</v>
      </c>
      <c r="C293" s="32" t="s">
        <v>310</v>
      </c>
      <c r="D293" s="313">
        <v>20</v>
      </c>
      <c r="E293" s="313">
        <v>12.5</v>
      </c>
      <c r="F293" s="313">
        <v>25</v>
      </c>
      <c r="G293" s="315" t="s">
        <v>883</v>
      </c>
      <c r="H293" s="320" t="s">
        <v>1108</v>
      </c>
      <c r="I293" s="314" t="s">
        <v>1162</v>
      </c>
    </row>
    <row r="294" spans="1:9" ht="17.25" customHeight="1" x14ac:dyDescent="0.25">
      <c r="A294" s="316" t="s">
        <v>879</v>
      </c>
      <c r="B294" s="314" t="s">
        <v>31</v>
      </c>
      <c r="C294" s="32" t="s">
        <v>311</v>
      </c>
      <c r="D294" s="314">
        <v>25</v>
      </c>
      <c r="E294" s="314">
        <v>10</v>
      </c>
      <c r="F294" s="314">
        <v>50</v>
      </c>
      <c r="G294" s="317" t="s">
        <v>1178</v>
      </c>
      <c r="H294" s="320" t="s">
        <v>1110</v>
      </c>
      <c r="I294" s="314" t="s">
        <v>1162</v>
      </c>
    </row>
    <row r="295" spans="1:9" ht="17.25" customHeight="1" x14ac:dyDescent="0.25">
      <c r="A295" s="319" t="s">
        <v>879</v>
      </c>
      <c r="B295" s="313" t="s">
        <v>31</v>
      </c>
      <c r="C295" s="32" t="s">
        <v>312</v>
      </c>
      <c r="D295" s="313">
        <v>25</v>
      </c>
      <c r="E295" s="313">
        <v>10</v>
      </c>
      <c r="F295" s="313">
        <v>50</v>
      </c>
      <c r="G295" s="317" t="s">
        <v>1178</v>
      </c>
      <c r="H295" s="320" t="s">
        <v>1110</v>
      </c>
      <c r="I295" s="314" t="s">
        <v>1162</v>
      </c>
    </row>
    <row r="296" spans="1:9" ht="17.25" customHeight="1" x14ac:dyDescent="0.25">
      <c r="A296" s="316" t="s">
        <v>879</v>
      </c>
      <c r="B296" s="314" t="s">
        <v>31</v>
      </c>
      <c r="C296" s="32" t="s">
        <v>919</v>
      </c>
      <c r="D296" s="314">
        <v>40</v>
      </c>
      <c r="E296" s="314">
        <v>10</v>
      </c>
      <c r="F296" s="314">
        <v>50</v>
      </c>
      <c r="G296" s="317" t="s">
        <v>1175</v>
      </c>
      <c r="H296" s="320" t="s">
        <v>1112</v>
      </c>
      <c r="I296" s="314" t="s">
        <v>1176</v>
      </c>
    </row>
    <row r="297" spans="1:9" ht="17.25" customHeight="1" x14ac:dyDescent="0.25">
      <c r="A297" s="319" t="s">
        <v>879</v>
      </c>
      <c r="B297" s="313" t="s">
        <v>31</v>
      </c>
      <c r="C297" s="32" t="s">
        <v>920</v>
      </c>
      <c r="D297" s="313">
        <v>40</v>
      </c>
      <c r="E297" s="313">
        <v>10</v>
      </c>
      <c r="F297" s="313">
        <v>50</v>
      </c>
      <c r="G297" s="317" t="s">
        <v>1175</v>
      </c>
      <c r="H297" s="320" t="s">
        <v>1112</v>
      </c>
      <c r="I297" s="314" t="s">
        <v>1176</v>
      </c>
    </row>
    <row r="298" spans="1:9" ht="17.25" customHeight="1" x14ac:dyDescent="0.25">
      <c r="A298" s="316" t="s">
        <v>879</v>
      </c>
      <c r="B298" s="314" t="s">
        <v>31</v>
      </c>
      <c r="C298" s="32" t="s">
        <v>313</v>
      </c>
      <c r="D298" s="314">
        <v>40</v>
      </c>
      <c r="E298" s="314">
        <v>10</v>
      </c>
      <c r="F298" s="314">
        <v>50</v>
      </c>
      <c r="G298" s="317" t="s">
        <v>1175</v>
      </c>
      <c r="H298" s="320" t="s">
        <v>1112</v>
      </c>
      <c r="I298" s="314" t="s">
        <v>1176</v>
      </c>
    </row>
    <row r="299" spans="1:9" ht="17.25" customHeight="1" x14ac:dyDescent="0.25">
      <c r="A299" s="319" t="s">
        <v>879</v>
      </c>
      <c r="B299" s="313" t="s">
        <v>31</v>
      </c>
      <c r="C299" s="32" t="s">
        <v>314</v>
      </c>
      <c r="D299" s="313">
        <v>40</v>
      </c>
      <c r="E299" s="313">
        <v>10</v>
      </c>
      <c r="F299" s="313">
        <v>50</v>
      </c>
      <c r="G299" s="317" t="s">
        <v>1175</v>
      </c>
      <c r="H299" s="320" t="s">
        <v>1112</v>
      </c>
      <c r="I299" s="314" t="s">
        <v>1176</v>
      </c>
    </row>
    <row r="300" spans="1:9" ht="17.25" customHeight="1" x14ac:dyDescent="0.25">
      <c r="A300" s="316" t="s">
        <v>879</v>
      </c>
      <c r="B300" s="314" t="s">
        <v>31</v>
      </c>
      <c r="C300" s="32" t="s">
        <v>315</v>
      </c>
      <c r="D300" s="314">
        <v>40</v>
      </c>
      <c r="E300" s="314">
        <v>10</v>
      </c>
      <c r="F300" s="314">
        <v>50</v>
      </c>
      <c r="G300" s="317" t="s">
        <v>1175</v>
      </c>
      <c r="H300" s="320" t="s">
        <v>1112</v>
      </c>
      <c r="I300" s="314" t="s">
        <v>1176</v>
      </c>
    </row>
    <row r="301" spans="1:9" ht="17.25" customHeight="1" x14ac:dyDescent="0.25">
      <c r="A301" s="319" t="s">
        <v>879</v>
      </c>
      <c r="B301" s="313" t="s">
        <v>34</v>
      </c>
      <c r="C301" s="32" t="s">
        <v>308</v>
      </c>
      <c r="D301" s="313">
        <v>206718421.09999999</v>
      </c>
      <c r="E301" s="313">
        <v>103359210.5</v>
      </c>
      <c r="F301" s="313">
        <v>310077631.60000002</v>
      </c>
      <c r="G301" s="315" t="s">
        <v>881</v>
      </c>
      <c r="H301" s="320" t="s">
        <v>1016</v>
      </c>
      <c r="I301" s="314" t="s">
        <v>1173</v>
      </c>
    </row>
    <row r="302" spans="1:9" ht="17.25" customHeight="1" x14ac:dyDescent="0.25">
      <c r="A302" s="316" t="s">
        <v>879</v>
      </c>
      <c r="B302" s="314" t="s">
        <v>34</v>
      </c>
      <c r="C302" s="32" t="s">
        <v>309</v>
      </c>
      <c r="D302" s="314">
        <v>54221000</v>
      </c>
      <c r="E302" s="314">
        <v>27110500</v>
      </c>
      <c r="F302" s="314">
        <v>81331500</v>
      </c>
      <c r="G302" s="317" t="s">
        <v>881</v>
      </c>
      <c r="H302" s="320" t="s">
        <v>1016</v>
      </c>
      <c r="I302" s="314" t="s">
        <v>1173</v>
      </c>
    </row>
    <row r="303" spans="1:9" ht="17.25" customHeight="1" x14ac:dyDescent="0.25">
      <c r="A303" s="319" t="s">
        <v>879</v>
      </c>
      <c r="B303" s="313" t="s">
        <v>34</v>
      </c>
      <c r="C303" s="32" t="s">
        <v>310</v>
      </c>
      <c r="D303" s="313">
        <v>54221000</v>
      </c>
      <c r="E303" s="313">
        <v>27110500</v>
      </c>
      <c r="F303" s="313">
        <v>81331500</v>
      </c>
      <c r="G303" s="315" t="s">
        <v>881</v>
      </c>
      <c r="H303" s="320" t="s">
        <v>1016</v>
      </c>
      <c r="I303" s="314" t="s">
        <v>1173</v>
      </c>
    </row>
    <row r="304" spans="1:9" ht="17.25" customHeight="1" x14ac:dyDescent="0.25">
      <c r="A304" s="316" t="s">
        <v>879</v>
      </c>
      <c r="B304" s="314" t="s">
        <v>34</v>
      </c>
      <c r="C304" s="32" t="s">
        <v>311</v>
      </c>
      <c r="D304" s="314">
        <v>5402146.7740000002</v>
      </c>
      <c r="E304" s="314">
        <v>2701073.3870000001</v>
      </c>
      <c r="F304" s="314">
        <v>8103220.1610000003</v>
      </c>
      <c r="G304" s="317" t="s">
        <v>881</v>
      </c>
      <c r="H304" s="320" t="s">
        <v>1016</v>
      </c>
      <c r="I304" s="314" t="s">
        <v>1173</v>
      </c>
    </row>
    <row r="305" spans="1:9" ht="17.25" customHeight="1" x14ac:dyDescent="0.25">
      <c r="A305" s="319" t="s">
        <v>879</v>
      </c>
      <c r="B305" s="313" t="s">
        <v>34</v>
      </c>
      <c r="C305" s="32" t="s">
        <v>312</v>
      </c>
      <c r="D305" s="313">
        <v>5323840.7740000002</v>
      </c>
      <c r="E305" s="313">
        <v>2661920.3870000001</v>
      </c>
      <c r="F305" s="313">
        <v>7985761.1610000003</v>
      </c>
      <c r="G305" s="315" t="s">
        <v>881</v>
      </c>
      <c r="H305" s="320" t="s">
        <v>1016</v>
      </c>
      <c r="I305" s="314" t="s">
        <v>1173</v>
      </c>
    </row>
    <row r="306" spans="1:9" ht="17.25" customHeight="1" x14ac:dyDescent="0.25">
      <c r="A306" s="316" t="s">
        <v>879</v>
      </c>
      <c r="B306" s="314" t="s">
        <v>34</v>
      </c>
      <c r="C306" s="32" t="s">
        <v>919</v>
      </c>
      <c r="D306" s="314">
        <v>1887750</v>
      </c>
      <c r="E306" s="314">
        <v>943875</v>
      </c>
      <c r="F306" s="314">
        <v>2831625</v>
      </c>
      <c r="G306" s="317" t="s">
        <v>881</v>
      </c>
      <c r="H306" s="320" t="s">
        <v>1016</v>
      </c>
      <c r="I306" s="314" t="s">
        <v>1173</v>
      </c>
    </row>
    <row r="307" spans="1:9" ht="17.25" customHeight="1" x14ac:dyDescent="0.25">
      <c r="A307" s="319" t="s">
        <v>879</v>
      </c>
      <c r="B307" s="313" t="s">
        <v>34</v>
      </c>
      <c r="C307" s="32" t="s">
        <v>920</v>
      </c>
      <c r="D307" s="313">
        <v>3481850</v>
      </c>
      <c r="E307" s="313">
        <v>1740925</v>
      </c>
      <c r="F307" s="313">
        <v>5222775</v>
      </c>
      <c r="G307" s="315" t="s">
        <v>881</v>
      </c>
      <c r="H307" s="320" t="s">
        <v>1016</v>
      </c>
      <c r="I307" s="314" t="s">
        <v>1173</v>
      </c>
    </row>
    <row r="308" spans="1:9" ht="17.25" customHeight="1" x14ac:dyDescent="0.25">
      <c r="A308" s="316" t="s">
        <v>879</v>
      </c>
      <c r="B308" s="314" t="s">
        <v>34</v>
      </c>
      <c r="C308" s="32" t="s">
        <v>313</v>
      </c>
      <c r="D308" s="314">
        <v>88934</v>
      </c>
      <c r="E308" s="314">
        <v>44467</v>
      </c>
      <c r="F308" s="314">
        <v>133401</v>
      </c>
      <c r="G308" s="317" t="s">
        <v>881</v>
      </c>
      <c r="H308" s="320" t="s">
        <v>1016</v>
      </c>
      <c r="I308" s="314" t="s">
        <v>1173</v>
      </c>
    </row>
    <row r="309" spans="1:9" ht="17.25" customHeight="1" x14ac:dyDescent="0.25">
      <c r="A309" s="319" t="s">
        <v>879</v>
      </c>
      <c r="B309" s="313" t="s">
        <v>34</v>
      </c>
      <c r="C309" s="32" t="s">
        <v>314</v>
      </c>
      <c r="D309" s="313">
        <v>174092.5</v>
      </c>
      <c r="E309" s="313">
        <v>87046.25</v>
      </c>
      <c r="F309" s="313">
        <v>261138.75</v>
      </c>
      <c r="G309" s="315" t="s">
        <v>881</v>
      </c>
      <c r="H309" s="320" t="s">
        <v>1016</v>
      </c>
      <c r="I309" s="314" t="s">
        <v>1173</v>
      </c>
    </row>
    <row r="310" spans="1:9" ht="17.25" customHeight="1" x14ac:dyDescent="0.25">
      <c r="A310" s="316" t="s">
        <v>879</v>
      </c>
      <c r="B310" s="314" t="s">
        <v>34</v>
      </c>
      <c r="C310" s="32" t="s">
        <v>315</v>
      </c>
      <c r="D310" s="314">
        <v>9842938.25</v>
      </c>
      <c r="E310" s="314">
        <v>4921469.125</v>
      </c>
      <c r="F310" s="314">
        <v>14764407.380000001</v>
      </c>
      <c r="G310" s="317" t="s">
        <v>881</v>
      </c>
      <c r="H310" s="320" t="s">
        <v>1016</v>
      </c>
      <c r="I310" s="314" t="s">
        <v>1173</v>
      </c>
    </row>
    <row r="311" spans="1:9" ht="17.25" customHeight="1" x14ac:dyDescent="0.25">
      <c r="A311" s="319" t="s">
        <v>879</v>
      </c>
      <c r="B311" s="313" t="s">
        <v>38</v>
      </c>
      <c r="C311" s="32" t="s">
        <v>308</v>
      </c>
      <c r="D311" s="313">
        <v>2067184.2109999999</v>
      </c>
      <c r="E311" s="313">
        <v>1033592.1054999999</v>
      </c>
      <c r="F311" s="313">
        <v>3100776.3164999997</v>
      </c>
      <c r="G311" s="315" t="s">
        <v>882</v>
      </c>
      <c r="H311" s="320" t="e">
        <v>#N/A</v>
      </c>
      <c r="I311" s="314" t="s">
        <v>1167</v>
      </c>
    </row>
    <row r="312" spans="1:9" ht="17.25" customHeight="1" x14ac:dyDescent="0.25">
      <c r="A312" s="316" t="s">
        <v>879</v>
      </c>
      <c r="B312" s="314" t="s">
        <v>38</v>
      </c>
      <c r="C312" s="32" t="s">
        <v>309</v>
      </c>
      <c r="D312" s="314">
        <v>542210</v>
      </c>
      <c r="E312" s="314">
        <v>271105</v>
      </c>
      <c r="F312" s="314">
        <v>813315</v>
      </c>
      <c r="G312" s="317" t="s">
        <v>882</v>
      </c>
      <c r="H312" s="320" t="e">
        <v>#N/A</v>
      </c>
      <c r="I312" s="314" t="s">
        <v>1167</v>
      </c>
    </row>
    <row r="313" spans="1:9" ht="17.25" customHeight="1" x14ac:dyDescent="0.25">
      <c r="A313" s="319" t="s">
        <v>879</v>
      </c>
      <c r="B313" s="313" t="s">
        <v>38</v>
      </c>
      <c r="C313" s="32" t="s">
        <v>310</v>
      </c>
      <c r="D313" s="313">
        <v>542210</v>
      </c>
      <c r="E313" s="313">
        <v>271105</v>
      </c>
      <c r="F313" s="313">
        <v>813315</v>
      </c>
      <c r="G313" s="315" t="s">
        <v>882</v>
      </c>
      <c r="H313" s="320" t="e">
        <v>#N/A</v>
      </c>
      <c r="I313" s="314" t="s">
        <v>1167</v>
      </c>
    </row>
    <row r="314" spans="1:9" ht="17.25" customHeight="1" x14ac:dyDescent="0.25">
      <c r="A314" s="316" t="s">
        <v>879</v>
      </c>
      <c r="B314" s="314" t="s">
        <v>38</v>
      </c>
      <c r="C314" s="32" t="s">
        <v>311</v>
      </c>
      <c r="D314" s="314">
        <v>54021.46774</v>
      </c>
      <c r="E314" s="314">
        <v>27010.73387</v>
      </c>
      <c r="F314" s="314">
        <v>81032.201610000004</v>
      </c>
      <c r="G314" s="317" t="s">
        <v>882</v>
      </c>
      <c r="H314" s="320" t="e">
        <v>#N/A</v>
      </c>
      <c r="I314" s="314" t="s">
        <v>1167</v>
      </c>
    </row>
    <row r="315" spans="1:9" ht="17.25" customHeight="1" x14ac:dyDescent="0.25">
      <c r="A315" s="319" t="s">
        <v>879</v>
      </c>
      <c r="B315" s="313" t="s">
        <v>38</v>
      </c>
      <c r="C315" s="32" t="s">
        <v>312</v>
      </c>
      <c r="D315" s="313">
        <v>53238.407740000002</v>
      </c>
      <c r="E315" s="313">
        <v>26619.203870000001</v>
      </c>
      <c r="F315" s="313">
        <v>79857.611610000007</v>
      </c>
      <c r="G315" s="315" t="s">
        <v>882</v>
      </c>
      <c r="H315" s="320" t="e">
        <v>#N/A</v>
      </c>
      <c r="I315" s="314" t="s">
        <v>1167</v>
      </c>
    </row>
    <row r="316" spans="1:9" ht="17.25" customHeight="1" x14ac:dyDescent="0.25">
      <c r="A316" s="316" t="s">
        <v>879</v>
      </c>
      <c r="B316" s="314" t="s">
        <v>38</v>
      </c>
      <c r="C316" s="32" t="s">
        <v>919</v>
      </c>
      <c r="D316" s="314">
        <v>18877.5</v>
      </c>
      <c r="E316" s="314">
        <v>9438.75</v>
      </c>
      <c r="F316" s="314">
        <v>28316.25</v>
      </c>
      <c r="G316" s="317" t="s">
        <v>882</v>
      </c>
      <c r="H316" s="320" t="e">
        <v>#N/A</v>
      </c>
      <c r="I316" s="314" t="s">
        <v>1167</v>
      </c>
    </row>
    <row r="317" spans="1:9" ht="17.25" customHeight="1" x14ac:dyDescent="0.25">
      <c r="A317" s="319" t="s">
        <v>879</v>
      </c>
      <c r="B317" s="313" t="s">
        <v>38</v>
      </c>
      <c r="C317" s="32" t="s">
        <v>920</v>
      </c>
      <c r="D317" s="313">
        <v>34818.5</v>
      </c>
      <c r="E317" s="313">
        <v>17409.25</v>
      </c>
      <c r="F317" s="313">
        <v>52227.75</v>
      </c>
      <c r="G317" s="315" t="s">
        <v>882</v>
      </c>
      <c r="H317" s="320" t="e">
        <v>#N/A</v>
      </c>
      <c r="I317" s="314" t="s">
        <v>1167</v>
      </c>
    </row>
    <row r="318" spans="1:9" ht="17.25" customHeight="1" x14ac:dyDescent="0.25">
      <c r="A318" s="316" t="s">
        <v>879</v>
      </c>
      <c r="B318" s="314" t="s">
        <v>38</v>
      </c>
      <c r="C318" s="32" t="s">
        <v>313</v>
      </c>
      <c r="D318" s="314">
        <v>889.34</v>
      </c>
      <c r="E318" s="314">
        <v>444.67</v>
      </c>
      <c r="F318" s="314">
        <v>1334.01</v>
      </c>
      <c r="G318" s="317" t="s">
        <v>882</v>
      </c>
      <c r="H318" s="320" t="e">
        <v>#N/A</v>
      </c>
      <c r="I318" s="314" t="s">
        <v>1167</v>
      </c>
    </row>
    <row r="319" spans="1:9" ht="17.25" customHeight="1" x14ac:dyDescent="0.25">
      <c r="A319" s="319" t="s">
        <v>879</v>
      </c>
      <c r="B319" s="313" t="s">
        <v>38</v>
      </c>
      <c r="C319" s="32" t="s">
        <v>314</v>
      </c>
      <c r="D319" s="313">
        <v>1740.925</v>
      </c>
      <c r="E319" s="313">
        <v>870.46249999999998</v>
      </c>
      <c r="F319" s="313">
        <v>2611.3874999999998</v>
      </c>
      <c r="G319" s="315" t="s">
        <v>882</v>
      </c>
      <c r="H319" s="320" t="e">
        <v>#N/A</v>
      </c>
      <c r="I319" s="314" t="s">
        <v>1167</v>
      </c>
    </row>
    <row r="320" spans="1:9" ht="17.25" customHeight="1" x14ac:dyDescent="0.25">
      <c r="A320" s="316" t="s">
        <v>879</v>
      </c>
      <c r="B320" s="314" t="s">
        <v>38</v>
      </c>
      <c r="C320" s="32" t="s">
        <v>315</v>
      </c>
      <c r="D320" s="314">
        <v>98429.382500000007</v>
      </c>
      <c r="E320" s="314">
        <v>49214.691250000003</v>
      </c>
      <c r="F320" s="314">
        <v>147644.07375000001</v>
      </c>
      <c r="G320" s="317" t="s">
        <v>882</v>
      </c>
      <c r="H320" s="320" t="e">
        <v>#N/A</v>
      </c>
      <c r="I320" s="314" t="s">
        <v>1167</v>
      </c>
    </row>
    <row r="321" spans="1:9" ht="17.25" customHeight="1" x14ac:dyDescent="0.25">
      <c r="A321" s="319" t="s">
        <v>879</v>
      </c>
      <c r="B321" s="313" t="s">
        <v>40</v>
      </c>
      <c r="C321" s="32" t="s">
        <v>308</v>
      </c>
      <c r="D321" s="313">
        <v>831996119.89999998</v>
      </c>
      <c r="E321" s="313">
        <v>415998060</v>
      </c>
      <c r="F321" s="313">
        <v>1247994180</v>
      </c>
      <c r="G321" s="315" t="s">
        <v>881</v>
      </c>
      <c r="H321" s="320" t="s">
        <v>1016</v>
      </c>
      <c r="I321" s="314" t="s">
        <v>1173</v>
      </c>
    </row>
    <row r="322" spans="1:9" ht="17.25" customHeight="1" x14ac:dyDescent="0.25">
      <c r="A322" s="316" t="s">
        <v>879</v>
      </c>
      <c r="B322" s="314" t="s">
        <v>40</v>
      </c>
      <c r="C322" s="32" t="s">
        <v>309</v>
      </c>
      <c r="D322" s="314">
        <v>205971925.5</v>
      </c>
      <c r="E322" s="314">
        <v>102985962.8</v>
      </c>
      <c r="F322" s="314">
        <v>308957888.30000001</v>
      </c>
      <c r="G322" s="317" t="s">
        <v>881</v>
      </c>
      <c r="H322" s="320" t="s">
        <v>1016</v>
      </c>
      <c r="I322" s="314" t="s">
        <v>1173</v>
      </c>
    </row>
    <row r="323" spans="1:9" ht="17.25" customHeight="1" x14ac:dyDescent="0.25">
      <c r="A323" s="319" t="s">
        <v>879</v>
      </c>
      <c r="B323" s="313" t="s">
        <v>40</v>
      </c>
      <c r="C323" s="32" t="s">
        <v>310</v>
      </c>
      <c r="D323" s="313">
        <v>205971925.5</v>
      </c>
      <c r="E323" s="313">
        <v>102985962.8</v>
      </c>
      <c r="F323" s="313">
        <v>308957888.30000001</v>
      </c>
      <c r="G323" s="315" t="s">
        <v>881</v>
      </c>
      <c r="H323" s="320" t="s">
        <v>1016</v>
      </c>
      <c r="I323" s="314" t="s">
        <v>1173</v>
      </c>
    </row>
    <row r="324" spans="1:9" ht="17.25" customHeight="1" x14ac:dyDescent="0.25">
      <c r="A324" s="316" t="s">
        <v>879</v>
      </c>
      <c r="B324" s="314" t="s">
        <v>40</v>
      </c>
      <c r="C324" s="32" t="s">
        <v>311</v>
      </c>
      <c r="D324" s="314">
        <v>19830260.609999999</v>
      </c>
      <c r="E324" s="314">
        <v>9915130.3049999997</v>
      </c>
      <c r="F324" s="314">
        <v>29745390.91</v>
      </c>
      <c r="G324" s="317" t="s">
        <v>880</v>
      </c>
      <c r="H324" s="320" t="s">
        <v>1016</v>
      </c>
      <c r="I324" s="314" t="s">
        <v>1173</v>
      </c>
    </row>
    <row r="325" spans="1:9" ht="17.25" customHeight="1" x14ac:dyDescent="0.25">
      <c r="A325" s="319" t="s">
        <v>879</v>
      </c>
      <c r="B325" s="313" t="s">
        <v>40</v>
      </c>
      <c r="C325" s="32" t="s">
        <v>312</v>
      </c>
      <c r="D325" s="313">
        <v>19531431.149999999</v>
      </c>
      <c r="E325" s="313">
        <v>9765715.5749999993</v>
      </c>
      <c r="F325" s="313">
        <v>29297146.719999999</v>
      </c>
      <c r="G325" s="315" t="s">
        <v>878</v>
      </c>
      <c r="H325" s="320" t="s">
        <v>1016</v>
      </c>
      <c r="I325" s="314" t="s">
        <v>1173</v>
      </c>
    </row>
    <row r="326" spans="1:9" ht="17.25" customHeight="1" x14ac:dyDescent="0.25">
      <c r="A326" s="316" t="s">
        <v>879</v>
      </c>
      <c r="B326" s="314" t="s">
        <v>40</v>
      </c>
      <c r="C326" s="32" t="s">
        <v>919</v>
      </c>
      <c r="D326" s="314">
        <v>7096198.6900000004</v>
      </c>
      <c r="E326" s="314">
        <v>3548099.3450000002</v>
      </c>
      <c r="F326" s="314">
        <v>10644298.029999999</v>
      </c>
      <c r="G326" s="317" t="s">
        <v>878</v>
      </c>
      <c r="H326" s="320" t="s">
        <v>1016</v>
      </c>
      <c r="I326" s="314" t="s">
        <v>1173</v>
      </c>
    </row>
    <row r="327" spans="1:9" ht="17.25" customHeight="1" x14ac:dyDescent="0.25">
      <c r="A327" s="319" t="s">
        <v>879</v>
      </c>
      <c r="B327" s="313" t="s">
        <v>40</v>
      </c>
      <c r="C327" s="32" t="s">
        <v>920</v>
      </c>
      <c r="D327" s="313">
        <v>13088544.25</v>
      </c>
      <c r="E327" s="313">
        <v>6544272.125</v>
      </c>
      <c r="F327" s="313">
        <v>19632816.379999999</v>
      </c>
      <c r="G327" s="315" t="s">
        <v>878</v>
      </c>
      <c r="H327" s="320" t="s">
        <v>1016</v>
      </c>
      <c r="I327" s="314" t="s">
        <v>1173</v>
      </c>
    </row>
    <row r="328" spans="1:9" ht="17.25" customHeight="1" x14ac:dyDescent="0.25">
      <c r="A328" s="316" t="s">
        <v>879</v>
      </c>
      <c r="B328" s="314" t="s">
        <v>40</v>
      </c>
      <c r="C328" s="32" t="s">
        <v>313</v>
      </c>
      <c r="D328" s="314">
        <v>334309.80489999999</v>
      </c>
      <c r="E328" s="314">
        <v>167154.9025</v>
      </c>
      <c r="F328" s="314">
        <v>501464.70740000001</v>
      </c>
      <c r="G328" s="317" t="s">
        <v>878</v>
      </c>
      <c r="H328" s="320" t="s">
        <v>1016</v>
      </c>
      <c r="I328" s="314" t="s">
        <v>1173</v>
      </c>
    </row>
    <row r="329" spans="1:9" ht="17.25" customHeight="1" x14ac:dyDescent="0.25">
      <c r="A329" s="319" t="s">
        <v>879</v>
      </c>
      <c r="B329" s="313" t="s">
        <v>40</v>
      </c>
      <c r="C329" s="32" t="s">
        <v>314</v>
      </c>
      <c r="D329" s="313">
        <v>654427.21250000002</v>
      </c>
      <c r="E329" s="313">
        <v>327213.60629999998</v>
      </c>
      <c r="F329" s="313">
        <v>981640.81880000001</v>
      </c>
      <c r="G329" s="315" t="s">
        <v>878</v>
      </c>
      <c r="H329" s="320" t="s">
        <v>1016</v>
      </c>
      <c r="I329" s="314" t="s">
        <v>1173</v>
      </c>
    </row>
    <row r="330" spans="1:9" ht="17.25" customHeight="1" x14ac:dyDescent="0.25">
      <c r="A330" s="316" t="s">
        <v>879</v>
      </c>
      <c r="B330" s="314" t="s">
        <v>40</v>
      </c>
      <c r="C330" s="32" t="s">
        <v>315</v>
      </c>
      <c r="D330" s="314">
        <v>9.8429382499999996</v>
      </c>
      <c r="E330" s="314">
        <v>4.9214691249999998</v>
      </c>
      <c r="F330" s="314">
        <v>14.76440738</v>
      </c>
      <c r="G330" s="317" t="s">
        <v>878</v>
      </c>
      <c r="H330" s="320" t="s">
        <v>1016</v>
      </c>
      <c r="I330" s="314" t="s">
        <v>1173</v>
      </c>
    </row>
    <row r="331" spans="1:9" ht="17.25" customHeight="1" x14ac:dyDescent="0.25">
      <c r="A331" s="319" t="s">
        <v>870</v>
      </c>
      <c r="B331" s="313" t="s">
        <v>865</v>
      </c>
      <c r="C331" s="313" t="s">
        <v>11</v>
      </c>
      <c r="D331" s="313">
        <v>1.4200000000000001E-2</v>
      </c>
      <c r="E331" s="313">
        <v>1.2E-2</v>
      </c>
      <c r="F331" s="313">
        <v>2.3E-2</v>
      </c>
      <c r="G331" s="315" t="s">
        <v>306</v>
      </c>
      <c r="H331" s="320" t="s">
        <v>1117</v>
      </c>
      <c r="I331" s="314" t="s">
        <v>1162</v>
      </c>
    </row>
    <row r="332" spans="1:9" ht="17.25" customHeight="1" x14ac:dyDescent="0.25">
      <c r="A332" s="316" t="s">
        <v>870</v>
      </c>
      <c r="B332" s="314" t="s">
        <v>865</v>
      </c>
      <c r="C332" s="314" t="s">
        <v>14</v>
      </c>
      <c r="D332" s="314">
        <v>3.5999999999999997E-2</v>
      </c>
      <c r="E332" s="314">
        <v>2.5600000000000001E-2</v>
      </c>
      <c r="F332" s="314">
        <v>4.5199999999999997E-2</v>
      </c>
      <c r="G332" s="317" t="s">
        <v>306</v>
      </c>
      <c r="H332" s="320" t="s">
        <v>926</v>
      </c>
      <c r="I332" s="314" t="s">
        <v>1162</v>
      </c>
    </row>
    <row r="333" spans="1:9" ht="17.25" customHeight="1" x14ac:dyDescent="0.25">
      <c r="A333" s="319" t="s">
        <v>870</v>
      </c>
      <c r="B333" s="313" t="s">
        <v>865</v>
      </c>
      <c r="C333" s="313" t="s">
        <v>15</v>
      </c>
      <c r="D333" s="313">
        <v>1.2E-2</v>
      </c>
      <c r="E333" s="313">
        <v>8.0000000000000002E-3</v>
      </c>
      <c r="F333" s="313">
        <v>1.6E-2</v>
      </c>
      <c r="G333" s="315" t="s">
        <v>306</v>
      </c>
      <c r="H333" s="320" t="s">
        <v>1117</v>
      </c>
      <c r="I333" s="314" t="s">
        <v>1162</v>
      </c>
    </row>
    <row r="334" spans="1:9" ht="17.25" customHeight="1" x14ac:dyDescent="0.25">
      <c r="A334" s="316" t="s">
        <v>870</v>
      </c>
      <c r="B334" s="314" t="s">
        <v>865</v>
      </c>
      <c r="C334" s="314" t="s">
        <v>17</v>
      </c>
      <c r="D334" s="314">
        <v>3.6700000000000003E-2</v>
      </c>
      <c r="E334" s="314">
        <v>2.3E-2</v>
      </c>
      <c r="F334" s="314">
        <v>8.3000000000000004E-2</v>
      </c>
      <c r="G334" s="317" t="s">
        <v>306</v>
      </c>
      <c r="H334" s="320" t="s">
        <v>1117</v>
      </c>
      <c r="I334" s="314" t="s">
        <v>1162</v>
      </c>
    </row>
    <row r="335" spans="1:9" ht="17.25" customHeight="1" x14ac:dyDescent="0.25">
      <c r="A335" s="319" t="s">
        <v>870</v>
      </c>
      <c r="B335" s="313" t="s">
        <v>865</v>
      </c>
      <c r="C335" s="313" t="s">
        <v>18</v>
      </c>
      <c r="D335" s="313">
        <v>5.13E-3</v>
      </c>
      <c r="E335" s="313">
        <v>4.8999999999999998E-3</v>
      </c>
      <c r="F335" s="313">
        <v>6.3E-3</v>
      </c>
      <c r="G335" s="315" t="s">
        <v>306</v>
      </c>
      <c r="H335" s="320" t="s">
        <v>1117</v>
      </c>
      <c r="I335" s="314" t="s">
        <v>1162</v>
      </c>
    </row>
    <row r="336" spans="1:9" ht="17.25" customHeight="1" x14ac:dyDescent="0.25">
      <c r="A336" s="316" t="s">
        <v>870</v>
      </c>
      <c r="B336" s="314" t="s">
        <v>865</v>
      </c>
      <c r="C336" s="314" t="s">
        <v>19</v>
      </c>
      <c r="D336" s="314">
        <v>0.223</v>
      </c>
      <c r="E336" s="314">
        <v>0.180817388</v>
      </c>
      <c r="F336" s="314">
        <v>0.24716314</v>
      </c>
      <c r="G336" s="317" t="s">
        <v>1179</v>
      </c>
      <c r="H336" s="320" t="e">
        <v>#N/A</v>
      </c>
      <c r="I336" s="314" t="s">
        <v>1162</v>
      </c>
    </row>
    <row r="337" spans="1:9" ht="17.25" customHeight="1" x14ac:dyDescent="0.25">
      <c r="A337" s="319" t="s">
        <v>870</v>
      </c>
      <c r="B337" s="313" t="s">
        <v>865</v>
      </c>
      <c r="C337" s="313" t="s">
        <v>20</v>
      </c>
      <c r="D337" s="313">
        <v>0.21099999999999999</v>
      </c>
      <c r="E337" s="313">
        <v>0.18</v>
      </c>
      <c r="F337" s="313">
        <v>0.22</v>
      </c>
      <c r="G337" s="315" t="s">
        <v>306</v>
      </c>
      <c r="H337" s="320" t="s">
        <v>1114</v>
      </c>
      <c r="I337" s="314" t="s">
        <v>1162</v>
      </c>
    </row>
    <row r="338" spans="1:9" ht="17.25" customHeight="1" x14ac:dyDescent="0.25">
      <c r="A338" s="316" t="s">
        <v>870</v>
      </c>
      <c r="B338" s="314" t="s">
        <v>865</v>
      </c>
      <c r="C338" s="314" t="s">
        <v>21</v>
      </c>
      <c r="D338" s="314">
        <v>6.8000000000000005E-2</v>
      </c>
      <c r="E338" s="314">
        <v>3.7999999999999999E-2</v>
      </c>
      <c r="F338" s="314">
        <v>0.104</v>
      </c>
      <c r="G338" s="317" t="s">
        <v>877</v>
      </c>
      <c r="H338" s="320" t="s">
        <v>939</v>
      </c>
      <c r="I338" s="314" t="s">
        <v>1162</v>
      </c>
    </row>
    <row r="339" spans="1:9" ht="17.25" customHeight="1" x14ac:dyDescent="0.25">
      <c r="A339" s="319" t="s">
        <v>870</v>
      </c>
      <c r="B339" s="313" t="s">
        <v>865</v>
      </c>
      <c r="C339" s="313" t="s">
        <v>22</v>
      </c>
      <c r="D339" s="313">
        <v>4.9000000000000002E-2</v>
      </c>
      <c r="E339" s="313">
        <v>2.027027E-2</v>
      </c>
      <c r="F339" s="313">
        <v>5.9582309999999999E-2</v>
      </c>
      <c r="G339" s="315" t="s">
        <v>876</v>
      </c>
      <c r="H339" s="320" t="s">
        <v>932</v>
      </c>
      <c r="I339" s="314" t="s">
        <v>1162</v>
      </c>
    </row>
    <row r="340" spans="1:9" ht="17.25" customHeight="1" x14ac:dyDescent="0.25">
      <c r="A340" s="316" t="s">
        <v>870</v>
      </c>
      <c r="B340" s="314" t="s">
        <v>865</v>
      </c>
      <c r="C340" s="314" t="s">
        <v>24</v>
      </c>
      <c r="D340" s="314">
        <v>1.4742015000000001E-2</v>
      </c>
      <c r="E340" s="314">
        <v>9.5700000000000004E-3</v>
      </c>
      <c r="F340" s="314">
        <v>4.5100000000000001E-2</v>
      </c>
      <c r="G340" s="317" t="s">
        <v>875</v>
      </c>
      <c r="H340" s="320" t="s">
        <v>934</v>
      </c>
      <c r="I340" s="314" t="s">
        <v>1162</v>
      </c>
    </row>
    <row r="341" spans="1:9" ht="17.25" customHeight="1" x14ac:dyDescent="0.25">
      <c r="A341" s="319" t="s">
        <v>870</v>
      </c>
      <c r="B341" s="313" t="s">
        <v>10</v>
      </c>
      <c r="C341" s="313" t="s">
        <v>11</v>
      </c>
      <c r="D341" s="313">
        <v>0.95</v>
      </c>
      <c r="E341" s="313">
        <v>0.9</v>
      </c>
      <c r="F341" s="313">
        <v>1</v>
      </c>
      <c r="G341" s="315" t="s">
        <v>874</v>
      </c>
      <c r="H341" s="320" t="e">
        <v>#N/A</v>
      </c>
      <c r="I341" s="314" t="s">
        <v>1180</v>
      </c>
    </row>
    <row r="342" spans="1:9" ht="17.25" customHeight="1" x14ac:dyDescent="0.25">
      <c r="A342" s="316" t="s">
        <v>870</v>
      </c>
      <c r="B342" s="314" t="s">
        <v>10</v>
      </c>
      <c r="C342" s="314" t="s">
        <v>14</v>
      </c>
      <c r="D342" s="314">
        <v>0.95</v>
      </c>
      <c r="E342" s="314">
        <v>0.9</v>
      </c>
      <c r="F342" s="314">
        <v>1</v>
      </c>
      <c r="G342" s="317" t="s">
        <v>874</v>
      </c>
      <c r="H342" s="320" t="e">
        <v>#N/A</v>
      </c>
      <c r="I342" s="314" t="s">
        <v>1180</v>
      </c>
    </row>
    <row r="343" spans="1:9" ht="17.25" customHeight="1" x14ac:dyDescent="0.25">
      <c r="A343" s="319" t="s">
        <v>870</v>
      </c>
      <c r="B343" s="313" t="s">
        <v>10</v>
      </c>
      <c r="C343" s="313" t="s">
        <v>15</v>
      </c>
      <c r="D343" s="313">
        <v>0.93</v>
      </c>
      <c r="E343" s="313">
        <v>0.86</v>
      </c>
      <c r="F343" s="313">
        <v>1</v>
      </c>
      <c r="G343" s="315" t="s">
        <v>874</v>
      </c>
      <c r="H343" s="320" t="e">
        <v>#N/A</v>
      </c>
      <c r="I343" s="314" t="s">
        <v>1180</v>
      </c>
    </row>
    <row r="344" spans="1:9" ht="17.25" customHeight="1" x14ac:dyDescent="0.25">
      <c r="A344" s="316" t="s">
        <v>870</v>
      </c>
      <c r="B344" s="314" t="s">
        <v>10</v>
      </c>
      <c r="C344" s="314" t="s">
        <v>17</v>
      </c>
      <c r="D344" s="314">
        <v>0.85</v>
      </c>
      <c r="E344" s="314">
        <v>0.7</v>
      </c>
      <c r="F344" s="314">
        <v>1</v>
      </c>
      <c r="G344" s="317" t="s">
        <v>874</v>
      </c>
      <c r="H344" s="320" t="e">
        <v>#N/A</v>
      </c>
      <c r="I344" s="314" t="s">
        <v>1180</v>
      </c>
    </row>
    <row r="345" spans="1:9" ht="17.25" customHeight="1" x14ac:dyDescent="0.25">
      <c r="A345" s="319" t="s">
        <v>870</v>
      </c>
      <c r="B345" s="313" t="s">
        <v>10</v>
      </c>
      <c r="C345" s="313" t="s">
        <v>18</v>
      </c>
      <c r="D345" s="313">
        <v>0.39</v>
      </c>
      <c r="E345" s="313">
        <v>0.38</v>
      </c>
      <c r="F345" s="313">
        <v>0.4</v>
      </c>
      <c r="G345" s="315" t="s">
        <v>871</v>
      </c>
      <c r="H345" s="320" t="s">
        <v>930</v>
      </c>
      <c r="I345" s="314" t="s">
        <v>1162</v>
      </c>
    </row>
    <row r="346" spans="1:9" ht="17.25" customHeight="1" x14ac:dyDescent="0.25">
      <c r="A346" s="316" t="s">
        <v>870</v>
      </c>
      <c r="B346" s="314" t="s">
        <v>10</v>
      </c>
      <c r="C346" s="314" t="s">
        <v>19</v>
      </c>
      <c r="D346" s="314">
        <v>0.28999999999999998</v>
      </c>
      <c r="E346" s="314">
        <v>0.27816326499999999</v>
      </c>
      <c r="F346" s="314">
        <v>0.28999999999999998</v>
      </c>
      <c r="G346" s="317" t="s">
        <v>873</v>
      </c>
      <c r="H346" s="320" t="s">
        <v>930</v>
      </c>
      <c r="I346" s="314" t="s">
        <v>1162</v>
      </c>
    </row>
    <row r="347" spans="1:9" ht="17.25" customHeight="1" x14ac:dyDescent="0.25">
      <c r="A347" s="319" t="s">
        <v>870</v>
      </c>
      <c r="B347" s="313" t="s">
        <v>10</v>
      </c>
      <c r="C347" s="313" t="s">
        <v>20</v>
      </c>
      <c r="D347" s="313">
        <v>0.45</v>
      </c>
      <c r="E347" s="313">
        <v>0.65532999999999997</v>
      </c>
      <c r="F347" s="313">
        <v>0.89800000000000002</v>
      </c>
      <c r="G347" s="315" t="s">
        <v>871</v>
      </c>
      <c r="H347" s="320" t="s">
        <v>930</v>
      </c>
      <c r="I347" s="314" t="s">
        <v>1162</v>
      </c>
    </row>
    <row r="348" spans="1:9" ht="17.25" customHeight="1" x14ac:dyDescent="0.25">
      <c r="A348" s="316" t="s">
        <v>870</v>
      </c>
      <c r="B348" s="314" t="s">
        <v>10</v>
      </c>
      <c r="C348" s="314" t="s">
        <v>21</v>
      </c>
      <c r="D348" s="314">
        <v>0.45</v>
      </c>
      <c r="E348" s="314">
        <v>0.65532999999999997</v>
      </c>
      <c r="F348" s="314">
        <v>0.89800000000000002</v>
      </c>
      <c r="G348" s="317" t="s">
        <v>871</v>
      </c>
      <c r="H348" s="320" t="s">
        <v>930</v>
      </c>
      <c r="I348" s="314" t="s">
        <v>1162</v>
      </c>
    </row>
    <row r="349" spans="1:9" ht="17.25" customHeight="1" x14ac:dyDescent="0.25">
      <c r="A349" s="319" t="s">
        <v>870</v>
      </c>
      <c r="B349" s="313" t="s">
        <v>10</v>
      </c>
      <c r="C349" s="313" t="s">
        <v>22</v>
      </c>
      <c r="D349" s="313">
        <v>0.79</v>
      </c>
      <c r="E349" s="313">
        <v>0.64</v>
      </c>
      <c r="F349" s="313">
        <v>0.95</v>
      </c>
      <c r="G349" s="315" t="s">
        <v>872</v>
      </c>
      <c r="H349" s="320" t="e">
        <v>#N/A</v>
      </c>
      <c r="I349" s="314" t="s">
        <v>1180</v>
      </c>
    </row>
    <row r="350" spans="1:9" ht="17.25" customHeight="1" x14ac:dyDescent="0.25">
      <c r="A350" s="316" t="s">
        <v>870</v>
      </c>
      <c r="B350" s="314" t="s">
        <v>10</v>
      </c>
      <c r="C350" s="314" t="s">
        <v>24</v>
      </c>
      <c r="D350" s="314">
        <v>0.87</v>
      </c>
      <c r="E350" s="314">
        <v>0.87</v>
      </c>
      <c r="F350" s="314">
        <v>0.95</v>
      </c>
      <c r="G350" s="317" t="s">
        <v>871</v>
      </c>
      <c r="H350" s="320" t="s">
        <v>930</v>
      </c>
      <c r="I350" s="314" t="s">
        <v>1162</v>
      </c>
    </row>
    <row r="351" spans="1:9" ht="17.25" customHeight="1" x14ac:dyDescent="0.25">
      <c r="A351" s="319" t="s">
        <v>870</v>
      </c>
      <c r="B351" s="313" t="s">
        <v>866</v>
      </c>
      <c r="C351" s="313" t="s">
        <v>11</v>
      </c>
      <c r="D351" s="313">
        <v>1</v>
      </c>
      <c r="E351" s="313">
        <v>0.41499999999999998</v>
      </c>
      <c r="F351" s="313">
        <v>1</v>
      </c>
      <c r="G351" s="315" t="s">
        <v>306</v>
      </c>
      <c r="H351" s="320" t="s">
        <v>952</v>
      </c>
      <c r="I351" s="314" t="s">
        <v>1181</v>
      </c>
    </row>
    <row r="352" spans="1:9" ht="17.25" customHeight="1" x14ac:dyDescent="0.25">
      <c r="A352" s="316" t="s">
        <v>870</v>
      </c>
      <c r="B352" s="314" t="s">
        <v>866</v>
      </c>
      <c r="C352" s="314" t="s">
        <v>14</v>
      </c>
      <c r="D352" s="314">
        <v>1</v>
      </c>
      <c r="E352" s="314">
        <v>0.41499999999999998</v>
      </c>
      <c r="F352" s="314">
        <v>1</v>
      </c>
      <c r="G352" s="317" t="s">
        <v>306</v>
      </c>
      <c r="H352" s="320" t="s">
        <v>952</v>
      </c>
      <c r="I352" s="314" t="s">
        <v>1181</v>
      </c>
    </row>
    <row r="353" spans="1:9" ht="17.25" customHeight="1" x14ac:dyDescent="0.25">
      <c r="A353" s="319" t="s">
        <v>870</v>
      </c>
      <c r="B353" s="313" t="s">
        <v>866</v>
      </c>
      <c r="C353" s="313" t="s">
        <v>15</v>
      </c>
      <c r="D353" s="313">
        <v>1</v>
      </c>
      <c r="E353" s="313">
        <v>0.41499999999999998</v>
      </c>
      <c r="F353" s="313">
        <v>1</v>
      </c>
      <c r="G353" s="315" t="s">
        <v>306</v>
      </c>
      <c r="H353" s="320" t="s">
        <v>952</v>
      </c>
      <c r="I353" s="314" t="s">
        <v>1181</v>
      </c>
    </row>
    <row r="354" spans="1:9" ht="17.25" customHeight="1" x14ac:dyDescent="0.25">
      <c r="A354" s="316" t="s">
        <v>870</v>
      </c>
      <c r="B354" s="314" t="s">
        <v>866</v>
      </c>
      <c r="C354" s="314" t="s">
        <v>17</v>
      </c>
      <c r="D354" s="314">
        <v>1</v>
      </c>
      <c r="E354" s="314">
        <v>0.2</v>
      </c>
      <c r="F354" s="314">
        <v>0.6</v>
      </c>
      <c r="G354" s="317" t="s">
        <v>306</v>
      </c>
      <c r="H354" s="320" t="s">
        <v>952</v>
      </c>
      <c r="I354" s="314" t="s">
        <v>1181</v>
      </c>
    </row>
    <row r="355" spans="1:9" ht="17.25" customHeight="1" x14ac:dyDescent="0.25">
      <c r="A355" s="319" t="s">
        <v>870</v>
      </c>
      <c r="B355" s="313" t="s">
        <v>866</v>
      </c>
      <c r="C355" s="313" t="s">
        <v>18</v>
      </c>
      <c r="D355" s="313">
        <v>1</v>
      </c>
      <c r="E355" s="313">
        <v>0.8</v>
      </c>
      <c r="F355" s="313">
        <v>1</v>
      </c>
      <c r="G355" s="315" t="s">
        <v>869</v>
      </c>
      <c r="H355" s="320" t="e">
        <v>#N/A</v>
      </c>
      <c r="I355" s="314" t="s">
        <v>1180</v>
      </c>
    </row>
    <row r="356" spans="1:9" ht="17.25" customHeight="1" x14ac:dyDescent="0.25">
      <c r="A356" s="316" t="s">
        <v>870</v>
      </c>
      <c r="B356" s="314" t="s">
        <v>866</v>
      </c>
      <c r="C356" s="314" t="s">
        <v>19</v>
      </c>
      <c r="D356" s="314">
        <v>1</v>
      </c>
      <c r="E356" s="314">
        <v>0.8</v>
      </c>
      <c r="F356" s="314">
        <v>1</v>
      </c>
      <c r="G356" s="317" t="s">
        <v>869</v>
      </c>
      <c r="H356" s="320" t="e">
        <v>#N/A</v>
      </c>
      <c r="I356" s="314" t="s">
        <v>1180</v>
      </c>
    </row>
    <row r="357" spans="1:9" ht="17.25" customHeight="1" x14ac:dyDescent="0.25">
      <c r="A357" s="319" t="s">
        <v>870</v>
      </c>
      <c r="B357" s="313" t="s">
        <v>866</v>
      </c>
      <c r="C357" s="313" t="s">
        <v>20</v>
      </c>
      <c r="D357" s="313">
        <v>1</v>
      </c>
      <c r="E357" s="313">
        <v>0.8</v>
      </c>
      <c r="F357" s="313">
        <v>1</v>
      </c>
      <c r="G357" s="315" t="s">
        <v>869</v>
      </c>
      <c r="H357" s="320" t="e">
        <v>#N/A</v>
      </c>
      <c r="I357" s="314" t="s">
        <v>1180</v>
      </c>
    </row>
    <row r="358" spans="1:9" ht="17.25" customHeight="1" x14ac:dyDescent="0.25">
      <c r="A358" s="316" t="s">
        <v>870</v>
      </c>
      <c r="B358" s="314" t="s">
        <v>866</v>
      </c>
      <c r="C358" s="314" t="s">
        <v>21</v>
      </c>
      <c r="D358" s="314">
        <v>1</v>
      </c>
      <c r="E358" s="314">
        <v>0.8</v>
      </c>
      <c r="F358" s="314">
        <v>1</v>
      </c>
      <c r="G358" s="317" t="s">
        <v>869</v>
      </c>
      <c r="H358" s="320" t="e">
        <v>#N/A</v>
      </c>
      <c r="I358" s="314" t="s">
        <v>1180</v>
      </c>
    </row>
    <row r="359" spans="1:9" ht="17.25" customHeight="1" x14ac:dyDescent="0.25">
      <c r="A359" s="319" t="s">
        <v>870</v>
      </c>
      <c r="B359" s="313" t="s">
        <v>866</v>
      </c>
      <c r="C359" s="313" t="s">
        <v>22</v>
      </c>
      <c r="D359" s="313">
        <v>1</v>
      </c>
      <c r="E359" s="313">
        <v>0.8</v>
      </c>
      <c r="F359" s="313">
        <v>1</v>
      </c>
      <c r="G359" s="315" t="s">
        <v>869</v>
      </c>
      <c r="H359" s="320" t="e">
        <v>#N/A</v>
      </c>
      <c r="I359" s="314" t="s">
        <v>1180</v>
      </c>
    </row>
    <row r="360" spans="1:9" ht="17.25" customHeight="1" x14ac:dyDescent="0.25">
      <c r="A360" s="316" t="s">
        <v>870</v>
      </c>
      <c r="B360" s="314" t="s">
        <v>866</v>
      </c>
      <c r="C360" s="314" t="s">
        <v>24</v>
      </c>
      <c r="D360" s="314">
        <v>1</v>
      </c>
      <c r="E360" s="314">
        <v>0.8</v>
      </c>
      <c r="F360" s="314">
        <v>1</v>
      </c>
      <c r="G360" s="317" t="s">
        <v>869</v>
      </c>
      <c r="H360" s="320" t="e">
        <v>#N/A</v>
      </c>
      <c r="I360" s="314" t="s">
        <v>1180</v>
      </c>
    </row>
  </sheetData>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AFBD-E48E-4E0A-83CC-8B014F490E0F}">
  <dimension ref="A1:B102"/>
  <sheetViews>
    <sheetView topLeftCell="A25" zoomScale="70" zoomScaleNormal="70" workbookViewId="0">
      <selection activeCell="B98" sqref="B98"/>
    </sheetView>
  </sheetViews>
  <sheetFormatPr defaultRowHeight="22.5" customHeight="1" x14ac:dyDescent="0.25"/>
  <cols>
    <col min="1" max="1" width="6.28515625" customWidth="1"/>
    <col min="2" max="2" width="138.7109375" customWidth="1"/>
  </cols>
  <sheetData>
    <row r="1" spans="1:2" ht="22.5" customHeight="1" x14ac:dyDescent="0.25">
      <c r="A1" t="s">
        <v>1122</v>
      </c>
      <c r="B1" t="s">
        <v>8</v>
      </c>
    </row>
    <row r="2" spans="1:2" ht="22.5" customHeight="1" x14ac:dyDescent="0.25">
      <c r="A2" s="304" t="s">
        <v>1117</v>
      </c>
      <c r="B2" s="304" t="s">
        <v>925</v>
      </c>
    </row>
    <row r="3" spans="1:2" ht="22.5" customHeight="1" x14ac:dyDescent="0.25">
      <c r="A3" s="304" t="s">
        <v>926</v>
      </c>
      <c r="B3" s="304" t="s">
        <v>927</v>
      </c>
    </row>
    <row r="4" spans="1:2" ht="22.5" customHeight="1" x14ac:dyDescent="0.25">
      <c r="A4" s="304" t="s">
        <v>928</v>
      </c>
      <c r="B4" s="304" t="s">
        <v>929</v>
      </c>
    </row>
    <row r="5" spans="1:2" ht="22.5" customHeight="1" x14ac:dyDescent="0.25">
      <c r="A5" s="304" t="s">
        <v>930</v>
      </c>
      <c r="B5" s="304" t="s">
        <v>931</v>
      </c>
    </row>
    <row r="6" spans="1:2" ht="22.5" customHeight="1" x14ac:dyDescent="0.25">
      <c r="A6" s="304" t="s">
        <v>932</v>
      </c>
      <c r="B6" s="304" t="s">
        <v>933</v>
      </c>
    </row>
    <row r="7" spans="1:2" ht="22.5" customHeight="1" x14ac:dyDescent="0.25">
      <c r="A7" s="304" t="s">
        <v>934</v>
      </c>
      <c r="B7" s="304" t="s">
        <v>935</v>
      </c>
    </row>
    <row r="8" spans="1:2" ht="22.5" customHeight="1" x14ac:dyDescent="0.25">
      <c r="A8" s="304" t="s">
        <v>936</v>
      </c>
      <c r="B8" s="304" t="s">
        <v>937</v>
      </c>
    </row>
    <row r="9" spans="1:2" ht="22.5" customHeight="1" x14ac:dyDescent="0.25">
      <c r="A9" s="304" t="s">
        <v>938</v>
      </c>
      <c r="B9" s="304" t="s">
        <v>1118</v>
      </c>
    </row>
    <row r="10" spans="1:2" ht="22.5" customHeight="1" x14ac:dyDescent="0.25">
      <c r="A10" s="304" t="s">
        <v>939</v>
      </c>
      <c r="B10" s="304" t="s">
        <v>1116</v>
      </c>
    </row>
    <row r="11" spans="1:2" ht="22.5" customHeight="1" x14ac:dyDescent="0.25">
      <c r="A11" s="304" t="s">
        <v>940</v>
      </c>
      <c r="B11" s="304" t="s">
        <v>941</v>
      </c>
    </row>
    <row r="12" spans="1:2" ht="22.5" customHeight="1" x14ac:dyDescent="0.25">
      <c r="A12" s="304" t="s">
        <v>942</v>
      </c>
      <c r="B12" s="304" t="s">
        <v>943</v>
      </c>
    </row>
    <row r="13" spans="1:2" ht="22.5" customHeight="1" x14ac:dyDescent="0.25">
      <c r="A13" s="304" t="s">
        <v>944</v>
      </c>
      <c r="B13" s="304" t="s">
        <v>945</v>
      </c>
    </row>
    <row r="14" spans="1:2" ht="22.5" customHeight="1" x14ac:dyDescent="0.25">
      <c r="A14" s="304" t="s">
        <v>946</v>
      </c>
      <c r="B14" s="304" t="s">
        <v>947</v>
      </c>
    </row>
    <row r="15" spans="1:2" ht="22.5" customHeight="1" x14ac:dyDescent="0.25">
      <c r="A15" s="304" t="s">
        <v>948</v>
      </c>
      <c r="B15" s="304" t="s">
        <v>949</v>
      </c>
    </row>
    <row r="16" spans="1:2" ht="22.5" customHeight="1" x14ac:dyDescent="0.25">
      <c r="A16" s="304" t="s">
        <v>950</v>
      </c>
      <c r="B16" s="304" t="s">
        <v>951</v>
      </c>
    </row>
    <row r="17" spans="1:2" ht="22.5" customHeight="1" x14ac:dyDescent="0.25">
      <c r="A17" s="304" t="s">
        <v>952</v>
      </c>
      <c r="B17" s="304" t="s">
        <v>953</v>
      </c>
    </row>
    <row r="18" spans="1:2" ht="22.5" customHeight="1" x14ac:dyDescent="0.25">
      <c r="A18" s="304" t="s">
        <v>954</v>
      </c>
      <c r="B18" s="304" t="s">
        <v>955</v>
      </c>
    </row>
    <row r="19" spans="1:2" ht="22.5" customHeight="1" x14ac:dyDescent="0.25">
      <c r="A19" s="304" t="s">
        <v>956</v>
      </c>
      <c r="B19" s="304" t="s">
        <v>957</v>
      </c>
    </row>
    <row r="20" spans="1:2" ht="22.5" customHeight="1" x14ac:dyDescent="0.25">
      <c r="A20" s="304" t="s">
        <v>958</v>
      </c>
      <c r="B20" s="304" t="s">
        <v>959</v>
      </c>
    </row>
    <row r="21" spans="1:2" ht="22.5" customHeight="1" x14ac:dyDescent="0.25">
      <c r="A21" s="304" t="s">
        <v>960</v>
      </c>
      <c r="B21" s="304" t="s">
        <v>961</v>
      </c>
    </row>
    <row r="22" spans="1:2" ht="22.5" customHeight="1" x14ac:dyDescent="0.25">
      <c r="A22" s="304" t="s">
        <v>962</v>
      </c>
      <c r="B22" s="304" t="s">
        <v>963</v>
      </c>
    </row>
    <row r="23" spans="1:2" ht="22.5" customHeight="1" x14ac:dyDescent="0.25">
      <c r="A23" s="304" t="s">
        <v>964</v>
      </c>
      <c r="B23" s="304" t="s">
        <v>965</v>
      </c>
    </row>
    <row r="24" spans="1:2" ht="22.5" customHeight="1" x14ac:dyDescent="0.25">
      <c r="A24" s="304" t="s">
        <v>966</v>
      </c>
      <c r="B24" s="304" t="s">
        <v>967</v>
      </c>
    </row>
    <row r="25" spans="1:2" ht="22.5" customHeight="1" x14ac:dyDescent="0.25">
      <c r="A25" s="304" t="s">
        <v>968</v>
      </c>
      <c r="B25" s="304" t="s">
        <v>969</v>
      </c>
    </row>
    <row r="26" spans="1:2" ht="22.5" customHeight="1" x14ac:dyDescent="0.25">
      <c r="A26" s="304" t="s">
        <v>970</v>
      </c>
      <c r="B26" s="304" t="s">
        <v>971</v>
      </c>
    </row>
    <row r="27" spans="1:2" ht="22.5" customHeight="1" x14ac:dyDescent="0.25">
      <c r="A27" s="304" t="s">
        <v>972</v>
      </c>
      <c r="B27" s="304" t="s">
        <v>973</v>
      </c>
    </row>
    <row r="28" spans="1:2" ht="22.5" customHeight="1" x14ac:dyDescent="0.25">
      <c r="A28" s="304" t="s">
        <v>974</v>
      </c>
      <c r="B28" s="304" t="s">
        <v>975</v>
      </c>
    </row>
    <row r="29" spans="1:2" ht="22.5" customHeight="1" x14ac:dyDescent="0.25">
      <c r="A29" s="304" t="s">
        <v>976</v>
      </c>
      <c r="B29" s="304" t="s">
        <v>977</v>
      </c>
    </row>
    <row r="30" spans="1:2" ht="22.5" customHeight="1" x14ac:dyDescent="0.25">
      <c r="A30" s="304" t="s">
        <v>978</v>
      </c>
      <c r="B30" s="304" t="s">
        <v>979</v>
      </c>
    </row>
    <row r="31" spans="1:2" ht="22.5" customHeight="1" x14ac:dyDescent="0.25">
      <c r="A31" s="304" t="s">
        <v>980</v>
      </c>
      <c r="B31" s="304" t="s">
        <v>981</v>
      </c>
    </row>
    <row r="32" spans="1:2" ht="22.5" customHeight="1" x14ac:dyDescent="0.25">
      <c r="A32" s="304" t="s">
        <v>982</v>
      </c>
      <c r="B32" s="304" t="s">
        <v>983</v>
      </c>
    </row>
    <row r="33" spans="1:2" ht="22.5" customHeight="1" x14ac:dyDescent="0.25">
      <c r="A33" s="304" t="s">
        <v>984</v>
      </c>
      <c r="B33" s="304" t="s">
        <v>985</v>
      </c>
    </row>
    <row r="34" spans="1:2" ht="22.5" customHeight="1" x14ac:dyDescent="0.25">
      <c r="A34" s="304" t="s">
        <v>986</v>
      </c>
      <c r="B34" s="304" t="s">
        <v>987</v>
      </c>
    </row>
    <row r="35" spans="1:2" ht="22.5" customHeight="1" x14ac:dyDescent="0.25">
      <c r="A35" s="304" t="s">
        <v>988</v>
      </c>
      <c r="B35" s="304" t="s">
        <v>989</v>
      </c>
    </row>
    <row r="36" spans="1:2" ht="22.5" customHeight="1" x14ac:dyDescent="0.25">
      <c r="A36" s="304" t="s">
        <v>990</v>
      </c>
      <c r="B36" s="304" t="s">
        <v>991</v>
      </c>
    </row>
    <row r="37" spans="1:2" ht="22.5" customHeight="1" x14ac:dyDescent="0.25">
      <c r="A37" s="304" t="s">
        <v>992</v>
      </c>
      <c r="B37" s="304" t="s">
        <v>993</v>
      </c>
    </row>
    <row r="38" spans="1:2" ht="22.5" customHeight="1" x14ac:dyDescent="0.25">
      <c r="A38" s="304" t="s">
        <v>994</v>
      </c>
      <c r="B38" s="304" t="s">
        <v>995</v>
      </c>
    </row>
    <row r="39" spans="1:2" ht="22.5" customHeight="1" x14ac:dyDescent="0.25">
      <c r="A39" s="304" t="s">
        <v>996</v>
      </c>
      <c r="B39" s="304" t="s">
        <v>997</v>
      </c>
    </row>
    <row r="40" spans="1:2" ht="22.5" customHeight="1" x14ac:dyDescent="0.25">
      <c r="A40" s="304" t="s">
        <v>998</v>
      </c>
      <c r="B40" s="304" t="s">
        <v>999</v>
      </c>
    </row>
    <row r="41" spans="1:2" ht="22.5" customHeight="1" x14ac:dyDescent="0.25">
      <c r="A41" s="304" t="s">
        <v>1000</v>
      </c>
      <c r="B41" s="304" t="s">
        <v>1001</v>
      </c>
    </row>
    <row r="42" spans="1:2" ht="22.5" customHeight="1" x14ac:dyDescent="0.25">
      <c r="A42" s="304" t="s">
        <v>1002</v>
      </c>
      <c r="B42" s="304" t="s">
        <v>1003</v>
      </c>
    </row>
    <row r="43" spans="1:2" ht="22.5" customHeight="1" x14ac:dyDescent="0.25">
      <c r="A43" s="304" t="s">
        <v>1004</v>
      </c>
      <c r="B43" s="304" t="s">
        <v>1005</v>
      </c>
    </row>
    <row r="44" spans="1:2" ht="22.5" customHeight="1" x14ac:dyDescent="0.25">
      <c r="A44" s="304" t="s">
        <v>1006</v>
      </c>
      <c r="B44" s="304" t="s">
        <v>1007</v>
      </c>
    </row>
    <row r="45" spans="1:2" ht="22.5" customHeight="1" x14ac:dyDescent="0.25">
      <c r="A45" s="304" t="s">
        <v>1008</v>
      </c>
      <c r="B45" s="304" t="s">
        <v>1009</v>
      </c>
    </row>
    <row r="46" spans="1:2" ht="22.5" customHeight="1" x14ac:dyDescent="0.25">
      <c r="A46" s="304" t="s">
        <v>1010</v>
      </c>
      <c r="B46" s="304" t="s">
        <v>1011</v>
      </c>
    </row>
    <row r="47" spans="1:2" ht="22.5" customHeight="1" x14ac:dyDescent="0.25">
      <c r="A47" s="304" t="s">
        <v>1012</v>
      </c>
      <c r="B47" s="304" t="s">
        <v>1013</v>
      </c>
    </row>
    <row r="48" spans="1:2" ht="22.5" customHeight="1" x14ac:dyDescent="0.25">
      <c r="A48" s="304" t="s">
        <v>1014</v>
      </c>
      <c r="B48" s="304" t="s">
        <v>1015</v>
      </c>
    </row>
    <row r="49" spans="1:2" ht="22.5" customHeight="1" x14ac:dyDescent="0.25">
      <c r="A49" s="304" t="s">
        <v>1016</v>
      </c>
      <c r="B49" s="304" t="s">
        <v>1017</v>
      </c>
    </row>
    <row r="50" spans="1:2" ht="22.5" customHeight="1" x14ac:dyDescent="0.25">
      <c r="A50" s="304" t="s">
        <v>1018</v>
      </c>
      <c r="B50" s="304" t="s">
        <v>1019</v>
      </c>
    </row>
    <row r="51" spans="1:2" ht="22.5" customHeight="1" x14ac:dyDescent="0.25">
      <c r="A51" s="304" t="s">
        <v>1020</v>
      </c>
      <c r="B51" s="304" t="s">
        <v>1021</v>
      </c>
    </row>
    <row r="52" spans="1:2" ht="22.5" customHeight="1" x14ac:dyDescent="0.25">
      <c r="A52" s="304" t="s">
        <v>1022</v>
      </c>
      <c r="B52" s="304" t="s">
        <v>1023</v>
      </c>
    </row>
    <row r="53" spans="1:2" ht="22.5" customHeight="1" x14ac:dyDescent="0.25">
      <c r="A53" s="304" t="s">
        <v>1024</v>
      </c>
      <c r="B53" s="304" t="s">
        <v>1025</v>
      </c>
    </row>
    <row r="54" spans="1:2" ht="22.5" customHeight="1" x14ac:dyDescent="0.25">
      <c r="A54" s="304" t="s">
        <v>1026</v>
      </c>
      <c r="B54" s="304" t="s">
        <v>1027</v>
      </c>
    </row>
    <row r="55" spans="1:2" ht="22.5" customHeight="1" x14ac:dyDescent="0.25">
      <c r="A55" s="304" t="s">
        <v>1028</v>
      </c>
      <c r="B55" s="304" t="s">
        <v>1029</v>
      </c>
    </row>
    <row r="56" spans="1:2" ht="22.5" customHeight="1" x14ac:dyDescent="0.25">
      <c r="A56" s="304" t="s">
        <v>1030</v>
      </c>
      <c r="B56" s="304" t="s">
        <v>1031</v>
      </c>
    </row>
    <row r="57" spans="1:2" ht="22.5" customHeight="1" x14ac:dyDescent="0.25">
      <c r="A57" s="304" t="s">
        <v>1032</v>
      </c>
      <c r="B57" s="304" t="s">
        <v>1120</v>
      </c>
    </row>
    <row r="58" spans="1:2" ht="22.5" customHeight="1" x14ac:dyDescent="0.25">
      <c r="A58" s="304" t="s">
        <v>1033</v>
      </c>
      <c r="B58" s="304" t="s">
        <v>1034</v>
      </c>
    </row>
    <row r="59" spans="1:2" ht="22.5" customHeight="1" x14ac:dyDescent="0.25">
      <c r="A59" s="304" t="s">
        <v>1035</v>
      </c>
      <c r="B59" s="304" t="s">
        <v>1119</v>
      </c>
    </row>
    <row r="60" spans="1:2" ht="22.5" customHeight="1" x14ac:dyDescent="0.25">
      <c r="A60" s="304" t="s">
        <v>1036</v>
      </c>
      <c r="B60" s="304" t="s">
        <v>1037</v>
      </c>
    </row>
    <row r="61" spans="1:2" ht="22.5" customHeight="1" x14ac:dyDescent="0.25">
      <c r="A61" s="304" t="s">
        <v>1038</v>
      </c>
      <c r="B61" s="304" t="s">
        <v>1039</v>
      </c>
    </row>
    <row r="62" spans="1:2" ht="22.5" customHeight="1" x14ac:dyDescent="0.25">
      <c r="A62" s="304" t="s">
        <v>1040</v>
      </c>
      <c r="B62" s="304" t="s">
        <v>1041</v>
      </c>
    </row>
    <row r="63" spans="1:2" ht="22.5" customHeight="1" x14ac:dyDescent="0.25">
      <c r="A63" s="304" t="s">
        <v>1042</v>
      </c>
      <c r="B63" s="304" t="s">
        <v>1043</v>
      </c>
    </row>
    <row r="64" spans="1:2" ht="22.5" customHeight="1" x14ac:dyDescent="0.25">
      <c r="A64" s="304" t="s">
        <v>1044</v>
      </c>
      <c r="B64" s="304" t="s">
        <v>1045</v>
      </c>
    </row>
    <row r="65" spans="1:2" ht="22.5" customHeight="1" x14ac:dyDescent="0.25">
      <c r="A65" s="304" t="s">
        <v>1046</v>
      </c>
      <c r="B65" s="304" t="s">
        <v>1047</v>
      </c>
    </row>
    <row r="66" spans="1:2" ht="22.5" customHeight="1" x14ac:dyDescent="0.25">
      <c r="A66" s="304" t="s">
        <v>1048</v>
      </c>
      <c r="B66" s="304" t="s">
        <v>1049</v>
      </c>
    </row>
    <row r="67" spans="1:2" ht="22.5" customHeight="1" x14ac:dyDescent="0.25">
      <c r="A67" s="304" t="s">
        <v>1050</v>
      </c>
      <c r="B67" s="304" t="s">
        <v>1051</v>
      </c>
    </row>
    <row r="68" spans="1:2" ht="22.5" customHeight="1" x14ac:dyDescent="0.25">
      <c r="A68" s="304" t="s">
        <v>1052</v>
      </c>
      <c r="B68" s="304" t="s">
        <v>1053</v>
      </c>
    </row>
    <row r="69" spans="1:2" ht="22.5" customHeight="1" x14ac:dyDescent="0.25">
      <c r="A69" s="304" t="s">
        <v>1054</v>
      </c>
      <c r="B69" s="304" t="s">
        <v>1055</v>
      </c>
    </row>
    <row r="70" spans="1:2" ht="22.5" customHeight="1" x14ac:dyDescent="0.25">
      <c r="A70" s="304" t="s">
        <v>1056</v>
      </c>
      <c r="B70" s="304" t="s">
        <v>1057</v>
      </c>
    </row>
    <row r="71" spans="1:2" ht="22.5" customHeight="1" x14ac:dyDescent="0.25">
      <c r="A71" s="304" t="s">
        <v>1058</v>
      </c>
      <c r="B71" s="304" t="s">
        <v>1059</v>
      </c>
    </row>
    <row r="72" spans="1:2" ht="22.5" customHeight="1" x14ac:dyDescent="0.25">
      <c r="A72" s="304" t="s">
        <v>1060</v>
      </c>
      <c r="B72" s="304" t="s">
        <v>1061</v>
      </c>
    </row>
    <row r="73" spans="1:2" ht="22.5" customHeight="1" x14ac:dyDescent="0.25">
      <c r="A73" s="304" t="s">
        <v>1062</v>
      </c>
      <c r="B73" s="304" t="s">
        <v>1063</v>
      </c>
    </row>
    <row r="74" spans="1:2" ht="22.5" customHeight="1" x14ac:dyDescent="0.25">
      <c r="A74" s="304" t="s">
        <v>1064</v>
      </c>
      <c r="B74" s="304" t="s">
        <v>1065</v>
      </c>
    </row>
    <row r="75" spans="1:2" ht="22.5" customHeight="1" x14ac:dyDescent="0.25">
      <c r="A75" s="304" t="s">
        <v>1066</v>
      </c>
      <c r="B75" s="304" t="s">
        <v>1067</v>
      </c>
    </row>
    <row r="76" spans="1:2" ht="22.5" customHeight="1" x14ac:dyDescent="0.25">
      <c r="A76" s="304" t="s">
        <v>1068</v>
      </c>
      <c r="B76" s="304" t="s">
        <v>1069</v>
      </c>
    </row>
    <row r="77" spans="1:2" ht="22.5" customHeight="1" x14ac:dyDescent="0.25">
      <c r="A77" s="304" t="s">
        <v>1070</v>
      </c>
      <c r="B77" s="304" t="s">
        <v>1071</v>
      </c>
    </row>
    <row r="78" spans="1:2" ht="22.5" customHeight="1" x14ac:dyDescent="0.25">
      <c r="A78" s="304" t="s">
        <v>1072</v>
      </c>
      <c r="B78" s="304" t="s">
        <v>1073</v>
      </c>
    </row>
    <row r="79" spans="1:2" ht="22.5" customHeight="1" x14ac:dyDescent="0.25">
      <c r="A79" s="304" t="s">
        <v>1074</v>
      </c>
      <c r="B79" s="304" t="s">
        <v>1075</v>
      </c>
    </row>
    <row r="80" spans="1:2" ht="22.5" customHeight="1" x14ac:dyDescent="0.25">
      <c r="A80" s="304" t="s">
        <v>1076</v>
      </c>
      <c r="B80" s="304" t="s">
        <v>1077</v>
      </c>
    </row>
    <row r="81" spans="1:2" ht="22.5" customHeight="1" x14ac:dyDescent="0.25">
      <c r="A81" s="304" t="s">
        <v>1078</v>
      </c>
      <c r="B81" s="304" t="s">
        <v>1079</v>
      </c>
    </row>
    <row r="82" spans="1:2" ht="22.5" customHeight="1" x14ac:dyDescent="0.25">
      <c r="A82" s="304" t="s">
        <v>1080</v>
      </c>
      <c r="B82" s="304" t="s">
        <v>1121</v>
      </c>
    </row>
    <row r="83" spans="1:2" ht="22.5" customHeight="1" x14ac:dyDescent="0.25">
      <c r="A83" s="304" t="s">
        <v>1081</v>
      </c>
      <c r="B83" s="304" t="s">
        <v>1047</v>
      </c>
    </row>
    <row r="84" spans="1:2" ht="22.5" customHeight="1" x14ac:dyDescent="0.25">
      <c r="A84" s="304" t="s">
        <v>1082</v>
      </c>
      <c r="B84" s="304" t="s">
        <v>1083</v>
      </c>
    </row>
    <row r="85" spans="1:2" ht="22.5" customHeight="1" x14ac:dyDescent="0.25">
      <c r="A85" s="304" t="s">
        <v>1084</v>
      </c>
      <c r="B85" s="304" t="s">
        <v>1085</v>
      </c>
    </row>
    <row r="86" spans="1:2" ht="22.5" customHeight="1" x14ac:dyDescent="0.25">
      <c r="A86" s="304" t="s">
        <v>1086</v>
      </c>
      <c r="B86" s="304" t="s">
        <v>1087</v>
      </c>
    </row>
    <row r="87" spans="1:2" ht="22.5" customHeight="1" x14ac:dyDescent="0.25">
      <c r="A87" s="304" t="s">
        <v>1088</v>
      </c>
      <c r="B87" s="304" t="s">
        <v>1089</v>
      </c>
    </row>
    <row r="88" spans="1:2" ht="22.5" customHeight="1" x14ac:dyDescent="0.25">
      <c r="A88" s="304" t="s">
        <v>1090</v>
      </c>
      <c r="B88" s="304" t="s">
        <v>1091</v>
      </c>
    </row>
    <row r="89" spans="1:2" ht="22.5" customHeight="1" x14ac:dyDescent="0.25">
      <c r="A89" s="304" t="s">
        <v>1092</v>
      </c>
      <c r="B89" s="304" t="s">
        <v>1093</v>
      </c>
    </row>
    <row r="90" spans="1:2" ht="22.5" customHeight="1" x14ac:dyDescent="0.25">
      <c r="A90" s="304" t="s">
        <v>1094</v>
      </c>
      <c r="B90" s="304" t="s">
        <v>1095</v>
      </c>
    </row>
    <row r="91" spans="1:2" ht="22.5" customHeight="1" x14ac:dyDescent="0.25">
      <c r="A91" s="304" t="s">
        <v>1096</v>
      </c>
      <c r="B91" s="304" t="s">
        <v>1097</v>
      </c>
    </row>
    <row r="92" spans="1:2" ht="22.5" customHeight="1" x14ac:dyDescent="0.25">
      <c r="A92" s="304" t="s">
        <v>1098</v>
      </c>
      <c r="B92" s="304" t="s">
        <v>1099</v>
      </c>
    </row>
    <row r="93" spans="1:2" ht="22.5" customHeight="1" x14ac:dyDescent="0.25">
      <c r="A93" s="304" t="s">
        <v>1100</v>
      </c>
      <c r="B93" s="304" t="s">
        <v>1101</v>
      </c>
    </row>
    <row r="94" spans="1:2" ht="22.5" customHeight="1" x14ac:dyDescent="0.25">
      <c r="A94" s="304" t="s">
        <v>1102</v>
      </c>
      <c r="B94" s="304" t="s">
        <v>1103</v>
      </c>
    </row>
    <row r="95" spans="1:2" ht="22.5" customHeight="1" x14ac:dyDescent="0.25">
      <c r="A95" s="304" t="s">
        <v>1104</v>
      </c>
      <c r="B95" s="304" t="s">
        <v>1105</v>
      </c>
    </row>
    <row r="96" spans="1:2" ht="22.5" customHeight="1" x14ac:dyDescent="0.25">
      <c r="A96" s="304" t="s">
        <v>1106</v>
      </c>
      <c r="B96" s="304" t="s">
        <v>1107</v>
      </c>
    </row>
    <row r="97" spans="1:2" ht="22.5" customHeight="1" x14ac:dyDescent="0.25">
      <c r="A97" s="304" t="s">
        <v>1108</v>
      </c>
      <c r="B97" s="304" t="s">
        <v>1109</v>
      </c>
    </row>
    <row r="98" spans="1:2" ht="22.5" customHeight="1" x14ac:dyDescent="0.25">
      <c r="A98" s="304" t="s">
        <v>1110</v>
      </c>
      <c r="B98" s="304" t="s">
        <v>1111</v>
      </c>
    </row>
    <row r="99" spans="1:2" ht="22.5" customHeight="1" x14ac:dyDescent="0.25">
      <c r="A99" s="304" t="s">
        <v>1112</v>
      </c>
      <c r="B99" s="304" t="s">
        <v>1113</v>
      </c>
    </row>
    <row r="100" spans="1:2" ht="22.5" customHeight="1" x14ac:dyDescent="0.25">
      <c r="A100" s="304" t="s">
        <v>1114</v>
      </c>
      <c r="B100" s="304" t="s">
        <v>1115</v>
      </c>
    </row>
    <row r="101" spans="1:2" ht="22.5" customHeight="1" x14ac:dyDescent="0.25">
      <c r="A101" s="304"/>
    </row>
    <row r="102" spans="1:2" ht="22.5" customHeight="1" x14ac:dyDescent="0.25">
      <c r="A102" s="304"/>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1B58-4EE4-44CE-B845-C28301886623}">
  <dimension ref="A1:U62"/>
  <sheetViews>
    <sheetView zoomScale="70" zoomScaleNormal="70" workbookViewId="0">
      <selection activeCell="I32" sqref="I32"/>
    </sheetView>
  </sheetViews>
  <sheetFormatPr defaultRowHeight="15" x14ac:dyDescent="0.25"/>
  <cols>
    <col min="1" max="1" width="27.5703125" bestFit="1" customWidth="1"/>
    <col min="2" max="2" width="18.85546875" bestFit="1" customWidth="1"/>
    <col min="3" max="3" width="24" bestFit="1" customWidth="1"/>
    <col min="4" max="4" width="18" bestFit="1" customWidth="1"/>
    <col min="5" max="5" width="10.7109375" bestFit="1" customWidth="1"/>
    <col min="6" max="6" width="12.7109375" customWidth="1"/>
    <col min="7" max="7" width="10" bestFit="1" customWidth="1"/>
    <col min="8" max="8" width="19.28515625" customWidth="1"/>
    <col min="9" max="9" width="20.140625" customWidth="1"/>
    <col min="10" max="10" width="11.5703125" customWidth="1"/>
    <col min="11" max="11" width="27.28515625" bestFit="1" customWidth="1"/>
    <col min="13" max="13" width="11" bestFit="1" customWidth="1"/>
    <col min="15" max="15" width="10.7109375" bestFit="1" customWidth="1"/>
  </cols>
  <sheetData>
    <row r="1" spans="1:21" x14ac:dyDescent="0.25">
      <c r="A1" s="74" t="s">
        <v>322</v>
      </c>
      <c r="B1" s="74" t="s">
        <v>323</v>
      </c>
    </row>
    <row r="2" spans="1:21" x14ac:dyDescent="0.25">
      <c r="A2" s="21" t="s">
        <v>259</v>
      </c>
    </row>
    <row r="3" spans="1:21" x14ac:dyDescent="0.25">
      <c r="A3" s="335" t="s">
        <v>5</v>
      </c>
      <c r="B3" s="335" t="s">
        <v>7</v>
      </c>
      <c r="C3" s="335" t="s">
        <v>29</v>
      </c>
      <c r="D3" s="335" t="s">
        <v>30</v>
      </c>
      <c r="E3" s="335" t="s">
        <v>82</v>
      </c>
      <c r="F3" s="335" t="s">
        <v>32</v>
      </c>
      <c r="G3" s="335" t="s">
        <v>6</v>
      </c>
      <c r="H3" s="335" t="s">
        <v>83</v>
      </c>
      <c r="I3" s="328" t="s">
        <v>89</v>
      </c>
      <c r="J3" s="329"/>
      <c r="K3" s="329"/>
      <c r="L3" s="329"/>
      <c r="M3" s="329"/>
      <c r="N3" s="330"/>
      <c r="O3" s="331" t="s">
        <v>90</v>
      </c>
      <c r="P3" s="332"/>
      <c r="Q3" s="332"/>
      <c r="R3" s="332"/>
      <c r="S3" s="332"/>
      <c r="T3" s="333"/>
      <c r="U3" s="26" t="s">
        <v>46</v>
      </c>
    </row>
    <row r="4" spans="1:21" x14ac:dyDescent="0.25">
      <c r="A4" s="336"/>
      <c r="B4" s="336"/>
      <c r="C4" s="336"/>
      <c r="D4" s="336"/>
      <c r="E4" s="336"/>
      <c r="F4" s="336"/>
      <c r="G4" s="336"/>
      <c r="H4" s="336"/>
      <c r="I4" s="42" t="s">
        <v>84</v>
      </c>
      <c r="J4" s="42" t="s">
        <v>85</v>
      </c>
      <c r="K4" s="42" t="s">
        <v>86</v>
      </c>
      <c r="L4" s="42" t="s">
        <v>85</v>
      </c>
      <c r="M4" s="42" t="s">
        <v>87</v>
      </c>
      <c r="N4" s="42" t="s">
        <v>85</v>
      </c>
      <c r="O4" s="43" t="s">
        <v>84</v>
      </c>
      <c r="P4" s="43" t="s">
        <v>85</v>
      </c>
      <c r="Q4" s="43" t="s">
        <v>86</v>
      </c>
      <c r="R4" s="43" t="s">
        <v>85</v>
      </c>
      <c r="S4" s="43" t="s">
        <v>87</v>
      </c>
      <c r="T4" s="43" t="s">
        <v>85</v>
      </c>
      <c r="U4" s="26" t="s">
        <v>88</v>
      </c>
    </row>
    <row r="5" spans="1:21" x14ac:dyDescent="0.25">
      <c r="A5" s="1" t="s">
        <v>61</v>
      </c>
      <c r="B5" s="13" t="s">
        <v>13</v>
      </c>
      <c r="C5" s="13">
        <f>E13</f>
        <v>15746899.155132124</v>
      </c>
      <c r="D5" s="13">
        <f>E11</f>
        <v>0.9</v>
      </c>
      <c r="E5" s="13">
        <v>7</v>
      </c>
      <c r="F5" s="14">
        <f>E17/100</f>
        <v>0.95</v>
      </c>
      <c r="G5" s="13" t="s">
        <v>12</v>
      </c>
      <c r="H5" s="71" t="s">
        <v>62</v>
      </c>
      <c r="I5" s="1">
        <f>F39</f>
        <v>4545867.5</v>
      </c>
      <c r="J5" s="1">
        <f>G44+G45</f>
        <v>123.40119760479044</v>
      </c>
      <c r="K5" s="1">
        <f>G14+G16</f>
        <v>0</v>
      </c>
      <c r="L5" s="1">
        <v>0</v>
      </c>
      <c r="M5" s="1">
        <f>G54+0.01*I5</f>
        <v>55688.675000000003</v>
      </c>
      <c r="N5" s="1">
        <f>G53+J5*0.01</f>
        <v>219.39401197604792</v>
      </c>
      <c r="O5" s="1">
        <f>E39</f>
        <v>21255075</v>
      </c>
      <c r="P5" s="1">
        <f>F44+F45</f>
        <v>455.66467065868272</v>
      </c>
      <c r="Q5" s="1">
        <f>F14+F16</f>
        <v>51.255768595999996</v>
      </c>
      <c r="R5" s="1">
        <v>0</v>
      </c>
      <c r="S5" s="1">
        <f>F54+O5*0.01</f>
        <v>259050.75</v>
      </c>
      <c r="T5" s="1">
        <f>F53+P5*0.01</f>
        <v>884.75664670658671</v>
      </c>
      <c r="U5" s="1">
        <f>E21/100</f>
        <v>2.0499999999999997E-2</v>
      </c>
    </row>
    <row r="6" spans="1:21" x14ac:dyDescent="0.25">
      <c r="A6" s="1" t="s">
        <v>61</v>
      </c>
      <c r="B6" s="13" t="s">
        <v>13</v>
      </c>
      <c r="C6" s="13">
        <f>E13</f>
        <v>15746899.155132124</v>
      </c>
      <c r="D6" s="13">
        <f>E11</f>
        <v>0.9</v>
      </c>
      <c r="E6" s="13">
        <v>7</v>
      </c>
      <c r="F6" s="14">
        <f>E17/100</f>
        <v>0.95</v>
      </c>
      <c r="G6" s="13" t="s">
        <v>16</v>
      </c>
      <c r="H6" s="71" t="s">
        <v>63</v>
      </c>
      <c r="I6" s="1">
        <f>F39+G46+G47</f>
        <v>4564927.1060000006</v>
      </c>
      <c r="J6" s="1">
        <v>0</v>
      </c>
      <c r="K6" s="1">
        <f>G16+G15</f>
        <v>0</v>
      </c>
      <c r="L6" s="1">
        <v>0</v>
      </c>
      <c r="M6" s="1">
        <f>G55+0.01*I6</f>
        <v>45649.271060000006</v>
      </c>
      <c r="N6" s="1">
        <v>0</v>
      </c>
      <c r="O6" s="1">
        <f>E39+F46+F47</f>
        <v>21334259.07145825</v>
      </c>
      <c r="P6" s="1">
        <v>0</v>
      </c>
      <c r="Q6" s="1">
        <f>F15+F16</f>
        <v>51.189724659999996</v>
      </c>
      <c r="R6" s="1">
        <v>0</v>
      </c>
      <c r="S6" s="1">
        <f>F58+O6*0.01</f>
        <v>259842.5907145825</v>
      </c>
      <c r="T6" s="1">
        <v>0</v>
      </c>
      <c r="U6" s="1">
        <f>E21/100</f>
        <v>2.0499999999999997E-2</v>
      </c>
    </row>
    <row r="8" spans="1:21" x14ac:dyDescent="0.25">
      <c r="A8" s="21" t="s">
        <v>117</v>
      </c>
    </row>
    <row r="10" spans="1:21" x14ac:dyDescent="0.25">
      <c r="A10" s="12" t="s">
        <v>91</v>
      </c>
      <c r="B10" s="12" t="s">
        <v>92</v>
      </c>
      <c r="C10" s="12" t="s">
        <v>93</v>
      </c>
      <c r="D10" s="12" t="s">
        <v>94</v>
      </c>
      <c r="E10" s="12" t="s">
        <v>93</v>
      </c>
      <c r="F10" s="12" t="s">
        <v>95</v>
      </c>
      <c r="G10" s="12" t="s">
        <v>96</v>
      </c>
      <c r="H10" s="72" t="s">
        <v>97</v>
      </c>
      <c r="I10" s="12" t="s">
        <v>8</v>
      </c>
      <c r="J10" s="21"/>
    </row>
    <row r="11" spans="1:21" x14ac:dyDescent="0.25">
      <c r="A11" s="1" t="s">
        <v>99</v>
      </c>
      <c r="B11" s="1"/>
      <c r="C11" s="1"/>
      <c r="D11" s="1"/>
      <c r="E11" s="1">
        <v>0.9</v>
      </c>
      <c r="F11" s="1"/>
      <c r="G11" s="1"/>
      <c r="H11" s="1" t="s">
        <v>100</v>
      </c>
      <c r="I11" s="1">
        <v>18</v>
      </c>
    </row>
    <row r="12" spans="1:21" x14ac:dyDescent="0.25">
      <c r="A12" s="1" t="s">
        <v>101</v>
      </c>
      <c r="B12" s="1" t="s">
        <v>102</v>
      </c>
      <c r="C12" s="1">
        <v>100</v>
      </c>
      <c r="D12" s="1"/>
      <c r="E12" s="1"/>
      <c r="F12" s="1"/>
      <c r="G12" s="1"/>
      <c r="H12" s="1"/>
      <c r="I12" s="1">
        <v>19</v>
      </c>
    </row>
    <row r="13" spans="1:21" x14ac:dyDescent="0.25">
      <c r="A13" s="1" t="s">
        <v>103</v>
      </c>
      <c r="B13" s="1" t="s">
        <v>104</v>
      </c>
      <c r="C13" s="1">
        <v>20000</v>
      </c>
      <c r="D13" s="1" t="s">
        <v>260</v>
      </c>
      <c r="E13" s="13">
        <f>C13*24*365/11.126</f>
        <v>15746899.155132124</v>
      </c>
      <c r="F13" s="1"/>
      <c r="G13" s="1"/>
      <c r="H13" s="1"/>
      <c r="I13" s="1">
        <v>10</v>
      </c>
    </row>
    <row r="14" spans="1:21" x14ac:dyDescent="0.25">
      <c r="A14" s="334" t="s">
        <v>105</v>
      </c>
      <c r="B14" s="1" t="s">
        <v>106</v>
      </c>
      <c r="C14" s="1">
        <v>1.4</v>
      </c>
      <c r="D14" s="1" t="s">
        <v>107</v>
      </c>
      <c r="E14" s="1">
        <f>C14*11.126</f>
        <v>15.576399999999998</v>
      </c>
      <c r="F14" s="16">
        <f>4.89*E14/1000</f>
        <v>7.6168595999999977E-2</v>
      </c>
      <c r="G14" s="16">
        <v>0</v>
      </c>
      <c r="H14" s="1" t="s">
        <v>273</v>
      </c>
      <c r="I14" s="1">
        <v>25</v>
      </c>
    </row>
    <row r="15" spans="1:21" x14ac:dyDescent="0.25">
      <c r="A15" s="334"/>
      <c r="B15" s="1"/>
      <c r="C15" s="1">
        <v>1.4</v>
      </c>
      <c r="D15" s="1" t="s">
        <v>107</v>
      </c>
      <c r="E15" s="1"/>
      <c r="F15" s="17">
        <f>0.65*E14/1000</f>
        <v>1.0124659999999999E-2</v>
      </c>
      <c r="G15" s="17">
        <v>0</v>
      </c>
      <c r="H15" s="1" t="s">
        <v>274</v>
      </c>
      <c r="I15" s="1">
        <v>26</v>
      </c>
    </row>
    <row r="16" spans="1:21" x14ac:dyDescent="0.25">
      <c r="A16" s="1" t="s">
        <v>261</v>
      </c>
      <c r="B16" s="1" t="s">
        <v>108</v>
      </c>
      <c r="C16" s="1">
        <v>4.5999999999999996</v>
      </c>
      <c r="D16" s="1" t="s">
        <v>262</v>
      </c>
      <c r="E16" s="1"/>
      <c r="F16" s="13">
        <f>4.6*11.126</f>
        <v>51.179599999999994</v>
      </c>
      <c r="G16" s="13">
        <v>0</v>
      </c>
      <c r="H16" s="1"/>
      <c r="I16" s="1">
        <v>19</v>
      </c>
    </row>
    <row r="17" spans="1:12" x14ac:dyDescent="0.25">
      <c r="A17" s="1" t="s">
        <v>32</v>
      </c>
      <c r="B17" s="1" t="s">
        <v>109</v>
      </c>
      <c r="C17" s="1">
        <v>100</v>
      </c>
      <c r="D17" s="1" t="s">
        <v>109</v>
      </c>
      <c r="E17" s="13">
        <v>95</v>
      </c>
      <c r="F17" s="1"/>
      <c r="G17" s="1"/>
      <c r="H17" s="18" t="s">
        <v>263</v>
      </c>
      <c r="I17" s="18">
        <v>21</v>
      </c>
    </row>
    <row r="18" spans="1:12" x14ac:dyDescent="0.25">
      <c r="A18" s="1" t="s">
        <v>110</v>
      </c>
      <c r="B18" s="1" t="s">
        <v>111</v>
      </c>
      <c r="C18" s="19">
        <v>4500</v>
      </c>
      <c r="D18" s="1"/>
      <c r="E18" s="1"/>
      <c r="F18" s="1"/>
      <c r="G18" s="1"/>
      <c r="H18" s="1" t="s">
        <v>272</v>
      </c>
      <c r="I18" s="1">
        <v>22</v>
      </c>
    </row>
    <row r="19" spans="1:12" x14ac:dyDescent="0.25">
      <c r="A19" s="1" t="s">
        <v>112</v>
      </c>
      <c r="B19" s="1" t="s">
        <v>113</v>
      </c>
      <c r="C19" s="19">
        <v>20</v>
      </c>
      <c r="D19" s="1"/>
      <c r="E19" s="1"/>
      <c r="F19" s="1"/>
      <c r="G19" s="1"/>
      <c r="H19" s="1"/>
      <c r="I19" s="1">
        <v>19</v>
      </c>
    </row>
    <row r="20" spans="1:12" x14ac:dyDescent="0.25">
      <c r="A20" s="1" t="s">
        <v>114</v>
      </c>
      <c r="B20" s="1"/>
      <c r="C20" s="19">
        <v>10</v>
      </c>
      <c r="D20" s="1"/>
      <c r="E20" s="1"/>
      <c r="F20" s="1"/>
      <c r="G20" s="1"/>
      <c r="H20" s="1" t="s">
        <v>264</v>
      </c>
      <c r="I20" s="1">
        <v>10</v>
      </c>
    </row>
    <row r="21" spans="1:12" x14ac:dyDescent="0.25">
      <c r="A21" s="1" t="s">
        <v>115</v>
      </c>
      <c r="B21" s="1" t="s">
        <v>109</v>
      </c>
      <c r="C21" s="1">
        <v>2.0499999999999998</v>
      </c>
      <c r="D21" s="1" t="s">
        <v>109</v>
      </c>
      <c r="E21" s="1">
        <v>2.0499999999999998</v>
      </c>
      <c r="F21" s="1"/>
      <c r="G21" s="1"/>
      <c r="H21" s="1" t="s">
        <v>116</v>
      </c>
      <c r="I21" s="1">
        <v>20</v>
      </c>
      <c r="L21" s="74"/>
    </row>
    <row r="23" spans="1:12" x14ac:dyDescent="0.25">
      <c r="A23" s="21" t="s">
        <v>120</v>
      </c>
    </row>
    <row r="25" spans="1:12" x14ac:dyDescent="0.25">
      <c r="A25" t="s">
        <v>297</v>
      </c>
    </row>
    <row r="27" spans="1:12" x14ac:dyDescent="0.25">
      <c r="A27" s="1" t="s">
        <v>120</v>
      </c>
      <c r="B27" s="1" t="s">
        <v>165</v>
      </c>
      <c r="C27" s="1" t="s">
        <v>265</v>
      </c>
      <c r="D27" s="1" t="s">
        <v>8</v>
      </c>
      <c r="E27" s="32" t="s">
        <v>121</v>
      </c>
      <c r="F27" s="32" t="s">
        <v>122</v>
      </c>
      <c r="G27" s="1" t="s">
        <v>8</v>
      </c>
    </row>
    <row r="28" spans="1:12" ht="15" customHeight="1" x14ac:dyDescent="0.25">
      <c r="A28" s="1" t="s">
        <v>123</v>
      </c>
      <c r="B28" s="1" t="s">
        <v>124</v>
      </c>
      <c r="C28" s="1">
        <v>52800</v>
      </c>
      <c r="D28" s="1">
        <v>19</v>
      </c>
      <c r="E28" s="1">
        <f>176*C28</f>
        <v>9292800</v>
      </c>
      <c r="F28" s="1">
        <f>36.8*C28</f>
        <v>1943039.9999999998</v>
      </c>
      <c r="G28" s="1">
        <v>28</v>
      </c>
    </row>
    <row r="29" spans="1:12" x14ac:dyDescent="0.25">
      <c r="A29" s="1" t="s">
        <v>125</v>
      </c>
      <c r="B29" s="1" t="s">
        <v>124</v>
      </c>
      <c r="C29" s="1">
        <v>2700</v>
      </c>
      <c r="D29" s="1">
        <v>19</v>
      </c>
      <c r="E29" s="1">
        <f>55.9*C29</f>
        <v>150930</v>
      </c>
      <c r="F29" s="1">
        <f>13.1*C29</f>
        <v>35370</v>
      </c>
      <c r="G29" s="1">
        <v>28</v>
      </c>
    </row>
    <row r="30" spans="1:12" x14ac:dyDescent="0.25">
      <c r="A30" s="1" t="s">
        <v>126</v>
      </c>
      <c r="B30" s="1" t="s">
        <v>124</v>
      </c>
      <c r="C30" s="1">
        <v>10000</v>
      </c>
      <c r="D30" s="1">
        <v>19</v>
      </c>
      <c r="E30" s="1">
        <f>21.6*C30</f>
        <v>216000</v>
      </c>
      <c r="F30" s="1">
        <f>C30*5.8</f>
        <v>58000</v>
      </c>
      <c r="G30" s="1">
        <v>28</v>
      </c>
    </row>
    <row r="31" spans="1:12" x14ac:dyDescent="0.25">
      <c r="A31" s="1" t="s">
        <v>127</v>
      </c>
      <c r="B31" s="1" t="s">
        <v>124</v>
      </c>
      <c r="C31" s="1">
        <v>450</v>
      </c>
      <c r="D31" s="1">
        <v>19</v>
      </c>
      <c r="E31" s="1">
        <f>17.8*C31</f>
        <v>8010</v>
      </c>
      <c r="F31" s="1">
        <f>3.99*C31</f>
        <v>1795.5</v>
      </c>
      <c r="G31" s="1">
        <v>28</v>
      </c>
    </row>
    <row r="32" spans="1:12" x14ac:dyDescent="0.25">
      <c r="A32" s="1" t="s">
        <v>128</v>
      </c>
      <c r="B32" s="1" t="s">
        <v>124</v>
      </c>
      <c r="C32" s="1">
        <v>1600</v>
      </c>
      <c r="D32" s="1">
        <v>19</v>
      </c>
      <c r="E32" s="1">
        <f>84.4*C32</f>
        <v>135040</v>
      </c>
      <c r="F32" s="1">
        <f>16.8*C32</f>
        <v>26880</v>
      </c>
      <c r="G32" s="1">
        <v>28</v>
      </c>
    </row>
    <row r="33" spans="1:9" x14ac:dyDescent="0.25">
      <c r="A33" s="1" t="s">
        <v>129</v>
      </c>
      <c r="B33" s="1" t="s">
        <v>124</v>
      </c>
      <c r="C33" s="1">
        <v>900</v>
      </c>
      <c r="D33" s="1">
        <v>19</v>
      </c>
      <c r="E33" s="1">
        <f>44.5*C33</f>
        <v>40050</v>
      </c>
      <c r="F33" s="1">
        <f>12.98*C33</f>
        <v>11682</v>
      </c>
      <c r="G33" s="1">
        <v>28</v>
      </c>
    </row>
    <row r="34" spans="1:9" ht="19.149999999999999" customHeight="1" x14ac:dyDescent="0.25">
      <c r="A34" s="1" t="s">
        <v>130</v>
      </c>
      <c r="B34" s="1" t="s">
        <v>124</v>
      </c>
      <c r="C34" s="1">
        <v>75</v>
      </c>
      <c r="D34" s="1">
        <v>19</v>
      </c>
      <c r="E34" s="1">
        <f>13223*C34</f>
        <v>991725</v>
      </c>
      <c r="F34" s="1">
        <f>2910*C34</f>
        <v>218250</v>
      </c>
      <c r="G34" s="1">
        <v>28</v>
      </c>
    </row>
    <row r="35" spans="1:9" x14ac:dyDescent="0.25">
      <c r="A35" s="1" t="s">
        <v>131</v>
      </c>
      <c r="B35" s="1" t="s">
        <v>124</v>
      </c>
      <c r="C35" s="1">
        <v>7.5</v>
      </c>
      <c r="D35" s="1">
        <v>19</v>
      </c>
      <c r="E35" s="1">
        <f>C35*311136</f>
        <v>2333520</v>
      </c>
      <c r="F35" s="1">
        <f>C35*13900</f>
        <v>104250</v>
      </c>
      <c r="G35" s="1">
        <v>28</v>
      </c>
    </row>
    <row r="36" spans="1:9" ht="15" customHeight="1" x14ac:dyDescent="0.25">
      <c r="A36" s="32" t="s">
        <v>132</v>
      </c>
      <c r="B36" s="32" t="s">
        <v>124</v>
      </c>
      <c r="C36" s="32">
        <f>4800*100</f>
        <v>480000</v>
      </c>
      <c r="D36" s="1">
        <v>23</v>
      </c>
      <c r="E36" s="32">
        <f>11*C36</f>
        <v>5280000</v>
      </c>
      <c r="F36" s="32">
        <f>3.1*C36</f>
        <v>1488000</v>
      </c>
      <c r="G36" s="1">
        <v>28</v>
      </c>
    </row>
    <row r="37" spans="1:9" x14ac:dyDescent="0.25">
      <c r="A37" s="32" t="s">
        <v>133</v>
      </c>
      <c r="B37" s="32" t="s">
        <v>124</v>
      </c>
      <c r="C37" s="32">
        <f>100*1900</f>
        <v>190000</v>
      </c>
      <c r="D37" s="1">
        <v>23</v>
      </c>
      <c r="E37" s="32">
        <f>11*C37</f>
        <v>2090000</v>
      </c>
      <c r="F37" s="32">
        <f>3.1*C37</f>
        <v>589000</v>
      </c>
      <c r="G37" s="1">
        <v>28</v>
      </c>
    </row>
    <row r="38" spans="1:9" x14ac:dyDescent="0.25">
      <c r="A38" s="32" t="s">
        <v>134</v>
      </c>
      <c r="B38" s="32" t="s">
        <v>124</v>
      </c>
      <c r="C38" s="32">
        <f>100*300</f>
        <v>30000</v>
      </c>
      <c r="D38" s="1">
        <v>23</v>
      </c>
      <c r="E38" s="32">
        <f>23.9*C38</f>
        <v>717000</v>
      </c>
      <c r="F38" s="32">
        <f>2.32*C38</f>
        <v>69600</v>
      </c>
      <c r="G38" s="1">
        <v>28</v>
      </c>
    </row>
    <row r="39" spans="1:9" x14ac:dyDescent="0.25">
      <c r="A39" s="1" t="s">
        <v>266</v>
      </c>
      <c r="B39" s="1" t="s">
        <v>265</v>
      </c>
      <c r="C39" s="19">
        <f>SUM(C28:C38)</f>
        <v>768532.5</v>
      </c>
      <c r="D39" s="1"/>
      <c r="E39" s="13">
        <f>SUM(E28:E38)</f>
        <v>21255075</v>
      </c>
      <c r="F39" s="13">
        <f>SUM(F28:F38)</f>
        <v>4545867.5</v>
      </c>
      <c r="G39" s="1"/>
    </row>
    <row r="41" spans="1:9" x14ac:dyDescent="0.25">
      <c r="A41" s="21" t="s">
        <v>137</v>
      </c>
    </row>
    <row r="43" spans="1:9" x14ac:dyDescent="0.25">
      <c r="A43" s="1"/>
      <c r="B43" s="1"/>
      <c r="C43" s="1"/>
      <c r="D43" s="1"/>
      <c r="E43" s="1"/>
      <c r="F43" s="1" t="s">
        <v>138</v>
      </c>
      <c r="G43" s="1" t="s">
        <v>139</v>
      </c>
      <c r="H43" s="1"/>
      <c r="I43" s="1" t="s">
        <v>8</v>
      </c>
    </row>
    <row r="44" spans="1:9" x14ac:dyDescent="0.25">
      <c r="A44" s="1" t="s">
        <v>140</v>
      </c>
      <c r="B44" s="1" t="s">
        <v>141</v>
      </c>
      <c r="C44" s="1">
        <v>2</v>
      </c>
      <c r="D44" s="1" t="s">
        <v>142</v>
      </c>
      <c r="E44" s="17">
        <v>2</v>
      </c>
      <c r="F44" s="16">
        <f>160/16.7*11.89*C44</f>
        <v>227.83233532934136</v>
      </c>
      <c r="G44" s="16">
        <f>160/16.7*3.22*C44</f>
        <v>61.70059880239522</v>
      </c>
      <c r="H44" s="1" t="s">
        <v>279</v>
      </c>
      <c r="I44" s="1" t="s">
        <v>1123</v>
      </c>
    </row>
    <row r="45" spans="1:9" x14ac:dyDescent="0.25">
      <c r="A45" s="1" t="s">
        <v>144</v>
      </c>
      <c r="B45" s="1" t="s">
        <v>141</v>
      </c>
      <c r="C45" s="1">
        <v>2</v>
      </c>
      <c r="D45" s="1" t="s">
        <v>142</v>
      </c>
      <c r="E45" s="17">
        <v>2</v>
      </c>
      <c r="F45" s="16">
        <f>160/16.7*11.89*C45</f>
        <v>227.83233532934136</v>
      </c>
      <c r="G45" s="16">
        <f>160/16.7*3.22*C45</f>
        <v>61.70059880239522</v>
      </c>
      <c r="H45" s="1" t="s">
        <v>145</v>
      </c>
      <c r="I45" s="1" t="s">
        <v>1123</v>
      </c>
    </row>
    <row r="46" spans="1:9" x14ac:dyDescent="0.25">
      <c r="A46" s="1" t="s">
        <v>146</v>
      </c>
      <c r="B46" s="1" t="s">
        <v>147</v>
      </c>
      <c r="C46" s="1">
        <v>200</v>
      </c>
      <c r="D46" s="1" t="s">
        <v>148</v>
      </c>
      <c r="E46" s="1"/>
      <c r="F46" s="17">
        <f>G46/0.2407</f>
        <v>39592.035729123389</v>
      </c>
      <c r="G46" s="17">
        <f>C46*62/1000*C39/1000</f>
        <v>9529.8029999999999</v>
      </c>
      <c r="H46" s="1" t="s">
        <v>280</v>
      </c>
      <c r="I46" s="1" t="s">
        <v>1124</v>
      </c>
    </row>
    <row r="47" spans="1:9" x14ac:dyDescent="0.25">
      <c r="A47" s="1" t="s">
        <v>150</v>
      </c>
      <c r="B47" s="1" t="s">
        <v>147</v>
      </c>
      <c r="C47" s="1">
        <v>200</v>
      </c>
      <c r="D47" s="1" t="s">
        <v>148</v>
      </c>
      <c r="E47" s="1"/>
      <c r="F47" s="17">
        <f>G47/0.2407</f>
        <v>39592.035729123389</v>
      </c>
      <c r="G47" s="17">
        <f>C47*62/1000*C39/1000</f>
        <v>9529.8029999999999</v>
      </c>
      <c r="H47" s="1" t="s">
        <v>280</v>
      </c>
      <c r="I47" s="1" t="s">
        <v>1124</v>
      </c>
    </row>
    <row r="49" spans="1:11" x14ac:dyDescent="0.25">
      <c r="A49" s="21" t="s">
        <v>87</v>
      </c>
    </row>
    <row r="51" spans="1:11" x14ac:dyDescent="0.25">
      <c r="A51" s="12" t="s">
        <v>152</v>
      </c>
      <c r="B51" s="1"/>
      <c r="C51" s="1"/>
      <c r="D51" s="1"/>
      <c r="E51" s="1"/>
      <c r="F51" s="1" t="s">
        <v>153</v>
      </c>
      <c r="G51" s="1" t="s">
        <v>154</v>
      </c>
      <c r="H51" s="1"/>
      <c r="I51" s="1" t="s">
        <v>8</v>
      </c>
    </row>
    <row r="52" spans="1:11" x14ac:dyDescent="0.25">
      <c r="A52" s="1" t="s">
        <v>155</v>
      </c>
      <c r="B52" s="1" t="s">
        <v>156</v>
      </c>
      <c r="C52" s="19">
        <v>15</v>
      </c>
      <c r="D52" s="1"/>
      <c r="E52" s="1"/>
      <c r="F52" s="1"/>
      <c r="G52" s="1"/>
      <c r="H52" s="1" t="s">
        <v>275</v>
      </c>
      <c r="I52" s="28" t="s">
        <v>1125</v>
      </c>
      <c r="K52" s="74"/>
    </row>
    <row r="53" spans="1:11" x14ac:dyDescent="0.25">
      <c r="A53" s="28" t="s">
        <v>157</v>
      </c>
      <c r="B53" s="1" t="s">
        <v>142</v>
      </c>
      <c r="C53" s="1"/>
      <c r="D53" s="1" t="s">
        <v>142</v>
      </c>
      <c r="E53" s="1"/>
      <c r="F53" s="16">
        <f>1.63*C52*18*2</f>
        <v>880.19999999999993</v>
      </c>
      <c r="G53" s="16">
        <f>0.404*C52*18*2</f>
        <v>218.16000000000003</v>
      </c>
      <c r="H53" s="1" t="s">
        <v>276</v>
      </c>
      <c r="I53" s="32" t="s">
        <v>1126</v>
      </c>
    </row>
    <row r="54" spans="1:11" x14ac:dyDescent="0.25">
      <c r="A54" s="28" t="s">
        <v>159</v>
      </c>
      <c r="B54" s="1" t="s">
        <v>160</v>
      </c>
      <c r="C54" s="1">
        <v>15.5</v>
      </c>
      <c r="D54" s="1" t="s">
        <v>164</v>
      </c>
      <c r="E54" s="1"/>
      <c r="F54" s="17">
        <f>G54/0.22</f>
        <v>46500</v>
      </c>
      <c r="G54" s="17">
        <f>C54*C52*44</f>
        <v>10230</v>
      </c>
      <c r="H54" s="1" t="s">
        <v>277</v>
      </c>
      <c r="I54" s="32" t="s">
        <v>1127</v>
      </c>
    </row>
    <row r="55" spans="1:11" x14ac:dyDescent="0.25">
      <c r="I55" s="23"/>
    </row>
    <row r="56" spans="1:11" x14ac:dyDescent="0.25">
      <c r="A56" s="75" t="s">
        <v>161</v>
      </c>
      <c r="B56" s="1"/>
      <c r="C56" s="1"/>
      <c r="D56" s="1"/>
      <c r="E56" s="1"/>
      <c r="F56" s="1"/>
      <c r="G56" s="1"/>
      <c r="H56" s="1"/>
      <c r="I56" s="1" t="s">
        <v>8</v>
      </c>
    </row>
    <row r="57" spans="1:11" x14ac:dyDescent="0.25">
      <c r="A57" s="1" t="s">
        <v>155</v>
      </c>
      <c r="B57" s="1" t="s">
        <v>156</v>
      </c>
      <c r="C57" s="19">
        <v>15</v>
      </c>
      <c r="D57" s="1"/>
      <c r="E57" s="1"/>
      <c r="F57" s="1"/>
      <c r="G57" s="1"/>
      <c r="H57" s="1" t="s">
        <v>275</v>
      </c>
      <c r="I57" s="28" t="s">
        <v>1125</v>
      </c>
      <c r="K57" s="74"/>
    </row>
    <row r="58" spans="1:11" x14ac:dyDescent="0.25">
      <c r="A58" s="1" t="s">
        <v>162</v>
      </c>
      <c r="B58" s="1" t="s">
        <v>267</v>
      </c>
      <c r="C58" s="1">
        <v>15.5</v>
      </c>
      <c r="D58" s="1" t="s">
        <v>164</v>
      </c>
      <c r="E58" s="1"/>
      <c r="F58" s="17">
        <f>G58/0.22</f>
        <v>46500</v>
      </c>
      <c r="G58" s="17">
        <f>C58*C57*44</f>
        <v>10230</v>
      </c>
      <c r="H58" s="1" t="s">
        <v>277</v>
      </c>
      <c r="I58" s="78" t="s">
        <v>1127</v>
      </c>
    </row>
    <row r="61" spans="1:11" x14ac:dyDescent="0.25">
      <c r="A61" s="12" t="s">
        <v>268</v>
      </c>
      <c r="B61" s="1" t="s">
        <v>269</v>
      </c>
      <c r="C61" s="1" t="s">
        <v>8</v>
      </c>
    </row>
    <row r="62" spans="1:11" x14ac:dyDescent="0.25">
      <c r="A62" s="1" t="s">
        <v>270</v>
      </c>
      <c r="B62" s="1" t="s">
        <v>278</v>
      </c>
      <c r="C62" s="1">
        <v>33</v>
      </c>
    </row>
  </sheetData>
  <mergeCells count="11">
    <mergeCell ref="I3:N3"/>
    <mergeCell ref="O3:T3"/>
    <mergeCell ref="A14:A15"/>
    <mergeCell ref="F3:F4"/>
    <mergeCell ref="G3:G4"/>
    <mergeCell ref="H3:H4"/>
    <mergeCell ref="A3:A4"/>
    <mergeCell ref="B3:B4"/>
    <mergeCell ref="C3:C4"/>
    <mergeCell ref="D3:D4"/>
    <mergeCell ref="E3:E4"/>
  </mergeCells>
  <phoneticPr fontId="10" type="noConversion"/>
  <hyperlinks>
    <hyperlink ref="B1" location="'2'!A1" display="production methods" xr:uid="{726E709F-717D-4AE2-BC3F-131E35E4DB2C}"/>
    <hyperlink ref="A1" location="Contents!A1" display="contents" xr:uid="{3E157CDA-C858-4E48-B434-FD3DAEDBDC6B}"/>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1. Energy Sources</vt:lpstr>
      <vt:lpstr>2. H2 Production Methods</vt:lpstr>
      <vt:lpstr>3. H2 Production Infrastructure</vt:lpstr>
      <vt:lpstr>4. Transmission Infrastructure</vt:lpstr>
      <vt:lpstr>5. Transmission Vector</vt:lpstr>
      <vt:lpstr>6. MC Bounds</vt:lpstr>
      <vt:lpstr>References</vt:lpstr>
      <vt:lpstr>2.1</vt:lpstr>
      <vt:lpstr>2.2.</vt:lpstr>
      <vt:lpstr>2.3</vt:lpstr>
      <vt:lpstr>2.4</vt:lpstr>
      <vt:lpstr>2.5.</vt:lpstr>
      <vt:lpstr>2.6.</vt:lpstr>
      <vt:lpstr>3.1. Centralised Offshore</vt:lpstr>
      <vt:lpstr>3.2. Decentralised Offshore</vt:lpstr>
      <vt:lpstr>3.3. Onshore</vt:lpstr>
      <vt:lpstr>4.1. Pipelines</vt:lpstr>
      <vt:lpstr>4.2. Cable</vt:lpstr>
      <vt:lpstr>4.3. Vessel - LH2</vt:lpstr>
      <vt:lpstr>4.4. Vessel - NH3</vt:lpstr>
      <vt:lpstr>4.5. Vessel LOHC</vt:lpstr>
      <vt:lpstr>5.1. LH2 </vt:lpstr>
      <vt:lpstr>5.2. CH2 - 60bar</vt:lpstr>
      <vt:lpstr>5.3. LOHC</vt:lpstr>
      <vt:lpstr>5.4. NH3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 Bennett</dc:creator>
  <cp:lastModifiedBy>Alice Bennett</cp:lastModifiedBy>
  <dcterms:created xsi:type="dcterms:W3CDTF">2024-01-08T14:06:13Z</dcterms:created>
  <dcterms:modified xsi:type="dcterms:W3CDTF">2024-03-12T13:59:43Z</dcterms:modified>
</cp:coreProperties>
</file>