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ared\alex-bartella-schoolwork\4b03\a2\"/>
    </mc:Choice>
  </mc:AlternateContent>
  <xr:revisionPtr revIDLastSave="0" documentId="13_ncr:1_{CAB02BE9-620B-4A0F-B3C2-5490999D718F}" xr6:coauthVersionLast="47" xr6:coauthVersionMax="47" xr10:uidLastSave="{00000000-0000-0000-0000-000000000000}"/>
  <bookViews>
    <workbookView xWindow="-110" yWindow="490" windowWidth="19420" windowHeight="11620" tabRatio="689" firstSheet="1" activeTab="2" xr2:uid="{00000000-000D-0000-FFFF-FFFF00000000}"/>
  </bookViews>
  <sheets>
    <sheet name="Chalk Roller 3D printed w ads" sheetId="5" r:id="rId1"/>
    <sheet name="Chalk Roller 3D printed" sheetId="1" r:id="rId2"/>
    <sheet name="Chalk Roller Inj Mold w ads" sheetId="4" r:id="rId3"/>
    <sheet name="Chalk Roller Inj Mol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D22" i="5"/>
  <c r="E22" i="5"/>
  <c r="F22" i="5"/>
  <c r="G22" i="5"/>
  <c r="H22" i="5"/>
  <c r="I22" i="5"/>
  <c r="B22" i="5"/>
  <c r="C16" i="5"/>
  <c r="D16" i="5"/>
  <c r="E16" i="5"/>
  <c r="F16" i="5"/>
  <c r="G16" i="5"/>
  <c r="H16" i="5"/>
  <c r="I16" i="5"/>
  <c r="B16" i="5"/>
  <c r="I68" i="5"/>
  <c r="I70" i="5" s="1"/>
  <c r="H68" i="5"/>
  <c r="H70" i="5" s="1"/>
  <c r="G68" i="5"/>
  <c r="G70" i="5" s="1"/>
  <c r="F68" i="5"/>
  <c r="F70" i="5" s="1"/>
  <c r="E68" i="5"/>
  <c r="E70" i="5" s="1"/>
  <c r="D68" i="5"/>
  <c r="D70" i="5" s="1"/>
  <c r="C68" i="5"/>
  <c r="C70" i="5" s="1"/>
  <c r="B68" i="5"/>
  <c r="B70" i="5" s="1"/>
  <c r="B17" i="5" s="1"/>
  <c r="C61" i="5"/>
  <c r="D61" i="5" s="1"/>
  <c r="E61" i="5" s="1"/>
  <c r="F61" i="5" s="1"/>
  <c r="G61" i="5" s="1"/>
  <c r="H61" i="5" s="1"/>
  <c r="I61" i="5" s="1"/>
  <c r="B42" i="5"/>
  <c r="C36" i="5"/>
  <c r="C10" i="5" s="1"/>
  <c r="C12" i="5" s="1"/>
  <c r="C4" i="5"/>
  <c r="B17" i="1"/>
  <c r="C17" i="1"/>
  <c r="D17" i="1"/>
  <c r="E17" i="1"/>
  <c r="F17" i="1"/>
  <c r="G17" i="1"/>
  <c r="I17" i="1"/>
  <c r="I15" i="1"/>
  <c r="C12" i="1"/>
  <c r="C10" i="1"/>
  <c r="D20" i="2"/>
  <c r="C20" i="2"/>
  <c r="B20" i="2"/>
  <c r="B19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I20" i="2" s="1"/>
  <c r="H15" i="2"/>
  <c r="H20" i="2" s="1"/>
  <c r="G15" i="2"/>
  <c r="G20" i="2" s="1"/>
  <c r="F15" i="2"/>
  <c r="F20" i="2" s="1"/>
  <c r="E15" i="2"/>
  <c r="E20" i="2" s="1"/>
  <c r="D15" i="2"/>
  <c r="C15" i="2"/>
  <c r="B15" i="2"/>
  <c r="I10" i="2"/>
  <c r="I12" i="2" s="1"/>
  <c r="I22" i="2" s="1"/>
  <c r="I23" i="2" s="1"/>
  <c r="H10" i="2"/>
  <c r="H12" i="2" s="1"/>
  <c r="G10" i="2"/>
  <c r="G12" i="2" s="1"/>
  <c r="G22" i="2" s="1"/>
  <c r="G23" i="2" s="1"/>
  <c r="F10" i="2"/>
  <c r="F12" i="2" s="1"/>
  <c r="F22" i="2" s="1"/>
  <c r="F23" i="2" s="1"/>
  <c r="E10" i="2"/>
  <c r="E12" i="2" s="1"/>
  <c r="E22" i="2" s="1"/>
  <c r="E23" i="2" s="1"/>
  <c r="D10" i="2"/>
  <c r="D12" i="2" s="1"/>
  <c r="D22" i="2" s="1"/>
  <c r="D23" i="2" s="1"/>
  <c r="C10" i="2"/>
  <c r="C12" i="2" s="1"/>
  <c r="C22" i="2" s="1"/>
  <c r="C23" i="2" s="1"/>
  <c r="B10" i="2"/>
  <c r="B12" i="2" s="1"/>
  <c r="B22" i="2" s="1"/>
  <c r="B23" i="2" s="1"/>
  <c r="B10" i="4"/>
  <c r="B12" i="4" s="1"/>
  <c r="C12" i="4"/>
  <c r="F10" i="4"/>
  <c r="F12" i="4" s="1"/>
  <c r="G10" i="4"/>
  <c r="G12" i="4" s="1"/>
  <c r="C10" i="4"/>
  <c r="D10" i="4"/>
  <c r="B17" i="4"/>
  <c r="C17" i="4"/>
  <c r="D17" i="4"/>
  <c r="E17" i="4"/>
  <c r="F17" i="4"/>
  <c r="G17" i="4"/>
  <c r="H17" i="4"/>
  <c r="C15" i="4"/>
  <c r="F15" i="4"/>
  <c r="G15" i="4"/>
  <c r="D15" i="4"/>
  <c r="C16" i="4"/>
  <c r="D16" i="4"/>
  <c r="E16" i="4"/>
  <c r="F16" i="4"/>
  <c r="G16" i="4"/>
  <c r="H16" i="4"/>
  <c r="I16" i="4"/>
  <c r="B16" i="4"/>
  <c r="I58" i="4"/>
  <c r="H58" i="4"/>
  <c r="G58" i="4"/>
  <c r="F58" i="4"/>
  <c r="E58" i="4"/>
  <c r="D58" i="4"/>
  <c r="C58" i="4"/>
  <c r="B58" i="4"/>
  <c r="B50" i="4"/>
  <c r="B18" i="4" s="1"/>
  <c r="E47" i="4"/>
  <c r="F47" i="4" s="1"/>
  <c r="G47" i="4" s="1"/>
  <c r="H47" i="4" s="1"/>
  <c r="I47" i="4" s="1"/>
  <c r="D47" i="4"/>
  <c r="I41" i="4"/>
  <c r="F41" i="4"/>
  <c r="E41" i="4"/>
  <c r="D41" i="4"/>
  <c r="C41" i="4"/>
  <c r="F37" i="4"/>
  <c r="G37" i="4" s="1"/>
  <c r="C36" i="4"/>
  <c r="C4" i="4"/>
  <c r="B50" i="2"/>
  <c r="C43" i="2"/>
  <c r="B59" i="1"/>
  <c r="B61" i="1" s="1"/>
  <c r="D36" i="2"/>
  <c r="D43" i="2" s="1"/>
  <c r="C36" i="2"/>
  <c r="F37" i="2"/>
  <c r="G37" i="2" s="1"/>
  <c r="H37" i="2" s="1"/>
  <c r="B47" i="1"/>
  <c r="C34" i="1"/>
  <c r="D34" i="1" s="1"/>
  <c r="C59" i="1"/>
  <c r="C61" i="1" s="1"/>
  <c r="D59" i="1"/>
  <c r="E59" i="1"/>
  <c r="E61" i="1" s="1"/>
  <c r="F59" i="1"/>
  <c r="F61" i="1" s="1"/>
  <c r="G59" i="1"/>
  <c r="G61" i="1" s="1"/>
  <c r="H59" i="1"/>
  <c r="H61" i="1" s="1"/>
  <c r="I59" i="1"/>
  <c r="I61" i="1" s="1"/>
  <c r="I58" i="2"/>
  <c r="H58" i="2"/>
  <c r="G58" i="2"/>
  <c r="F58" i="2"/>
  <c r="E58" i="2"/>
  <c r="D58" i="2"/>
  <c r="C58" i="2"/>
  <c r="B58" i="2"/>
  <c r="D47" i="2"/>
  <c r="E47" i="2" s="1"/>
  <c r="F47" i="2" s="1"/>
  <c r="G47" i="2" s="1"/>
  <c r="H47" i="2" s="1"/>
  <c r="I47" i="2" s="1"/>
  <c r="I41" i="2"/>
  <c r="C4" i="2"/>
  <c r="D61" i="1"/>
  <c r="C52" i="1"/>
  <c r="D52" i="1" s="1"/>
  <c r="E52" i="1" s="1"/>
  <c r="F52" i="1" s="1"/>
  <c r="G52" i="1" s="1"/>
  <c r="H52" i="1" s="1"/>
  <c r="I52" i="1" s="1"/>
  <c r="B40" i="1"/>
  <c r="I18" i="1"/>
  <c r="H18" i="1"/>
  <c r="G18" i="1"/>
  <c r="F18" i="1"/>
  <c r="D18" i="1"/>
  <c r="C18" i="1"/>
  <c r="C4" i="1"/>
  <c r="D36" i="5" l="1"/>
  <c r="D17" i="5" s="1"/>
  <c r="B37" i="5"/>
  <c r="C17" i="5"/>
  <c r="H22" i="2"/>
  <c r="H23" i="2" s="1"/>
  <c r="B24" i="2" s="1"/>
  <c r="G20" i="4"/>
  <c r="G22" i="4" s="1"/>
  <c r="G23" i="4" s="1"/>
  <c r="F20" i="4"/>
  <c r="F22" i="4" s="1"/>
  <c r="F23" i="4" s="1"/>
  <c r="G41" i="4"/>
  <c r="H37" i="4"/>
  <c r="H41" i="4" s="1"/>
  <c r="C43" i="4"/>
  <c r="D36" i="4"/>
  <c r="C20" i="4"/>
  <c r="C22" i="4" s="1"/>
  <c r="C23" i="4" s="1"/>
  <c r="E36" i="2"/>
  <c r="F36" i="2" s="1"/>
  <c r="G36" i="2" s="1"/>
  <c r="H36" i="2" s="1"/>
  <c r="I36" i="2" s="1"/>
  <c r="H41" i="2"/>
  <c r="E34" i="1"/>
  <c r="E10" i="1" s="1"/>
  <c r="E12" i="1" s="1"/>
  <c r="D10" i="1"/>
  <c r="D12" i="1" s="1"/>
  <c r="B35" i="1"/>
  <c r="B44" i="1" s="1"/>
  <c r="C35" i="1"/>
  <c r="F34" i="1"/>
  <c r="F10" i="1" s="1"/>
  <c r="F12" i="1" s="1"/>
  <c r="D35" i="1"/>
  <c r="B50" i="1"/>
  <c r="B19" i="1" s="1"/>
  <c r="C41" i="2"/>
  <c r="D41" i="2"/>
  <c r="F41" i="2"/>
  <c r="E41" i="2"/>
  <c r="G41" i="2"/>
  <c r="E36" i="5" l="1"/>
  <c r="D37" i="5" s="1"/>
  <c r="B46" i="5"/>
  <c r="B53" i="5"/>
  <c r="B19" i="5" s="1"/>
  <c r="C37" i="5"/>
  <c r="D10" i="5"/>
  <c r="D12" i="5" s="1"/>
  <c r="E36" i="4"/>
  <c r="D12" i="4"/>
  <c r="D43" i="4"/>
  <c r="D20" i="4" s="1"/>
  <c r="B37" i="2"/>
  <c r="E43" i="2"/>
  <c r="E35" i="1"/>
  <c r="E44" i="1" s="1"/>
  <c r="G34" i="1"/>
  <c r="B45" i="1"/>
  <c r="B18" i="1" s="1"/>
  <c r="C50" i="1"/>
  <c r="C19" i="1" s="1"/>
  <c r="D50" i="1"/>
  <c r="D19" i="1" s="1"/>
  <c r="D53" i="5" l="1"/>
  <c r="D19" i="5" s="1"/>
  <c r="B47" i="5"/>
  <c r="B18" i="5" s="1"/>
  <c r="B48" i="5"/>
  <c r="B56" i="5" s="1"/>
  <c r="B55" i="5" s="1"/>
  <c r="B20" i="5" s="1"/>
  <c r="C53" i="5"/>
  <c r="C19" i="5" s="1"/>
  <c r="C46" i="5"/>
  <c r="C47" i="5" s="1"/>
  <c r="C18" i="5" s="1"/>
  <c r="E10" i="5"/>
  <c r="E12" i="5" s="1"/>
  <c r="E17" i="5"/>
  <c r="F36" i="5"/>
  <c r="E43" i="4"/>
  <c r="E15" i="4" s="1"/>
  <c r="E10" i="4"/>
  <c r="E12" i="4" s="1"/>
  <c r="F36" i="4"/>
  <c r="D22" i="4"/>
  <c r="D23" i="4" s="1"/>
  <c r="F43" i="2"/>
  <c r="F35" i="1"/>
  <c r="F50" i="1" s="1"/>
  <c r="F19" i="1" s="1"/>
  <c r="H34" i="1"/>
  <c r="G10" i="1"/>
  <c r="G12" i="1" s="1"/>
  <c r="E45" i="1"/>
  <c r="E18" i="1" s="1"/>
  <c r="E50" i="1"/>
  <c r="E19" i="1" s="1"/>
  <c r="C47" i="1"/>
  <c r="B15" i="1"/>
  <c r="B20" i="1" s="1"/>
  <c r="B22" i="1" s="1"/>
  <c r="B23" i="1" s="1"/>
  <c r="B50" i="5" l="1"/>
  <c r="B15" i="5" s="1"/>
  <c r="C48" i="5"/>
  <c r="C56" i="5" s="1"/>
  <c r="C55" i="5" s="1"/>
  <c r="C20" i="5" s="1"/>
  <c r="F10" i="5"/>
  <c r="F12" i="5" s="1"/>
  <c r="G36" i="5"/>
  <c r="F17" i="5"/>
  <c r="E37" i="5"/>
  <c r="E46" i="5" s="1"/>
  <c r="E47" i="5" s="1"/>
  <c r="E20" i="4"/>
  <c r="E22" i="4" s="1"/>
  <c r="E23" i="4" s="1"/>
  <c r="F43" i="4"/>
  <c r="G36" i="4"/>
  <c r="G43" i="2"/>
  <c r="E47" i="1"/>
  <c r="H10" i="1"/>
  <c r="H12" i="1" s="1"/>
  <c r="I34" i="1"/>
  <c r="I35" i="1" s="1"/>
  <c r="I50" i="1" s="1"/>
  <c r="I19" i="1" s="1"/>
  <c r="H17" i="1"/>
  <c r="G35" i="1"/>
  <c r="G50" i="1" s="1"/>
  <c r="G19" i="1" s="1"/>
  <c r="C15" i="1"/>
  <c r="C20" i="1" s="1"/>
  <c r="C22" i="1" s="1"/>
  <c r="C23" i="1" s="1"/>
  <c r="D47" i="1"/>
  <c r="D15" i="1" s="1"/>
  <c r="D20" i="1" s="1"/>
  <c r="D22" i="1" s="1"/>
  <c r="D23" i="1" s="1"/>
  <c r="F47" i="1"/>
  <c r="E15" i="1"/>
  <c r="E20" i="1" s="1"/>
  <c r="E22" i="1" s="1"/>
  <c r="E23" i="1" s="1"/>
  <c r="B21" i="5" l="1"/>
  <c r="B24" i="5" s="1"/>
  <c r="B25" i="5" s="1"/>
  <c r="C50" i="5"/>
  <c r="C15" i="5" s="1"/>
  <c r="D46" i="5"/>
  <c r="D47" i="5" s="1"/>
  <c r="D18" i="5" s="1"/>
  <c r="E53" i="5"/>
  <c r="E19" i="5" s="1"/>
  <c r="F37" i="5"/>
  <c r="F53" i="5" s="1"/>
  <c r="F19" i="5" s="1"/>
  <c r="H36" i="5"/>
  <c r="G10" i="5"/>
  <c r="G12" i="5" s="1"/>
  <c r="G17" i="5"/>
  <c r="G43" i="4"/>
  <c r="H36" i="4"/>
  <c r="H43" i="2"/>
  <c r="J36" i="2"/>
  <c r="H35" i="1"/>
  <c r="H50" i="1" s="1"/>
  <c r="H19" i="1" s="1"/>
  <c r="I10" i="1"/>
  <c r="I12" i="1" s="1"/>
  <c r="G47" i="1"/>
  <c r="F15" i="1"/>
  <c r="F20" i="1" s="1"/>
  <c r="F22" i="1" s="1"/>
  <c r="F23" i="1" s="1"/>
  <c r="C21" i="5" l="1"/>
  <c r="C24" i="5" s="1"/>
  <c r="C25" i="5" s="1"/>
  <c r="D48" i="5"/>
  <c r="D56" i="5" s="1"/>
  <c r="D55" i="5" s="1"/>
  <c r="D20" i="5" s="1"/>
  <c r="G37" i="5"/>
  <c r="G53" i="5" s="1"/>
  <c r="G19" i="5" s="1"/>
  <c r="I36" i="5"/>
  <c r="H10" i="5"/>
  <c r="H12" i="5" s="1"/>
  <c r="H17" i="5"/>
  <c r="E18" i="5"/>
  <c r="H43" i="4"/>
  <c r="H15" i="4" s="1"/>
  <c r="H10" i="4"/>
  <c r="H12" i="4" s="1"/>
  <c r="I36" i="4"/>
  <c r="I43" i="2"/>
  <c r="G15" i="1"/>
  <c r="G20" i="1" s="1"/>
  <c r="G22" i="1" s="1"/>
  <c r="G23" i="1" s="1"/>
  <c r="H47" i="1"/>
  <c r="D50" i="5" l="1"/>
  <c r="D15" i="5" s="1"/>
  <c r="E48" i="5"/>
  <c r="E56" i="5" s="1"/>
  <c r="E55" i="5" s="1"/>
  <c r="E20" i="5" s="1"/>
  <c r="H37" i="5"/>
  <c r="H53" i="5" s="1"/>
  <c r="H19" i="5" s="1"/>
  <c r="I17" i="5"/>
  <c r="I10" i="5"/>
  <c r="I12" i="5" s="1"/>
  <c r="I37" i="5"/>
  <c r="I53" i="5" s="1"/>
  <c r="I19" i="5" s="1"/>
  <c r="I10" i="4"/>
  <c r="I12" i="4" s="1"/>
  <c r="I43" i="4"/>
  <c r="I15" i="4" s="1"/>
  <c r="I17" i="4"/>
  <c r="B37" i="4"/>
  <c r="J36" i="4"/>
  <c r="H20" i="4"/>
  <c r="H22" i="4" s="1"/>
  <c r="H23" i="4" s="1"/>
  <c r="B41" i="2"/>
  <c r="B42" i="2"/>
  <c r="B46" i="2"/>
  <c r="H15" i="1"/>
  <c r="H20" i="1" s="1"/>
  <c r="H22" i="1" s="1"/>
  <c r="H23" i="1" s="1"/>
  <c r="I47" i="1"/>
  <c r="I20" i="1" s="1"/>
  <c r="I22" i="1" s="1"/>
  <c r="I23" i="1" s="1"/>
  <c r="D21" i="5" l="1"/>
  <c r="D24" i="5" s="1"/>
  <c r="D25" i="5" s="1"/>
  <c r="F46" i="5"/>
  <c r="F47" i="5" s="1"/>
  <c r="F18" i="5" s="1"/>
  <c r="E50" i="5"/>
  <c r="E15" i="5" s="1"/>
  <c r="I20" i="4"/>
  <c r="I22" i="4" s="1"/>
  <c r="I23" i="4" s="1"/>
  <c r="B46" i="4"/>
  <c r="B42" i="4"/>
  <c r="B15" i="4" s="1"/>
  <c r="B41" i="4"/>
  <c r="B19" i="4" s="1"/>
  <c r="B24" i="1"/>
  <c r="E21" i="5" l="1"/>
  <c r="E24" i="5" s="1"/>
  <c r="E25" i="5" s="1"/>
  <c r="F48" i="5"/>
  <c r="F56" i="5" s="1"/>
  <c r="F55" i="5" s="1"/>
  <c r="F20" i="5" s="1"/>
  <c r="B20" i="4"/>
  <c r="B22" i="4" s="1"/>
  <c r="B23" i="4" s="1"/>
  <c r="B24" i="4" s="1"/>
  <c r="G46" i="5" l="1"/>
  <c r="G47" i="5" s="1"/>
  <c r="G18" i="5" s="1"/>
  <c r="F50" i="5"/>
  <c r="F15" i="5" s="1"/>
  <c r="F21" i="5" l="1"/>
  <c r="F24" i="5" s="1"/>
  <c r="F25" i="5" s="1"/>
  <c r="G48" i="5"/>
  <c r="G56" i="5" s="1"/>
  <c r="G55" i="5" s="1"/>
  <c r="G20" i="5" s="1"/>
  <c r="H46" i="5" l="1"/>
  <c r="H47" i="5" s="1"/>
  <c r="H18" i="5" s="1"/>
  <c r="G50" i="5"/>
  <c r="G15" i="5" s="1"/>
  <c r="H48" i="5" l="1"/>
  <c r="H56" i="5" s="1"/>
  <c r="H55" i="5" s="1"/>
  <c r="H20" i="5" s="1"/>
  <c r="G21" i="5"/>
  <c r="G24" i="5" s="1"/>
  <c r="G25" i="5" s="1"/>
  <c r="H50" i="5" l="1"/>
  <c r="H15" i="5" s="1"/>
  <c r="H21" i="5" s="1"/>
  <c r="H24" i="5" s="1"/>
  <c r="H25" i="5" s="1"/>
  <c r="I46" i="5"/>
  <c r="I47" i="5" s="1"/>
  <c r="I18" i="5" s="1"/>
  <c r="I48" i="5"/>
  <c r="I50" i="5" s="1"/>
  <c r="I15" i="5" s="1"/>
  <c r="I56" i="5"/>
  <c r="I55" i="5" s="1"/>
  <c r="I20" i="5" s="1"/>
  <c r="I21" i="5" l="1"/>
  <c r="I24" i="5" s="1"/>
  <c r="I25" i="5" s="1"/>
  <c r="B26" i="5" s="1"/>
</calcChain>
</file>

<file path=xl/sharedStrings.xml><?xml version="1.0" encoding="utf-8"?>
<sst xmlns="http://schemas.openxmlformats.org/spreadsheetml/2006/main" count="258" uniqueCount="82">
  <si>
    <t>Annual Discount Rate</t>
  </si>
  <si>
    <t>* this represents opportunity cost,interest</t>
  </si>
  <si>
    <t>Quarterly Discount Rate</t>
  </si>
  <si>
    <t>interest/4</t>
  </si>
  <si>
    <t>Year 1</t>
  </si>
  <si>
    <t>Year 2</t>
  </si>
  <si>
    <t>Q1</t>
  </si>
  <si>
    <t>Q2</t>
  </si>
  <si>
    <t>Q3</t>
  </si>
  <si>
    <t>Q4</t>
  </si>
  <si>
    <t>n=</t>
  </si>
  <si>
    <t>Inflows</t>
  </si>
  <si>
    <t>Total Revenue</t>
  </si>
  <si>
    <t>Outflows</t>
  </si>
  <si>
    <t>Labour</t>
  </si>
  <si>
    <t>Advertising</t>
  </si>
  <si>
    <t>Storage + Fulfillment</t>
  </si>
  <si>
    <t>Printers</t>
  </si>
  <si>
    <t>Filament</t>
  </si>
  <si>
    <t>Total Costs</t>
  </si>
  <si>
    <t>Quarterly Cash Flow</t>
  </si>
  <si>
    <t>Quarterly NPV</t>
  </si>
  <si>
    <t>Total NPV</t>
  </si>
  <si>
    <t>Supporting Calculations</t>
  </si>
  <si>
    <t>Exchange rate</t>
  </si>
  <si>
    <t>Price per unit</t>
  </si>
  <si>
    <t>CAD</t>
  </si>
  <si>
    <t>Per Prusa Software</t>
  </si>
  <si>
    <t>Sales Volume (units)</t>
  </si>
  <si>
    <t>Pumpkins to be fabricated</t>
  </si>
  <si>
    <t>h</t>
  </si>
  <si>
    <t>Cost per printer</t>
  </si>
  <si>
    <t xml:space="preserve">USD per Prusa </t>
  </si>
  <si>
    <t>n Printers</t>
  </si>
  <si>
    <t>$ Printers</t>
  </si>
  <si>
    <t>* assume 1h/day to print deburr, maintain per printer, $16/hour</t>
  </si>
  <si>
    <t>Materials</t>
  </si>
  <si>
    <t>Storage</t>
  </si>
  <si>
    <t>* assume one storage unit</t>
  </si>
  <si>
    <t>Instagram Ads</t>
  </si>
  <si>
    <t>Amazon Fulfilment per unit</t>
  </si>
  <si>
    <t>Amazon Storage per 1000 pumpkins</t>
  </si>
  <si>
    <t>Storage and Fulflment per pumpkin</t>
  </si>
  <si>
    <t>Tooling</t>
  </si>
  <si>
    <t>USD</t>
  </si>
  <si>
    <t>Per inj mold</t>
  </si>
  <si>
    <t>Material Cost per pumpkin</t>
  </si>
  <si>
    <t>Mfg Labour</t>
  </si>
  <si>
    <t>Repacking Labour</t>
  </si>
  <si>
    <t>* assume 2 min per unit, $16/hr</t>
  </si>
  <si>
    <t>Packing</t>
  </si>
  <si>
    <t>* assume two storage unit</t>
  </si>
  <si>
    <t>* assume stored in storage unit when not being sold by amazon</t>
  </si>
  <si>
    <t>Roller Sales</t>
  </si>
  <si>
    <t>Rollers per unit</t>
  </si>
  <si>
    <t>Material cost per roller</t>
  </si>
  <si>
    <t>Rollers to be fabricated</t>
  </si>
  <si>
    <t>Fabrication TIme per roller</t>
  </si>
  <si>
    <t>4 rollers/day/printer</t>
  </si>
  <si>
    <t>Amazon Storage per 1000 units</t>
  </si>
  <si>
    <t>Storage and Fulflment per unit</t>
  </si>
  <si>
    <t>Need 1 printers to make 210/quarter, 2 for 500</t>
  </si>
  <si>
    <t>Quarterly growth</t>
  </si>
  <si>
    <t>Estimated units/month via amazon comparison</t>
  </si>
  <si>
    <t>90 days/quarter, 4 rollers/printer/day = 360 rollers/printer/qtr</t>
  </si>
  <si>
    <t>max rollers printed/qtr</t>
  </si>
  <si>
    <t>TOTAL</t>
  </si>
  <si>
    <t>Labour cost per roller</t>
  </si>
  <si>
    <t>Packing cost per roller</t>
  </si>
  <si>
    <t>Chalk Roller Sales</t>
  </si>
  <si>
    <t>Energy</t>
  </si>
  <si>
    <t>*average cost in ontario is</t>
  </si>
  <si>
    <t>total number of printers</t>
  </si>
  <si>
    <t>*11.9 cents/kwh</t>
  </si>
  <si>
    <t>*prusa consumes 80 W during printing</t>
  </si>
  <si>
    <t>kwh consumed per day</t>
  </si>
  <si>
    <t>Printing Energy cost</t>
  </si>
  <si>
    <t>labour &amp; storage/total cost</t>
  </si>
  <si>
    <t>Appendix B1 - 3D printed with ads</t>
  </si>
  <si>
    <t>Appendix B2 - 3D printed without ads</t>
  </si>
  <si>
    <t>Appendix B3 - Inejection moulded with ads</t>
  </si>
  <si>
    <t>Appendix B4 - Injection Moulded without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</si>
</sst>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164" fontId="3" fillId="0" borderId="1" xfId="0" applyNumberFormat="1" applyFont="1" applyBorder="1"/>
    <xf numFmtId="164" fontId="3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164" fontId="3" fillId="0" borderId="2" xfId="0" applyNumberFormat="1" applyFont="1" applyBorder="1"/>
    <xf numFmtId="164" fontId="3" fillId="4" borderId="3" xfId="0" applyNumberFormat="1" applyFont="1" applyFill="1" applyBorder="1"/>
    <xf numFmtId="0" fontId="3" fillId="5" borderId="0" xfId="0" applyFont="1" applyFill="1"/>
    <xf numFmtId="9" fontId="3" fillId="5" borderId="0" xfId="1" applyFont="1" applyFill="1"/>
    <xf numFmtId="2" fontId="3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4" fontId="6" fillId="0" borderId="1" xfId="0" applyNumberFormat="1" applyFont="1" applyBorder="1"/>
    <xf numFmtId="0" fontId="6" fillId="0" borderId="0" xfId="0" applyFont="1"/>
    <xf numFmtId="0" fontId="7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B98A-78D8-4910-997E-0FBE436EF9CC}">
  <sheetPr>
    <outlinePr summaryBelow="0" summaryRight="0"/>
    <pageSetUpPr fitToPage="1"/>
  </sheetPr>
  <dimension ref="A1:Z71"/>
  <sheetViews>
    <sheetView zoomScale="64" workbookViewId="0">
      <selection activeCell="A2" sqref="A2"/>
    </sheetView>
  </sheetViews>
  <sheetFormatPr defaultColWidth="12.6328125" defaultRowHeight="15.75" customHeight="1" x14ac:dyDescent="0.25"/>
  <cols>
    <col min="1" max="1" width="24.81640625" customWidth="1"/>
  </cols>
  <sheetData>
    <row r="1" spans="1:26" ht="15.75" customHeight="1" x14ac:dyDescent="0.4">
      <c r="A1" s="1" t="s">
        <v>78</v>
      </c>
      <c r="B1" s="2"/>
      <c r="C1" s="2"/>
      <c r="D1" s="2"/>
      <c r="E1" s="2"/>
    </row>
    <row r="2" spans="1:26" ht="15.75" customHeight="1" x14ac:dyDescent="0.3">
      <c r="B2" s="2"/>
      <c r="C2" s="2"/>
      <c r="D2" s="2"/>
      <c r="E2" s="2"/>
      <c r="F2" s="2"/>
    </row>
    <row r="3" spans="1:26" ht="15.75" customHeight="1" x14ac:dyDescent="0.3">
      <c r="A3" s="3" t="s">
        <v>0</v>
      </c>
      <c r="B3" s="2"/>
      <c r="C3" s="4">
        <v>7.0000000000000007E-2</v>
      </c>
      <c r="D3" s="3" t="s">
        <v>1</v>
      </c>
      <c r="E3" s="2"/>
      <c r="F3" s="2"/>
    </row>
    <row r="4" spans="1:26" ht="15.75" customHeight="1" x14ac:dyDescent="0.3">
      <c r="A4" s="3" t="s">
        <v>2</v>
      </c>
      <c r="B4" s="2"/>
      <c r="C4" s="4">
        <f>C3/4</f>
        <v>1.7500000000000002E-2</v>
      </c>
      <c r="D4" s="3" t="s">
        <v>3</v>
      </c>
      <c r="E4" s="2"/>
      <c r="F4" s="2"/>
    </row>
    <row r="5" spans="1:26" ht="15.75" customHeight="1" x14ac:dyDescent="0.3">
      <c r="B5" s="2"/>
      <c r="C5" s="2"/>
      <c r="D5" s="2"/>
      <c r="E5" s="2"/>
      <c r="F5" s="2"/>
    </row>
    <row r="6" spans="1:26" ht="15.75" customHeight="1" x14ac:dyDescent="0.3">
      <c r="B6" s="5" t="s">
        <v>4</v>
      </c>
      <c r="C6" s="5"/>
      <c r="D6" s="5"/>
      <c r="E6" s="5"/>
      <c r="F6" s="6" t="s">
        <v>5</v>
      </c>
      <c r="G6" s="7"/>
      <c r="H6" s="7"/>
      <c r="I6" s="7"/>
    </row>
    <row r="7" spans="1:26" ht="15.75" customHeight="1" x14ac:dyDescent="0.25">
      <c r="B7" s="3" t="s">
        <v>6</v>
      </c>
      <c r="C7" s="3" t="s">
        <v>7</v>
      </c>
      <c r="D7" s="3" t="s">
        <v>8</v>
      </c>
      <c r="E7" s="3" t="s">
        <v>9</v>
      </c>
      <c r="F7" s="3" t="s">
        <v>6</v>
      </c>
      <c r="G7" s="3" t="s">
        <v>7</v>
      </c>
      <c r="H7" s="3" t="s">
        <v>8</v>
      </c>
      <c r="I7" s="3" t="s">
        <v>9</v>
      </c>
    </row>
    <row r="8" spans="1:26" ht="15.75" customHeight="1" x14ac:dyDescent="0.25">
      <c r="A8" s="3" t="s">
        <v>10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</row>
    <row r="9" spans="1:26" ht="15.75" customHeight="1" x14ac:dyDescent="0.3">
      <c r="A9" s="8" t="s">
        <v>11</v>
      </c>
    </row>
    <row r="10" spans="1:26" ht="15.75" customHeight="1" x14ac:dyDescent="0.25">
      <c r="A10" s="3" t="s">
        <v>53</v>
      </c>
      <c r="B10" s="9"/>
      <c r="C10" s="9">
        <f t="shared" ref="C10:I10" si="0">C36*$B$31</f>
        <v>12000</v>
      </c>
      <c r="D10" s="9">
        <f t="shared" si="0"/>
        <v>14400</v>
      </c>
      <c r="E10" s="9">
        <f t="shared" si="0"/>
        <v>17280</v>
      </c>
      <c r="F10" s="9">
        <f t="shared" si="0"/>
        <v>20736</v>
      </c>
      <c r="G10" s="9">
        <f t="shared" si="0"/>
        <v>24883.199999999997</v>
      </c>
      <c r="H10" s="9">
        <f t="shared" si="0"/>
        <v>29859.839999999997</v>
      </c>
      <c r="I10" s="9">
        <f t="shared" si="0"/>
        <v>35831.80799999999</v>
      </c>
    </row>
    <row r="11" spans="1:26" ht="15.75" customHeight="1" x14ac:dyDescent="0.25">
      <c r="B11" s="10"/>
      <c r="C11" s="10"/>
      <c r="D11" s="10"/>
      <c r="E11" s="10"/>
      <c r="F11" s="10"/>
      <c r="G11" s="10"/>
      <c r="H11" s="10"/>
      <c r="I11" s="10"/>
    </row>
    <row r="12" spans="1:26" ht="15.75" customHeight="1" x14ac:dyDescent="0.3">
      <c r="A12" s="2" t="s">
        <v>12</v>
      </c>
      <c r="B12" s="11"/>
      <c r="C12" s="11">
        <f t="shared" ref="C12:I12" si="1">C10</f>
        <v>12000</v>
      </c>
      <c r="D12" s="11">
        <f t="shared" si="1"/>
        <v>14400</v>
      </c>
      <c r="E12" s="11">
        <f t="shared" si="1"/>
        <v>17280</v>
      </c>
      <c r="F12" s="11">
        <f t="shared" si="1"/>
        <v>20736</v>
      </c>
      <c r="G12" s="11">
        <f t="shared" si="1"/>
        <v>24883.199999999997</v>
      </c>
      <c r="H12" s="11">
        <f t="shared" si="1"/>
        <v>29859.839999999997</v>
      </c>
      <c r="I12" s="11">
        <f t="shared" si="1"/>
        <v>35831.80799999999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1:26" ht="15.75" customHeight="1" x14ac:dyDescent="0.3">
      <c r="A14" s="8" t="s">
        <v>13</v>
      </c>
      <c r="B14" s="10"/>
      <c r="C14" s="10"/>
      <c r="D14" s="10"/>
      <c r="E14" s="10"/>
      <c r="F14" s="10"/>
      <c r="G14" s="10"/>
      <c r="H14" s="10"/>
      <c r="I14" s="10"/>
    </row>
    <row r="15" spans="1:26" ht="15.75" customHeight="1" x14ac:dyDescent="0.25">
      <c r="A15" s="3" t="s">
        <v>14</v>
      </c>
      <c r="B15" s="9">
        <f t="shared" ref="B15:I15" si="2">B50</f>
        <v>2880</v>
      </c>
      <c r="C15" s="9">
        <f t="shared" si="2"/>
        <v>2880</v>
      </c>
      <c r="D15" s="9">
        <f t="shared" si="2"/>
        <v>4320</v>
      </c>
      <c r="E15" s="9">
        <f t="shared" si="2"/>
        <v>5760</v>
      </c>
      <c r="F15" s="9">
        <f t="shared" si="2"/>
        <v>5760</v>
      </c>
      <c r="G15" s="9">
        <f t="shared" si="2"/>
        <v>7200</v>
      </c>
      <c r="H15" s="9">
        <f t="shared" si="2"/>
        <v>8640</v>
      </c>
      <c r="I15" s="9">
        <f>I50</f>
        <v>8640</v>
      </c>
    </row>
    <row r="16" spans="1:26" ht="15.75" customHeight="1" x14ac:dyDescent="0.3">
      <c r="A16" s="3" t="s">
        <v>15</v>
      </c>
      <c r="B16" s="21">
        <f>B65</f>
        <v>3000</v>
      </c>
      <c r="C16" s="21">
        <f t="shared" ref="C16:I16" si="3">C65</f>
        <v>3000</v>
      </c>
      <c r="D16" s="21">
        <f t="shared" si="3"/>
        <v>3000</v>
      </c>
      <c r="E16" s="21">
        <f t="shared" si="3"/>
        <v>3000</v>
      </c>
      <c r="F16" s="21">
        <f t="shared" si="3"/>
        <v>3000</v>
      </c>
      <c r="G16" s="21">
        <f t="shared" si="3"/>
        <v>3000</v>
      </c>
      <c r="H16" s="21">
        <f t="shared" si="3"/>
        <v>3000</v>
      </c>
      <c r="I16" s="21">
        <f t="shared" si="3"/>
        <v>3000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16</v>
      </c>
      <c r="B17" s="9">
        <f>B36*B70</f>
        <v>0</v>
      </c>
      <c r="C17" s="9">
        <f>C36*C70</f>
        <v>2856.4337349397588</v>
      </c>
      <c r="D17" s="9">
        <f>D36*D70</f>
        <v>3427.7204819277108</v>
      </c>
      <c r="E17" s="9">
        <f>E36*E70</f>
        <v>4113.264578313253</v>
      </c>
      <c r="F17" s="9">
        <f>F36*F70</f>
        <v>4935.9174939759032</v>
      </c>
      <c r="G17" s="9">
        <f>G36*G70</f>
        <v>5923.1009927710829</v>
      </c>
      <c r="H17" s="9">
        <f>H36*H70</f>
        <v>7107.7211913252995</v>
      </c>
      <c r="I17" s="9">
        <f>I36*I70</f>
        <v>8529.2654295903594</v>
      </c>
    </row>
    <row r="18" spans="1:26" ht="15.75" customHeight="1" x14ac:dyDescent="0.25">
      <c r="A18" s="3" t="s">
        <v>17</v>
      </c>
      <c r="B18" s="9">
        <f t="shared" ref="B18:I18" si="4">B47</f>
        <v>2660</v>
      </c>
      <c r="C18" s="9">
        <f t="shared" si="4"/>
        <v>0</v>
      </c>
      <c r="D18" s="9">
        <f t="shared" si="4"/>
        <v>1330</v>
      </c>
      <c r="E18" s="9">
        <f t="shared" si="4"/>
        <v>1330</v>
      </c>
      <c r="F18" s="9">
        <f t="shared" si="4"/>
        <v>0</v>
      </c>
      <c r="G18" s="9">
        <f t="shared" si="4"/>
        <v>1330</v>
      </c>
      <c r="H18" s="9">
        <f t="shared" si="4"/>
        <v>1330</v>
      </c>
      <c r="I18" s="9">
        <f t="shared" si="4"/>
        <v>0</v>
      </c>
    </row>
    <row r="19" spans="1:26" ht="15.75" customHeight="1" x14ac:dyDescent="0.3">
      <c r="A19" s="3" t="s">
        <v>18</v>
      </c>
      <c r="B19" s="9">
        <f t="shared" ref="B19:I19" si="5">B53</f>
        <v>594</v>
      </c>
      <c r="C19" s="9">
        <f t="shared" si="5"/>
        <v>712.8</v>
      </c>
      <c r="D19" s="9">
        <f t="shared" si="5"/>
        <v>855.36</v>
      </c>
      <c r="E19" s="9">
        <f t="shared" si="5"/>
        <v>1026.432</v>
      </c>
      <c r="F19" s="9">
        <f t="shared" si="5"/>
        <v>1231.7183999999997</v>
      </c>
      <c r="G19" s="9">
        <f t="shared" si="5"/>
        <v>1478.0620799999997</v>
      </c>
      <c r="H19" s="9">
        <f t="shared" si="5"/>
        <v>1773.6744959999996</v>
      </c>
      <c r="I19" s="9">
        <f t="shared" si="5"/>
        <v>1862.3582207999996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2" t="s">
        <v>70</v>
      </c>
      <c r="B20" s="9">
        <f>B55</f>
        <v>41.126399999999997</v>
      </c>
      <c r="C20" s="9">
        <f t="shared" ref="C20:I20" si="6">C55</f>
        <v>41.126399999999997</v>
      </c>
      <c r="D20" s="9">
        <f t="shared" si="6"/>
        <v>61.689599999999999</v>
      </c>
      <c r="E20" s="9">
        <f t="shared" si="6"/>
        <v>82.252799999999993</v>
      </c>
      <c r="F20" s="9">
        <f t="shared" si="6"/>
        <v>82.252799999999993</v>
      </c>
      <c r="G20" s="9">
        <f t="shared" si="6"/>
        <v>102.81600000000002</v>
      </c>
      <c r="H20" s="9">
        <f t="shared" si="6"/>
        <v>123.3792</v>
      </c>
      <c r="I20" s="9">
        <f t="shared" si="6"/>
        <v>123.3792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19</v>
      </c>
      <c r="B21" s="11">
        <f>SUM(B15:B20)</f>
        <v>9175.1263999999992</v>
      </c>
      <c r="C21" s="11">
        <f t="shared" ref="C21:I21" si="7">SUM(C15:C20)</f>
        <v>9490.3601349397577</v>
      </c>
      <c r="D21" s="11">
        <f t="shared" si="7"/>
        <v>12994.770081927711</v>
      </c>
      <c r="E21" s="11">
        <f t="shared" si="7"/>
        <v>15311.949378313255</v>
      </c>
      <c r="F21" s="11">
        <f t="shared" si="7"/>
        <v>15009.888693975903</v>
      </c>
      <c r="G21" s="11">
        <f t="shared" si="7"/>
        <v>19033.979072771082</v>
      </c>
      <c r="H21" s="11">
        <f t="shared" si="7"/>
        <v>21974.774887325297</v>
      </c>
      <c r="I21" s="11">
        <f t="shared" si="7"/>
        <v>22155.00285039036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2" t="s">
        <v>77</v>
      </c>
      <c r="B22" s="24">
        <f>(B15+B17)/B21</f>
        <v>0.31389213340973704</v>
      </c>
      <c r="C22" s="24">
        <f t="shared" ref="C22:I22" si="8">(C15+C17)/C21</f>
        <v>0.60444847754728248</v>
      </c>
      <c r="D22" s="24">
        <f t="shared" si="8"/>
        <v>0.5962183580841296</v>
      </c>
      <c r="E22" s="24">
        <f t="shared" si="8"/>
        <v>0.6448078121455284</v>
      </c>
      <c r="F22" s="24">
        <f t="shared" si="8"/>
        <v>0.71259139305067754</v>
      </c>
      <c r="G22" s="24">
        <f t="shared" si="8"/>
        <v>0.68945652102477295</v>
      </c>
      <c r="H22" s="24">
        <f t="shared" si="8"/>
        <v>0.71662719058880264</v>
      </c>
      <c r="I22" s="24">
        <f t="shared" si="8"/>
        <v>0.77496110226353887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12"/>
      <c r="C23" s="12"/>
      <c r="D23" s="12"/>
      <c r="E23" s="12"/>
      <c r="F23" s="1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20</v>
      </c>
      <c r="B24" s="9">
        <f t="shared" ref="B24:I24" si="9">B12-B21</f>
        <v>-9175.1263999999992</v>
      </c>
      <c r="C24" s="9">
        <f t="shared" si="9"/>
        <v>2509.6398650602423</v>
      </c>
      <c r="D24" s="9">
        <f t="shared" si="9"/>
        <v>1405.2299180722894</v>
      </c>
      <c r="E24" s="9">
        <f t="shared" si="9"/>
        <v>1968.0506216867452</v>
      </c>
      <c r="F24" s="9">
        <f t="shared" si="9"/>
        <v>5726.1113060240968</v>
      </c>
      <c r="G24" s="9">
        <f t="shared" si="9"/>
        <v>5849.2209272289147</v>
      </c>
      <c r="H24" s="9">
        <f t="shared" si="9"/>
        <v>7885.0651126746998</v>
      </c>
      <c r="I24" s="9">
        <f t="shared" si="9"/>
        <v>13676.80514960963</v>
      </c>
    </row>
    <row r="25" spans="1:26" ht="15.75" customHeight="1" thickBot="1" x14ac:dyDescent="0.35">
      <c r="A25" s="2" t="s">
        <v>21</v>
      </c>
      <c r="B25" s="13">
        <f>B24</f>
        <v>-9175.1263999999992</v>
      </c>
      <c r="C25" s="9">
        <f t="shared" ref="C25:I25" si="10">C24/(1+$C$4)^C8</f>
        <v>2424.0555536685324</v>
      </c>
      <c r="D25" s="9">
        <f t="shared" si="10"/>
        <v>1333.9640754055049</v>
      </c>
      <c r="E25" s="9">
        <f t="shared" si="10"/>
        <v>1836.1095668708269</v>
      </c>
      <c r="F25" s="9">
        <f t="shared" si="10"/>
        <v>5250.343240025024</v>
      </c>
      <c r="G25" s="9">
        <f t="shared" si="10"/>
        <v>5270.9818132987084</v>
      </c>
      <c r="H25" s="9">
        <f t="shared" si="10"/>
        <v>6983.3588374116289</v>
      </c>
      <c r="I25" s="9">
        <f t="shared" si="10"/>
        <v>11904.449485151496</v>
      </c>
    </row>
    <row r="26" spans="1:26" ht="13.5" thickBot="1" x14ac:dyDescent="0.35">
      <c r="A26" s="2" t="s">
        <v>22</v>
      </c>
      <c r="B26" s="14">
        <f>SUM(B25:I25)</f>
        <v>25828.13617183172</v>
      </c>
      <c r="C26" s="10"/>
      <c r="D26" s="10"/>
      <c r="E26" s="10"/>
      <c r="F26" s="10"/>
      <c r="G26" s="10"/>
      <c r="H26" s="10"/>
      <c r="I26" s="10"/>
    </row>
    <row r="28" spans="1:26" ht="13" x14ac:dyDescent="0.3">
      <c r="A28" s="2"/>
    </row>
    <row r="29" spans="1:26" ht="13" x14ac:dyDescent="0.3">
      <c r="A29" s="2" t="s">
        <v>23</v>
      </c>
    </row>
    <row r="30" spans="1:26" ht="12.5" x14ac:dyDescent="0.25">
      <c r="A30" s="3" t="s">
        <v>54</v>
      </c>
      <c r="B30" s="15">
        <v>1</v>
      </c>
      <c r="E30" s="3" t="s">
        <v>24</v>
      </c>
      <c r="F30" s="3">
        <v>1.33</v>
      </c>
    </row>
    <row r="31" spans="1:26" ht="12.5" x14ac:dyDescent="0.25">
      <c r="A31" s="3" t="s">
        <v>25</v>
      </c>
      <c r="B31" s="15">
        <v>20</v>
      </c>
      <c r="C31" s="3" t="s">
        <v>26</v>
      </c>
    </row>
    <row r="32" spans="1:26" ht="12.5" x14ac:dyDescent="0.25">
      <c r="A32" s="3" t="s">
        <v>55</v>
      </c>
      <c r="B32" s="15">
        <v>0.99</v>
      </c>
      <c r="C32" s="3" t="s">
        <v>26</v>
      </c>
      <c r="D32" s="3" t="s">
        <v>27</v>
      </c>
    </row>
    <row r="34" spans="1:9" ht="15.75" customHeight="1" x14ac:dyDescent="0.25">
      <c r="A34" s="3" t="s">
        <v>63</v>
      </c>
      <c r="B34" s="15">
        <v>200</v>
      </c>
    </row>
    <row r="35" spans="1:9" ht="15.75" customHeight="1" x14ac:dyDescent="0.25">
      <c r="A35" s="3" t="s">
        <v>62</v>
      </c>
      <c r="B35" s="16">
        <v>0.2</v>
      </c>
    </row>
    <row r="36" spans="1:9" ht="12.5" x14ac:dyDescent="0.25">
      <c r="A36" s="3" t="s">
        <v>28</v>
      </c>
      <c r="B36" s="18">
        <v>0</v>
      </c>
      <c r="C36" s="18">
        <f>B34*3</f>
        <v>600</v>
      </c>
      <c r="D36" s="18">
        <f>C36*(1+$B$35)</f>
        <v>720</v>
      </c>
      <c r="E36" s="18">
        <f t="shared" ref="E36:I36" si="11">D36*(1+$B$35)</f>
        <v>864</v>
      </c>
      <c r="F36" s="18">
        <f t="shared" si="11"/>
        <v>1036.8</v>
      </c>
      <c r="G36" s="18">
        <f t="shared" si="11"/>
        <v>1244.1599999999999</v>
      </c>
      <c r="H36" s="18">
        <f t="shared" si="11"/>
        <v>1492.9919999999997</v>
      </c>
      <c r="I36" s="18">
        <f t="shared" si="11"/>
        <v>1791.5903999999996</v>
      </c>
    </row>
    <row r="37" spans="1:9" ht="12.5" x14ac:dyDescent="0.25">
      <c r="A37" s="3" t="s">
        <v>56</v>
      </c>
      <c r="B37" s="18">
        <f>C36*$B$30</f>
        <v>600</v>
      </c>
      <c r="C37" s="18">
        <f t="shared" ref="C37:H37" si="12">D36*$B$30</f>
        <v>720</v>
      </c>
      <c r="D37" s="18">
        <f t="shared" si="12"/>
        <v>864</v>
      </c>
      <c r="E37" s="18">
        <f t="shared" si="12"/>
        <v>1036.8</v>
      </c>
      <c r="F37" s="18">
        <f t="shared" si="12"/>
        <v>1244.1599999999999</v>
      </c>
      <c r="G37" s="18">
        <f t="shared" si="12"/>
        <v>1492.9919999999997</v>
      </c>
      <c r="H37" s="18">
        <f t="shared" si="12"/>
        <v>1791.5903999999996</v>
      </c>
      <c r="I37" s="18">
        <f>1.05*I36</f>
        <v>1881.1699199999996</v>
      </c>
    </row>
    <row r="40" spans="1:9" ht="13" x14ac:dyDescent="0.3">
      <c r="A40" s="23" t="s">
        <v>57</v>
      </c>
      <c r="B40" s="3">
        <v>5</v>
      </c>
      <c r="C40" s="3" t="s">
        <v>30</v>
      </c>
      <c r="D40" s="3" t="s">
        <v>58</v>
      </c>
    </row>
    <row r="41" spans="1:9" ht="12.5" x14ac:dyDescent="0.25">
      <c r="A41" s="3" t="s">
        <v>31</v>
      </c>
      <c r="B41" s="3">
        <v>1000</v>
      </c>
      <c r="C41" s="3" t="s">
        <v>32</v>
      </c>
    </row>
    <row r="42" spans="1:9" ht="12.5" x14ac:dyDescent="0.25">
      <c r="B42">
        <f>B41*F30</f>
        <v>1330</v>
      </c>
      <c r="C42" s="3" t="s">
        <v>26</v>
      </c>
    </row>
    <row r="43" spans="1:9" ht="12.5" x14ac:dyDescent="0.25"/>
    <row r="44" spans="1:9" ht="12.5" x14ac:dyDescent="0.25">
      <c r="A44" s="3" t="s">
        <v>64</v>
      </c>
    </row>
    <row r="45" spans="1:9" ht="12.5" x14ac:dyDescent="0.25">
      <c r="A45" s="3"/>
    </row>
    <row r="46" spans="1:9" ht="12.5" x14ac:dyDescent="0.25">
      <c r="A46" s="22" t="s">
        <v>33</v>
      </c>
      <c r="B46">
        <f>_xlfn.CEILING.MATH(B37/360)</f>
        <v>2</v>
      </c>
      <c r="C46">
        <f>IF(_xlfn.CEILING.MATH(C37/360)&gt;B48, 1, 0)</f>
        <v>0</v>
      </c>
      <c r="D46">
        <f>IF(_xlfn.CEILING.MATH(D37/360)&gt;C48, 1, 0)</f>
        <v>1</v>
      </c>
      <c r="E46">
        <f>_xlfn.CEILING.MATH(E37/360)-B46</f>
        <v>1</v>
      </c>
      <c r="F46">
        <f>IF(_xlfn.CEILING.MATH(F37/350)&gt;E48, 1, 0)</f>
        <v>0</v>
      </c>
      <c r="G46">
        <f>IF(_xlfn.CEILING.MATH(G37/350)&gt;F48, 1, 0)</f>
        <v>1</v>
      </c>
      <c r="H46">
        <f>IF(_xlfn.CEILING.MATH(H37/350)&gt;G48, 1, 0)</f>
        <v>1</v>
      </c>
      <c r="I46">
        <f>IF(_xlfn.CEILING.MATH(I37/350)&gt;H48, 1, 0)</f>
        <v>0</v>
      </c>
    </row>
    <row r="47" spans="1:9" ht="12.5" x14ac:dyDescent="0.25">
      <c r="A47" s="3" t="s">
        <v>34</v>
      </c>
      <c r="B47">
        <f>B46*$B$42</f>
        <v>2660</v>
      </c>
      <c r="C47">
        <f t="shared" ref="C47:I47" si="13">C46*$B$42</f>
        <v>0</v>
      </c>
      <c r="D47">
        <f t="shared" si="13"/>
        <v>1330</v>
      </c>
      <c r="E47">
        <f t="shared" si="13"/>
        <v>1330</v>
      </c>
      <c r="F47">
        <f t="shared" si="13"/>
        <v>0</v>
      </c>
      <c r="G47">
        <f t="shared" si="13"/>
        <v>1330</v>
      </c>
      <c r="H47">
        <f t="shared" si="13"/>
        <v>1330</v>
      </c>
      <c r="I47">
        <f t="shared" si="13"/>
        <v>0</v>
      </c>
    </row>
    <row r="48" spans="1:9" ht="13" x14ac:dyDescent="0.3">
      <c r="A48" s="23" t="s">
        <v>72</v>
      </c>
      <c r="B48">
        <f>B46</f>
        <v>2</v>
      </c>
      <c r="C48">
        <f>B48+C46</f>
        <v>2</v>
      </c>
      <c r="D48">
        <f>C48+D46</f>
        <v>3</v>
      </c>
      <c r="E48">
        <f>D48+E46</f>
        <v>4</v>
      </c>
      <c r="F48">
        <f>E48+F46</f>
        <v>4</v>
      </c>
      <c r="G48">
        <f>F48+G46</f>
        <v>5</v>
      </c>
      <c r="H48">
        <f>G48+H46</f>
        <v>6</v>
      </c>
      <c r="I48">
        <f t="shared" ref="I48" si="14">H48+I46</f>
        <v>6</v>
      </c>
    </row>
    <row r="50" spans="1:9" ht="13" x14ac:dyDescent="0.3">
      <c r="A50" s="23" t="s">
        <v>14</v>
      </c>
      <c r="B50">
        <f>B48*16*90</f>
        <v>2880</v>
      </c>
      <c r="C50">
        <f t="shared" ref="C50:I50" si="15">C48*16*90</f>
        <v>2880</v>
      </c>
      <c r="D50">
        <f t="shared" si="15"/>
        <v>4320</v>
      </c>
      <c r="E50">
        <f t="shared" si="15"/>
        <v>5760</v>
      </c>
      <c r="F50">
        <f t="shared" si="15"/>
        <v>5760</v>
      </c>
      <c r="G50">
        <f t="shared" si="15"/>
        <v>7200</v>
      </c>
      <c r="H50">
        <f t="shared" si="15"/>
        <v>8640</v>
      </c>
      <c r="I50">
        <f t="shared" si="15"/>
        <v>8640</v>
      </c>
    </row>
    <row r="51" spans="1:9" ht="12.5" x14ac:dyDescent="0.25">
      <c r="A51" s="3" t="s">
        <v>35</v>
      </c>
    </row>
    <row r="53" spans="1:9" ht="13" x14ac:dyDescent="0.3">
      <c r="A53" s="23" t="s">
        <v>36</v>
      </c>
      <c r="B53" s="19">
        <f>B37*$B$32</f>
        <v>594</v>
      </c>
      <c r="C53" s="19">
        <f>C37*$B$32</f>
        <v>712.8</v>
      </c>
      <c r="D53" s="19">
        <f>D37*$B$32</f>
        <v>855.36</v>
      </c>
      <c r="E53" s="19">
        <f>E37*$B$32</f>
        <v>1026.432</v>
      </c>
      <c r="F53" s="19">
        <f>F37*$B$32</f>
        <v>1231.7183999999997</v>
      </c>
      <c r="G53" s="19">
        <f>G37*$B$32</f>
        <v>1478.0620799999997</v>
      </c>
      <c r="H53" s="19">
        <f>H37*$B$32</f>
        <v>1773.6744959999996</v>
      </c>
      <c r="I53" s="19">
        <f>I37*$B$32</f>
        <v>1862.3582207999996</v>
      </c>
    </row>
    <row r="54" spans="1:9" ht="12.5" x14ac:dyDescent="0.25">
      <c r="A54" s="3"/>
      <c r="B54" s="19"/>
      <c r="C54" s="19"/>
      <c r="D54" s="19"/>
      <c r="E54" s="19"/>
      <c r="F54" s="19"/>
      <c r="G54" s="19"/>
      <c r="H54" s="19"/>
      <c r="I54" s="19"/>
    </row>
    <row r="55" spans="1:9" ht="13" x14ac:dyDescent="0.3">
      <c r="A55" s="23" t="s">
        <v>76</v>
      </c>
      <c r="B55" s="19">
        <f>B56*90*(11.9/100)</f>
        <v>41.126399999999997</v>
      </c>
      <c r="C55" s="19">
        <f t="shared" ref="C55:I55" si="16">C56*90*(11.9/100)</f>
        <v>41.126399999999997</v>
      </c>
      <c r="D55" s="19">
        <f t="shared" si="16"/>
        <v>61.689599999999999</v>
      </c>
      <c r="E55" s="19">
        <f t="shared" si="16"/>
        <v>82.252799999999993</v>
      </c>
      <c r="F55" s="19">
        <f t="shared" si="16"/>
        <v>82.252799999999993</v>
      </c>
      <c r="G55" s="19">
        <f t="shared" si="16"/>
        <v>102.81600000000002</v>
      </c>
      <c r="H55" s="19">
        <f t="shared" si="16"/>
        <v>123.3792</v>
      </c>
      <c r="I55" s="19">
        <f t="shared" si="16"/>
        <v>123.3792</v>
      </c>
    </row>
    <row r="56" spans="1:9" ht="12.5" x14ac:dyDescent="0.25">
      <c r="A56" s="22" t="s">
        <v>75</v>
      </c>
      <c r="B56" s="19">
        <f>(80*B48/1000)*24</f>
        <v>3.84</v>
      </c>
      <c r="C56" s="19">
        <f t="shared" ref="C56:I56" si="17">(80*C48/1000)*24</f>
        <v>3.84</v>
      </c>
      <c r="D56" s="19">
        <f t="shared" si="17"/>
        <v>5.76</v>
      </c>
      <c r="E56" s="19">
        <f t="shared" si="17"/>
        <v>7.68</v>
      </c>
      <c r="F56" s="19">
        <f t="shared" si="17"/>
        <v>7.68</v>
      </c>
      <c r="G56" s="19">
        <f t="shared" si="17"/>
        <v>9.6000000000000014</v>
      </c>
      <c r="H56" s="19">
        <f t="shared" si="17"/>
        <v>11.52</v>
      </c>
      <c r="I56" s="19">
        <f t="shared" si="17"/>
        <v>11.52</v>
      </c>
    </row>
    <row r="57" spans="1:9" ht="12.5" x14ac:dyDescent="0.25">
      <c r="A57" s="22" t="s">
        <v>71</v>
      </c>
      <c r="B57" s="19"/>
      <c r="C57" s="19"/>
      <c r="D57" s="19"/>
      <c r="E57" s="19"/>
      <c r="F57" s="19"/>
      <c r="G57" s="19"/>
      <c r="H57" s="19"/>
      <c r="I57" s="19"/>
    </row>
    <row r="58" spans="1:9" ht="12.5" x14ac:dyDescent="0.25">
      <c r="A58" s="22" t="s">
        <v>73</v>
      </c>
      <c r="B58" s="19"/>
      <c r="C58" s="19"/>
      <c r="D58" s="19"/>
      <c r="E58" s="19"/>
      <c r="F58" s="19"/>
      <c r="G58" s="19"/>
      <c r="H58" s="19"/>
      <c r="I58" s="19"/>
    </row>
    <row r="59" spans="1:9" ht="12.5" x14ac:dyDescent="0.25">
      <c r="A59" s="22" t="s">
        <v>74</v>
      </c>
      <c r="B59" s="19"/>
      <c r="C59" s="19"/>
      <c r="D59" s="19"/>
      <c r="E59" s="19"/>
      <c r="F59" s="19"/>
      <c r="G59" s="19"/>
      <c r="H59" s="19"/>
      <c r="I59" s="19"/>
    </row>
    <row r="61" spans="1:9" ht="13" x14ac:dyDescent="0.3">
      <c r="A61" s="23" t="s">
        <v>37</v>
      </c>
      <c r="B61" s="3">
        <v>400</v>
      </c>
      <c r="C61">
        <f t="shared" ref="C61:I61" si="18">B61</f>
        <v>400</v>
      </c>
      <c r="D61">
        <f t="shared" si="18"/>
        <v>400</v>
      </c>
      <c r="E61">
        <f t="shared" si="18"/>
        <v>400</v>
      </c>
      <c r="F61">
        <f t="shared" si="18"/>
        <v>400</v>
      </c>
      <c r="G61">
        <f t="shared" si="18"/>
        <v>400</v>
      </c>
      <c r="H61">
        <f t="shared" si="18"/>
        <v>400</v>
      </c>
      <c r="I61">
        <f t="shared" si="18"/>
        <v>400</v>
      </c>
    </row>
    <row r="62" spans="1:9" ht="12.5" x14ac:dyDescent="0.25">
      <c r="A62" s="3" t="s">
        <v>38</v>
      </c>
    </row>
    <row r="64" spans="1:9" ht="13" x14ac:dyDescent="0.3">
      <c r="A64" s="23" t="s">
        <v>15</v>
      </c>
    </row>
    <row r="65" spans="1:9" ht="12.5" x14ac:dyDescent="0.25">
      <c r="A65" s="3" t="s">
        <v>39</v>
      </c>
      <c r="B65">
        <v>3000</v>
      </c>
      <c r="C65">
        <v>3000</v>
      </c>
      <c r="D65">
        <v>3000</v>
      </c>
      <c r="E65">
        <v>3000</v>
      </c>
      <c r="F65">
        <v>3000</v>
      </c>
      <c r="G65">
        <v>3000</v>
      </c>
      <c r="H65">
        <v>3000</v>
      </c>
      <c r="I65">
        <v>3000</v>
      </c>
    </row>
    <row r="67" spans="1:9" ht="12.5" x14ac:dyDescent="0.25">
      <c r="A67" s="22" t="s">
        <v>40</v>
      </c>
      <c r="B67" s="3">
        <v>4.58</v>
      </c>
    </row>
    <row r="68" spans="1:9" ht="12.5" x14ac:dyDescent="0.25">
      <c r="A68" s="22" t="s">
        <v>59</v>
      </c>
      <c r="B68" s="3">
        <f>0.03*1000</f>
        <v>30</v>
      </c>
      <c r="C68" s="3">
        <f t="shared" ref="C68:I68" si="19">0.03*1000</f>
        <v>30</v>
      </c>
      <c r="D68" s="3">
        <f t="shared" si="19"/>
        <v>30</v>
      </c>
      <c r="E68" s="3">
        <f t="shared" si="19"/>
        <v>30</v>
      </c>
      <c r="F68" s="3">
        <f t="shared" si="19"/>
        <v>30</v>
      </c>
      <c r="G68" s="3">
        <f t="shared" si="19"/>
        <v>30</v>
      </c>
      <c r="H68" s="3">
        <f t="shared" si="19"/>
        <v>30</v>
      </c>
      <c r="I68" s="3">
        <f t="shared" si="19"/>
        <v>30</v>
      </c>
    </row>
    <row r="70" spans="1:9" ht="13" x14ac:dyDescent="0.3">
      <c r="A70" s="23" t="s">
        <v>60</v>
      </c>
      <c r="B70" s="19">
        <f t="shared" ref="B70:I70" si="20">($B$67)+(B68/166)</f>
        <v>4.7607228915662647</v>
      </c>
      <c r="C70" s="19">
        <f t="shared" si="20"/>
        <v>4.7607228915662647</v>
      </c>
      <c r="D70" s="19">
        <f t="shared" si="20"/>
        <v>4.7607228915662647</v>
      </c>
      <c r="E70" s="19">
        <f t="shared" si="20"/>
        <v>4.7607228915662647</v>
      </c>
      <c r="F70" s="19">
        <f t="shared" si="20"/>
        <v>4.7607228915662647</v>
      </c>
      <c r="G70" s="19">
        <f t="shared" si="20"/>
        <v>4.7607228915662647</v>
      </c>
      <c r="H70" s="19">
        <f t="shared" si="20"/>
        <v>4.7607228915662647</v>
      </c>
      <c r="I70" s="19">
        <f t="shared" si="20"/>
        <v>4.7607228915662647</v>
      </c>
    </row>
    <row r="71" spans="1:9" ht="12.5" x14ac:dyDescent="0.25">
      <c r="A71" s="3" t="s">
        <v>52</v>
      </c>
    </row>
  </sheetData>
  <printOptions horizontalCentered="1" gridLines="1"/>
  <pageMargins left="0.7" right="0.7" top="0.75" bottom="0.75" header="0" footer="0"/>
  <pageSetup scale="9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2"/>
  <sheetViews>
    <sheetView workbookViewId="0">
      <selection activeCell="A2" sqref="A2"/>
    </sheetView>
  </sheetViews>
  <sheetFormatPr defaultColWidth="12.6328125" defaultRowHeight="15.75" customHeight="1" x14ac:dyDescent="0.25"/>
  <cols>
    <col min="1" max="1" width="24.81640625" customWidth="1"/>
  </cols>
  <sheetData>
    <row r="1" spans="1:26" ht="15.75" customHeight="1" x14ac:dyDescent="0.4">
      <c r="A1" s="1" t="s">
        <v>79</v>
      </c>
      <c r="B1" s="2"/>
      <c r="C1" s="2"/>
      <c r="D1" s="2"/>
      <c r="E1" s="2"/>
    </row>
    <row r="2" spans="1:26" ht="15.75" customHeight="1" x14ac:dyDescent="0.3">
      <c r="B2" s="2"/>
      <c r="C2" s="2"/>
      <c r="D2" s="2"/>
      <c r="E2" s="2"/>
      <c r="F2" s="2"/>
    </row>
    <row r="3" spans="1:26" ht="15.75" customHeight="1" x14ac:dyDescent="0.3">
      <c r="A3" s="3" t="s">
        <v>0</v>
      </c>
      <c r="B3" s="2"/>
      <c r="C3" s="4">
        <v>7.0000000000000007E-2</v>
      </c>
      <c r="D3" s="3" t="s">
        <v>1</v>
      </c>
      <c r="E3" s="2"/>
      <c r="F3" s="2"/>
    </row>
    <row r="4" spans="1:26" ht="15.75" customHeight="1" x14ac:dyDescent="0.3">
      <c r="A4" s="3" t="s">
        <v>2</v>
      </c>
      <c r="B4" s="2"/>
      <c r="C4" s="4">
        <f>C3/4</f>
        <v>1.7500000000000002E-2</v>
      </c>
      <c r="D4" s="3" t="s">
        <v>3</v>
      </c>
      <c r="E4" s="2"/>
      <c r="F4" s="2"/>
    </row>
    <row r="5" spans="1:26" ht="15.75" customHeight="1" x14ac:dyDescent="0.3">
      <c r="B5" s="2"/>
      <c r="C5" s="2"/>
      <c r="D5" s="2"/>
      <c r="E5" s="2"/>
      <c r="F5" s="2"/>
    </row>
    <row r="6" spans="1:26" ht="15.75" customHeight="1" x14ac:dyDescent="0.3">
      <c r="B6" s="5" t="s">
        <v>4</v>
      </c>
      <c r="C6" s="5"/>
      <c r="D6" s="5"/>
      <c r="E6" s="5"/>
      <c r="F6" s="6" t="s">
        <v>5</v>
      </c>
      <c r="G6" s="7"/>
      <c r="H6" s="7"/>
      <c r="I6" s="7"/>
    </row>
    <row r="7" spans="1:26" ht="15.75" customHeight="1" x14ac:dyDescent="0.25">
      <c r="B7" s="3" t="s">
        <v>6</v>
      </c>
      <c r="C7" s="3" t="s">
        <v>7</v>
      </c>
      <c r="D7" s="3" t="s">
        <v>8</v>
      </c>
      <c r="E7" s="3" t="s">
        <v>9</v>
      </c>
      <c r="F7" s="3" t="s">
        <v>6</v>
      </c>
      <c r="G7" s="3" t="s">
        <v>7</v>
      </c>
      <c r="H7" s="3" t="s">
        <v>8</v>
      </c>
      <c r="I7" s="3" t="s">
        <v>9</v>
      </c>
    </row>
    <row r="8" spans="1:26" ht="15.75" customHeight="1" x14ac:dyDescent="0.25">
      <c r="A8" s="3" t="s">
        <v>10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</row>
    <row r="9" spans="1:26" ht="15.75" customHeight="1" x14ac:dyDescent="0.3">
      <c r="A9" s="8" t="s">
        <v>11</v>
      </c>
    </row>
    <row r="10" spans="1:26" ht="15.75" customHeight="1" x14ac:dyDescent="0.25">
      <c r="A10" s="3" t="s">
        <v>53</v>
      </c>
      <c r="B10" s="9"/>
      <c r="C10" s="9">
        <f t="shared" ref="C10:I10" si="0">C34*$B$29</f>
        <v>12000</v>
      </c>
      <c r="D10" s="9">
        <f t="shared" si="0"/>
        <v>12600</v>
      </c>
      <c r="E10" s="9">
        <f t="shared" si="0"/>
        <v>13230</v>
      </c>
      <c r="F10" s="9">
        <f t="shared" si="0"/>
        <v>13891.5</v>
      </c>
      <c r="G10" s="9">
        <f t="shared" si="0"/>
        <v>14586.075000000001</v>
      </c>
      <c r="H10" s="9">
        <f t="shared" si="0"/>
        <v>15315.378750000002</v>
      </c>
      <c r="I10" s="9">
        <f t="shared" si="0"/>
        <v>16081.147687500004</v>
      </c>
    </row>
    <row r="11" spans="1:26" ht="15.75" customHeight="1" x14ac:dyDescent="0.25">
      <c r="B11" s="10"/>
      <c r="C11" s="10"/>
      <c r="D11" s="10"/>
      <c r="E11" s="10"/>
      <c r="F11" s="10"/>
      <c r="G11" s="10"/>
      <c r="H11" s="10"/>
      <c r="I11" s="10"/>
    </row>
    <row r="12" spans="1:26" ht="15.75" customHeight="1" x14ac:dyDescent="0.3">
      <c r="A12" s="2" t="s">
        <v>12</v>
      </c>
      <c r="B12" s="11"/>
      <c r="C12" s="11">
        <f t="shared" ref="C12:I12" si="1">C10</f>
        <v>12000</v>
      </c>
      <c r="D12" s="11">
        <f t="shared" si="1"/>
        <v>12600</v>
      </c>
      <c r="E12" s="11">
        <f t="shared" si="1"/>
        <v>13230</v>
      </c>
      <c r="F12" s="11">
        <f t="shared" si="1"/>
        <v>13891.5</v>
      </c>
      <c r="G12" s="11">
        <f t="shared" si="1"/>
        <v>14586.075000000001</v>
      </c>
      <c r="H12" s="11">
        <f t="shared" si="1"/>
        <v>15315.378750000002</v>
      </c>
      <c r="I12" s="11">
        <f t="shared" si="1"/>
        <v>16081.147687500004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1:26" ht="15.75" customHeight="1" x14ac:dyDescent="0.3">
      <c r="A14" s="8" t="s">
        <v>13</v>
      </c>
      <c r="B14" s="10"/>
      <c r="C14" s="10"/>
      <c r="D14" s="10"/>
      <c r="E14" s="10"/>
      <c r="F14" s="10"/>
      <c r="G14" s="10"/>
      <c r="H14" s="10"/>
      <c r="I14" s="10"/>
    </row>
    <row r="15" spans="1:26" ht="15.75" customHeight="1" x14ac:dyDescent="0.25">
      <c r="A15" s="3" t="s">
        <v>14</v>
      </c>
      <c r="B15" s="9">
        <f t="shared" ref="B15:I15" si="2">B47</f>
        <v>2880</v>
      </c>
      <c r="C15" s="9">
        <f t="shared" si="2"/>
        <v>2880</v>
      </c>
      <c r="D15" s="9">
        <f t="shared" si="2"/>
        <v>2880</v>
      </c>
      <c r="E15" s="9">
        <f t="shared" si="2"/>
        <v>2880</v>
      </c>
      <c r="F15" s="9">
        <f t="shared" si="2"/>
        <v>2880</v>
      </c>
      <c r="G15" s="9">
        <f t="shared" si="2"/>
        <v>2880</v>
      </c>
      <c r="H15" s="9">
        <f t="shared" si="2"/>
        <v>2880</v>
      </c>
      <c r="I15" s="9">
        <f>I47</f>
        <v>2880</v>
      </c>
    </row>
    <row r="16" spans="1:26" ht="15.75" customHeight="1" x14ac:dyDescent="0.3">
      <c r="A16" s="3" t="s">
        <v>15</v>
      </c>
      <c r="B16" s="11"/>
      <c r="C16" s="11"/>
      <c r="D16" s="9">
        <v>1000</v>
      </c>
      <c r="E16" s="9"/>
      <c r="F16" s="9"/>
      <c r="G16" s="9"/>
      <c r="H16" s="9">
        <v>1000</v>
      </c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16</v>
      </c>
      <c r="B17" s="9">
        <f t="shared" ref="B17:G17" si="3">B34*B61</f>
        <v>0</v>
      </c>
      <c r="C17" s="9">
        <f t="shared" si="3"/>
        <v>2856.4337349397588</v>
      </c>
      <c r="D17" s="9">
        <f t="shared" si="3"/>
        <v>2999.2554216867466</v>
      </c>
      <c r="E17" s="9">
        <f t="shared" si="3"/>
        <v>3149.218192771084</v>
      </c>
      <c r="F17" s="9">
        <f t="shared" si="3"/>
        <v>3306.6791024096387</v>
      </c>
      <c r="G17" s="9">
        <f t="shared" si="3"/>
        <v>3472.0130575301205</v>
      </c>
      <c r="H17" s="9">
        <f t="shared" ref="H17:I17" si="4">H34*H61</f>
        <v>3645.6137104066265</v>
      </c>
      <c r="I17" s="9">
        <f>I34*I61</f>
        <v>3827.8943959269586</v>
      </c>
    </row>
    <row r="18" spans="1:26" ht="15.75" customHeight="1" x14ac:dyDescent="0.25">
      <c r="A18" s="3" t="s">
        <v>17</v>
      </c>
      <c r="B18" s="9">
        <f t="shared" ref="B18:I18" si="5">B45</f>
        <v>2660</v>
      </c>
      <c r="C18" s="9">
        <f t="shared" si="5"/>
        <v>0</v>
      </c>
      <c r="D18" s="9">
        <f t="shared" si="5"/>
        <v>0</v>
      </c>
      <c r="E18" s="9">
        <f t="shared" si="5"/>
        <v>0</v>
      </c>
      <c r="F18" s="9">
        <f t="shared" si="5"/>
        <v>0</v>
      </c>
      <c r="G18" s="9">
        <f t="shared" si="5"/>
        <v>0</v>
      </c>
      <c r="H18" s="9">
        <f t="shared" si="5"/>
        <v>0</v>
      </c>
      <c r="I18" s="9">
        <f t="shared" si="5"/>
        <v>0</v>
      </c>
    </row>
    <row r="19" spans="1:26" ht="15.75" customHeight="1" x14ac:dyDescent="0.3">
      <c r="A19" s="3" t="s">
        <v>18</v>
      </c>
      <c r="B19" s="9">
        <f t="shared" ref="B19:I19" si="6">B50</f>
        <v>594</v>
      </c>
      <c r="C19" s="9">
        <f t="shared" si="6"/>
        <v>623.70000000000005</v>
      </c>
      <c r="D19" s="9">
        <f t="shared" si="6"/>
        <v>654.88499999999999</v>
      </c>
      <c r="E19" s="9">
        <f t="shared" si="6"/>
        <v>687.62925000000007</v>
      </c>
      <c r="F19" s="9">
        <f t="shared" si="6"/>
        <v>722.01071250000007</v>
      </c>
      <c r="G19" s="9">
        <f t="shared" si="6"/>
        <v>758.11124812500009</v>
      </c>
      <c r="H19" s="9">
        <f t="shared" si="6"/>
        <v>796.01681053125014</v>
      </c>
      <c r="I19" s="9">
        <f t="shared" si="6"/>
        <v>835.81765105781278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19</v>
      </c>
      <c r="B20" s="11">
        <f t="shared" ref="B20:I20" si="7">SUM(B15:B19)</f>
        <v>6134</v>
      </c>
      <c r="C20" s="11">
        <f t="shared" si="7"/>
        <v>6360.1337349397591</v>
      </c>
      <c r="D20" s="11">
        <f t="shared" si="7"/>
        <v>7534.1404216867468</v>
      </c>
      <c r="E20" s="11">
        <f t="shared" si="7"/>
        <v>6716.8474427710844</v>
      </c>
      <c r="F20" s="11">
        <f t="shared" si="7"/>
        <v>6908.6898149096387</v>
      </c>
      <c r="G20" s="11">
        <f t="shared" si="7"/>
        <v>7110.1243056551211</v>
      </c>
      <c r="H20" s="11">
        <f t="shared" si="7"/>
        <v>8321.630520937877</v>
      </c>
      <c r="I20" s="11">
        <f t="shared" si="7"/>
        <v>7543.7120469847705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12"/>
      <c r="C21" s="12"/>
      <c r="D21" s="12"/>
      <c r="E21" s="12"/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20</v>
      </c>
      <c r="B22" s="9">
        <f t="shared" ref="B22:I22" si="8">B12-B20</f>
        <v>-6134</v>
      </c>
      <c r="C22" s="9">
        <f t="shared" si="8"/>
        <v>5639.8662650602409</v>
      </c>
      <c r="D22" s="9">
        <f t="shared" si="8"/>
        <v>5065.8595783132532</v>
      </c>
      <c r="E22" s="9">
        <f t="shared" si="8"/>
        <v>6513.1525572289156</v>
      </c>
      <c r="F22" s="9">
        <f t="shared" si="8"/>
        <v>6982.8101850903613</v>
      </c>
      <c r="G22" s="9">
        <f t="shared" si="8"/>
        <v>7475.9506943448796</v>
      </c>
      <c r="H22" s="9">
        <f t="shared" si="8"/>
        <v>6993.7482290621247</v>
      </c>
      <c r="I22" s="9">
        <f t="shared" si="8"/>
        <v>8537.4356405152339</v>
      </c>
    </row>
    <row r="23" spans="1:26" ht="15.75" customHeight="1" x14ac:dyDescent="0.3">
      <c r="A23" s="2" t="s">
        <v>21</v>
      </c>
      <c r="B23" s="13">
        <f>B22</f>
        <v>-6134</v>
      </c>
      <c r="C23" s="9">
        <f t="shared" ref="C23:I23" si="9">C22/(1+$C$4)^C8</f>
        <v>5447.5342586410934</v>
      </c>
      <c r="D23" s="9">
        <f t="shared" si="9"/>
        <v>4808.9459252255429</v>
      </c>
      <c r="E23" s="9">
        <f t="shared" si="9"/>
        <v>6076.5010762617958</v>
      </c>
      <c r="F23" s="9">
        <f t="shared" si="9"/>
        <v>6402.6261964375408</v>
      </c>
      <c r="G23" s="9">
        <f t="shared" si="9"/>
        <v>6736.8972102885218</v>
      </c>
      <c r="H23" s="9">
        <f t="shared" si="9"/>
        <v>6193.9695873336814</v>
      </c>
      <c r="I23" s="9">
        <f t="shared" si="9"/>
        <v>7431.0827860369473</v>
      </c>
    </row>
    <row r="24" spans="1:26" ht="13" x14ac:dyDescent="0.3">
      <c r="A24" s="2" t="s">
        <v>22</v>
      </c>
      <c r="B24" s="14">
        <f>SUM(B23:I23)</f>
        <v>36963.557040225125</v>
      </c>
      <c r="C24" s="10"/>
      <c r="D24" s="10"/>
      <c r="E24" s="10"/>
      <c r="F24" s="10"/>
      <c r="G24" s="10"/>
      <c r="H24" s="10"/>
      <c r="I24" s="10"/>
    </row>
    <row r="26" spans="1:26" ht="13" x14ac:dyDescent="0.3">
      <c r="A26" s="2"/>
    </row>
    <row r="27" spans="1:26" ht="13" x14ac:dyDescent="0.3">
      <c r="A27" s="2" t="s">
        <v>23</v>
      </c>
    </row>
    <row r="28" spans="1:26" ht="12.5" x14ac:dyDescent="0.25">
      <c r="A28" s="3" t="s">
        <v>54</v>
      </c>
      <c r="B28" s="15">
        <v>1</v>
      </c>
      <c r="E28" s="3" t="s">
        <v>24</v>
      </c>
      <c r="F28" s="3">
        <v>1.33</v>
      </c>
    </row>
    <row r="29" spans="1:26" ht="12.5" x14ac:dyDescent="0.25">
      <c r="A29" s="3" t="s">
        <v>25</v>
      </c>
      <c r="B29" s="15">
        <v>20</v>
      </c>
      <c r="C29" s="3" t="s">
        <v>26</v>
      </c>
    </row>
    <row r="30" spans="1:26" ht="12.5" x14ac:dyDescent="0.25">
      <c r="A30" s="3" t="s">
        <v>55</v>
      </c>
      <c r="B30" s="15">
        <v>0.99</v>
      </c>
      <c r="C30" s="3" t="s">
        <v>26</v>
      </c>
      <c r="D30" s="3" t="s">
        <v>27</v>
      </c>
    </row>
    <row r="32" spans="1:26" ht="15.75" customHeight="1" x14ac:dyDescent="0.25">
      <c r="A32" s="3" t="s">
        <v>63</v>
      </c>
      <c r="B32" s="15">
        <v>200</v>
      </c>
    </row>
    <row r="33" spans="1:9" ht="15.75" customHeight="1" x14ac:dyDescent="0.25">
      <c r="A33" s="3" t="s">
        <v>62</v>
      </c>
      <c r="B33" s="16">
        <v>0.05</v>
      </c>
    </row>
    <row r="34" spans="1:9" ht="12.5" x14ac:dyDescent="0.25">
      <c r="A34" s="3" t="s">
        <v>28</v>
      </c>
      <c r="B34" s="18">
        <v>0</v>
      </c>
      <c r="C34" s="18">
        <f>B32*3</f>
        <v>600</v>
      </c>
      <c r="D34" s="18">
        <f>C34*(1+$B$33)</f>
        <v>630</v>
      </c>
      <c r="E34" s="18">
        <f t="shared" ref="E34:I34" si="10">D34*(1+$B$33)</f>
        <v>661.5</v>
      </c>
      <c r="F34" s="18">
        <f t="shared" si="10"/>
        <v>694.57500000000005</v>
      </c>
      <c r="G34" s="18">
        <f t="shared" si="10"/>
        <v>729.30375000000004</v>
      </c>
      <c r="H34" s="18">
        <f t="shared" si="10"/>
        <v>765.76893750000011</v>
      </c>
      <c r="I34" s="18">
        <f t="shared" si="10"/>
        <v>804.0573843750002</v>
      </c>
    </row>
    <row r="35" spans="1:9" ht="12.5" x14ac:dyDescent="0.25">
      <c r="A35" s="3" t="s">
        <v>56</v>
      </c>
      <c r="B35" s="18">
        <f>C34*$B$28</f>
        <v>600</v>
      </c>
      <c r="C35" s="18">
        <f t="shared" ref="C35:H35" si="11">D34*$B$28</f>
        <v>630</v>
      </c>
      <c r="D35" s="18">
        <f t="shared" si="11"/>
        <v>661.5</v>
      </c>
      <c r="E35" s="18">
        <f t="shared" si="11"/>
        <v>694.57500000000005</v>
      </c>
      <c r="F35" s="18">
        <f t="shared" si="11"/>
        <v>729.30375000000004</v>
      </c>
      <c r="G35" s="18">
        <f t="shared" si="11"/>
        <v>765.76893750000011</v>
      </c>
      <c r="H35" s="18">
        <f t="shared" si="11"/>
        <v>804.0573843750002</v>
      </c>
      <c r="I35" s="18">
        <f>1.05*I34</f>
        <v>844.26025359375024</v>
      </c>
    </row>
    <row r="38" spans="1:9" ht="12.5" x14ac:dyDescent="0.25">
      <c r="A38" s="3" t="s">
        <v>57</v>
      </c>
      <c r="B38" s="3">
        <v>5</v>
      </c>
      <c r="C38" s="3" t="s">
        <v>30</v>
      </c>
      <c r="D38" s="3" t="s">
        <v>58</v>
      </c>
    </row>
    <row r="39" spans="1:9" ht="12.5" x14ac:dyDescent="0.25">
      <c r="A39" s="3" t="s">
        <v>31</v>
      </c>
      <c r="B39" s="3">
        <v>1000</v>
      </c>
      <c r="C39" s="3" t="s">
        <v>32</v>
      </c>
    </row>
    <row r="40" spans="1:9" ht="12.5" x14ac:dyDescent="0.25">
      <c r="B40">
        <f>B39*F28</f>
        <v>1330</v>
      </c>
      <c r="C40" s="3" t="s">
        <v>26</v>
      </c>
    </row>
    <row r="41" spans="1:9" ht="12.5" x14ac:dyDescent="0.25">
      <c r="A41" s="3" t="s">
        <v>64</v>
      </c>
    </row>
    <row r="42" spans="1:9" ht="12.5" x14ac:dyDescent="0.25">
      <c r="A42" s="3" t="s">
        <v>61</v>
      </c>
    </row>
    <row r="43" spans="1:9" ht="12.5" x14ac:dyDescent="0.25">
      <c r="A43" s="3" t="s">
        <v>65</v>
      </c>
      <c r="B43">
        <v>844</v>
      </c>
    </row>
    <row r="44" spans="1:9" ht="12.5" x14ac:dyDescent="0.25">
      <c r="A44" s="3" t="s">
        <v>33</v>
      </c>
      <c r="B44">
        <f>_xlfn.CEILING.MATH(B35/360)</f>
        <v>2</v>
      </c>
      <c r="E44">
        <f>_xlfn.CEILING.MATH(E35/360)-B44</f>
        <v>0</v>
      </c>
    </row>
    <row r="45" spans="1:9" ht="12.5" x14ac:dyDescent="0.25">
      <c r="A45" s="3" t="s">
        <v>34</v>
      </c>
      <c r="B45">
        <f>B44*B40</f>
        <v>2660</v>
      </c>
      <c r="E45">
        <f>E44*B40</f>
        <v>0</v>
      </c>
    </row>
    <row r="47" spans="1:9" ht="12.5" x14ac:dyDescent="0.25">
      <c r="A47" s="3" t="s">
        <v>14</v>
      </c>
      <c r="B47">
        <f>B44*16*90</f>
        <v>2880</v>
      </c>
      <c r="C47">
        <f t="shared" ref="C47:D47" si="12">B47</f>
        <v>2880</v>
      </c>
      <c r="D47">
        <f t="shared" si="12"/>
        <v>2880</v>
      </c>
      <c r="E47">
        <f>(E44+B44)*16*90</f>
        <v>2880</v>
      </c>
      <c r="F47">
        <f t="shared" ref="F47:I47" si="13">E47</f>
        <v>2880</v>
      </c>
      <c r="G47">
        <f t="shared" si="13"/>
        <v>2880</v>
      </c>
      <c r="H47">
        <f t="shared" si="13"/>
        <v>2880</v>
      </c>
      <c r="I47">
        <f t="shared" si="13"/>
        <v>2880</v>
      </c>
    </row>
    <row r="48" spans="1:9" ht="12.5" x14ac:dyDescent="0.25">
      <c r="A48" s="3" t="s">
        <v>35</v>
      </c>
    </row>
    <row r="50" spans="1:9" ht="12.5" x14ac:dyDescent="0.25">
      <c r="A50" s="3" t="s">
        <v>36</v>
      </c>
      <c r="B50" s="19">
        <f t="shared" ref="B50:I50" si="14">B35*$B$30</f>
        <v>594</v>
      </c>
      <c r="C50" s="19">
        <f t="shared" si="14"/>
        <v>623.70000000000005</v>
      </c>
      <c r="D50" s="19">
        <f t="shared" si="14"/>
        <v>654.88499999999999</v>
      </c>
      <c r="E50" s="19">
        <f t="shared" si="14"/>
        <v>687.62925000000007</v>
      </c>
      <c r="F50" s="19">
        <f t="shared" si="14"/>
        <v>722.01071250000007</v>
      </c>
      <c r="G50" s="19">
        <f t="shared" si="14"/>
        <v>758.11124812500009</v>
      </c>
      <c r="H50" s="19">
        <f t="shared" si="14"/>
        <v>796.01681053125014</v>
      </c>
      <c r="I50" s="19">
        <f t="shared" si="14"/>
        <v>835.81765105781278</v>
      </c>
    </row>
    <row r="52" spans="1:9" ht="12.5" x14ac:dyDescent="0.25">
      <c r="A52" s="3" t="s">
        <v>37</v>
      </c>
      <c r="B52" s="3">
        <v>400</v>
      </c>
      <c r="C52">
        <f t="shared" ref="C52:I52" si="15">B52</f>
        <v>400</v>
      </c>
      <c r="D52">
        <f t="shared" si="15"/>
        <v>400</v>
      </c>
      <c r="E52">
        <f t="shared" si="15"/>
        <v>400</v>
      </c>
      <c r="F52">
        <f t="shared" si="15"/>
        <v>400</v>
      </c>
      <c r="G52">
        <f t="shared" si="15"/>
        <v>400</v>
      </c>
      <c r="H52">
        <f t="shared" si="15"/>
        <v>400</v>
      </c>
      <c r="I52">
        <f t="shared" si="15"/>
        <v>400</v>
      </c>
    </row>
    <row r="53" spans="1:9" ht="12.5" x14ac:dyDescent="0.25">
      <c r="A53" s="3" t="s">
        <v>38</v>
      </c>
    </row>
    <row r="55" spans="1:9" ht="12.5" x14ac:dyDescent="0.25">
      <c r="A55" s="3" t="s">
        <v>15</v>
      </c>
    </row>
    <row r="56" spans="1:9" ht="12.5" x14ac:dyDescent="0.25">
      <c r="A56" s="3" t="s">
        <v>39</v>
      </c>
    </row>
    <row r="58" spans="1:9" ht="12.5" x14ac:dyDescent="0.25">
      <c r="A58" s="3" t="s">
        <v>40</v>
      </c>
      <c r="B58" s="3">
        <v>4.58</v>
      </c>
    </row>
    <row r="59" spans="1:9" ht="12.5" x14ac:dyDescent="0.25">
      <c r="A59" s="3" t="s">
        <v>59</v>
      </c>
      <c r="B59" s="3">
        <f>0.03*1000</f>
        <v>30</v>
      </c>
      <c r="C59" s="3">
        <f t="shared" ref="C59:I59" si="16">0.03*1000</f>
        <v>30</v>
      </c>
      <c r="D59" s="3">
        <f t="shared" si="16"/>
        <v>30</v>
      </c>
      <c r="E59" s="3">
        <f t="shared" si="16"/>
        <v>30</v>
      </c>
      <c r="F59" s="3">
        <f t="shared" si="16"/>
        <v>30</v>
      </c>
      <c r="G59" s="3">
        <f t="shared" si="16"/>
        <v>30</v>
      </c>
      <c r="H59" s="3">
        <f t="shared" si="16"/>
        <v>30</v>
      </c>
      <c r="I59" s="3">
        <f t="shared" si="16"/>
        <v>30</v>
      </c>
    </row>
    <row r="61" spans="1:9" ht="12.5" x14ac:dyDescent="0.25">
      <c r="A61" s="3" t="s">
        <v>60</v>
      </c>
      <c r="B61" s="19">
        <f t="shared" ref="B61:I61" si="17">($B$58)+(B59/166)</f>
        <v>4.7607228915662647</v>
      </c>
      <c r="C61" s="19">
        <f t="shared" si="17"/>
        <v>4.7607228915662647</v>
      </c>
      <c r="D61" s="19">
        <f t="shared" si="17"/>
        <v>4.7607228915662647</v>
      </c>
      <c r="E61" s="19">
        <f t="shared" si="17"/>
        <v>4.7607228915662647</v>
      </c>
      <c r="F61" s="19">
        <f t="shared" si="17"/>
        <v>4.7607228915662647</v>
      </c>
      <c r="G61" s="19">
        <f t="shared" si="17"/>
        <v>4.7607228915662647</v>
      </c>
      <c r="H61" s="19">
        <f t="shared" si="17"/>
        <v>4.7607228915662647</v>
      </c>
      <c r="I61" s="19">
        <f t="shared" si="17"/>
        <v>4.7607228915662647</v>
      </c>
    </row>
    <row r="62" spans="1:9" ht="12.5" x14ac:dyDescent="0.25">
      <c r="A62" s="3" t="s">
        <v>52</v>
      </c>
    </row>
  </sheetData>
  <printOptions horizontalCentered="1" gridLines="1"/>
  <pageMargins left="0.7" right="0.7" top="0.75" bottom="0.75" header="0" footer="0"/>
  <pageSetup scale="99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C0C4-A927-4C2C-B9C7-6ABCFACF1EA5}">
  <sheetPr>
    <outlinePr summaryBelow="0" summaryRight="0"/>
    <pageSetUpPr fitToPage="1"/>
  </sheetPr>
  <dimension ref="A1:Z59"/>
  <sheetViews>
    <sheetView tabSelected="1" zoomScale="81" workbookViewId="0"/>
  </sheetViews>
  <sheetFormatPr defaultColWidth="12.6328125" defaultRowHeight="15.75" customHeight="1" x14ac:dyDescent="0.25"/>
  <cols>
    <col min="1" max="1" width="21.26953125" customWidth="1"/>
  </cols>
  <sheetData>
    <row r="1" spans="1:26" ht="15.75" customHeight="1" x14ac:dyDescent="0.4">
      <c r="A1" s="1" t="s">
        <v>80</v>
      </c>
      <c r="B1" s="2"/>
      <c r="C1" s="2"/>
      <c r="D1" s="2"/>
      <c r="E1" s="2"/>
    </row>
    <row r="2" spans="1:26" ht="15.75" customHeight="1" x14ac:dyDescent="0.3">
      <c r="B2" s="2"/>
      <c r="C2" s="2"/>
      <c r="D2" s="2"/>
      <c r="E2" s="2"/>
      <c r="F2" s="2"/>
    </row>
    <row r="3" spans="1:26" ht="15.75" customHeight="1" x14ac:dyDescent="0.3">
      <c r="A3" s="3" t="s">
        <v>0</v>
      </c>
      <c r="B3" s="2"/>
      <c r="C3" s="4">
        <v>7.0000000000000007E-2</v>
      </c>
      <c r="D3" s="3" t="s">
        <v>1</v>
      </c>
      <c r="E3" s="2"/>
      <c r="F3" s="2"/>
    </row>
    <row r="4" spans="1:26" ht="15.75" customHeight="1" x14ac:dyDescent="0.3">
      <c r="A4" s="3" t="s">
        <v>2</v>
      </c>
      <c r="B4" s="2"/>
      <c r="C4" s="4">
        <f>C3/4</f>
        <v>1.7500000000000002E-2</v>
      </c>
      <c r="D4" s="3" t="s">
        <v>3</v>
      </c>
      <c r="E4" s="2"/>
      <c r="F4" s="2"/>
    </row>
    <row r="5" spans="1:26" ht="15.75" customHeight="1" x14ac:dyDescent="0.3">
      <c r="B5" s="2"/>
      <c r="C5" s="2"/>
      <c r="D5" s="2"/>
      <c r="E5" s="2"/>
      <c r="F5" s="2"/>
    </row>
    <row r="6" spans="1:26" ht="15.75" customHeight="1" x14ac:dyDescent="0.3">
      <c r="B6" s="5" t="s">
        <v>4</v>
      </c>
      <c r="C6" s="5"/>
      <c r="D6" s="5"/>
      <c r="E6" s="5"/>
      <c r="F6" s="6" t="s">
        <v>5</v>
      </c>
      <c r="G6" s="7"/>
      <c r="H6" s="7"/>
      <c r="I6" s="7"/>
    </row>
    <row r="7" spans="1:26" ht="15.75" customHeight="1" x14ac:dyDescent="0.25">
      <c r="B7" s="3" t="s">
        <v>6</v>
      </c>
      <c r="C7" s="3" t="s">
        <v>7</v>
      </c>
      <c r="D7" s="3" t="s">
        <v>8</v>
      </c>
      <c r="E7" s="3" t="s">
        <v>9</v>
      </c>
      <c r="F7" s="3" t="s">
        <v>6</v>
      </c>
      <c r="G7" s="3" t="s">
        <v>7</v>
      </c>
      <c r="H7" s="3" t="s">
        <v>8</v>
      </c>
      <c r="I7" s="3" t="s">
        <v>9</v>
      </c>
    </row>
    <row r="8" spans="1:26" ht="15.75" customHeight="1" x14ac:dyDescent="0.25">
      <c r="A8" s="3" t="s">
        <v>10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</row>
    <row r="9" spans="1:26" ht="15.75" customHeight="1" x14ac:dyDescent="0.3">
      <c r="A9" s="8" t="s">
        <v>11</v>
      </c>
    </row>
    <row r="10" spans="1:26" ht="15.75" customHeight="1" x14ac:dyDescent="0.25">
      <c r="A10" s="22" t="s">
        <v>69</v>
      </c>
      <c r="B10" s="9">
        <f>B36*$B$29</f>
        <v>0</v>
      </c>
      <c r="C10" s="9">
        <f t="shared" ref="B10:C10" si="0">C36*$B$29</f>
        <v>12000</v>
      </c>
      <c r="D10" s="9">
        <f>D36*$B$29</f>
        <v>14400</v>
      </c>
      <c r="E10" s="9">
        <f>E36*$B$29</f>
        <v>17280</v>
      </c>
      <c r="F10" s="9">
        <f t="shared" ref="F10:G10" si="1">F36*$B$29</f>
        <v>20740</v>
      </c>
      <c r="G10" s="9">
        <f t="shared" si="1"/>
        <v>24900</v>
      </c>
      <c r="H10" s="9">
        <f>H36*$B$29</f>
        <v>29880</v>
      </c>
      <c r="I10" s="9">
        <f>I36*$B$29</f>
        <v>35860</v>
      </c>
    </row>
    <row r="11" spans="1:26" ht="15.75" customHeight="1" x14ac:dyDescent="0.25">
      <c r="B11" s="10"/>
      <c r="C11" s="10"/>
      <c r="D11" s="10"/>
      <c r="E11" s="10"/>
      <c r="F11" s="10"/>
      <c r="G11" s="10"/>
      <c r="H11" s="10"/>
      <c r="I11" s="10"/>
    </row>
    <row r="12" spans="1:26" ht="15.75" customHeight="1" x14ac:dyDescent="0.3">
      <c r="A12" s="2" t="s">
        <v>12</v>
      </c>
      <c r="B12" s="11">
        <f t="shared" ref="B12:I12" si="2">B10</f>
        <v>0</v>
      </c>
      <c r="C12" s="11">
        <f t="shared" si="2"/>
        <v>12000</v>
      </c>
      <c r="D12" s="11">
        <f t="shared" si="2"/>
        <v>14400</v>
      </c>
      <c r="E12" s="11">
        <f t="shared" si="2"/>
        <v>17280</v>
      </c>
      <c r="F12" s="11">
        <f t="shared" si="2"/>
        <v>20740</v>
      </c>
      <c r="G12" s="11">
        <f t="shared" si="2"/>
        <v>24900</v>
      </c>
      <c r="H12" s="11">
        <f t="shared" si="2"/>
        <v>29880</v>
      </c>
      <c r="I12" s="11">
        <f t="shared" si="2"/>
        <v>35860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1:26" ht="15.75" customHeight="1" x14ac:dyDescent="0.3">
      <c r="A14" s="8" t="s">
        <v>13</v>
      </c>
      <c r="B14" s="10"/>
      <c r="C14" s="10"/>
      <c r="D14" s="10"/>
      <c r="E14" s="10"/>
      <c r="F14" s="10"/>
      <c r="G14" s="10"/>
      <c r="H14" s="10"/>
      <c r="I14" s="10"/>
    </row>
    <row r="15" spans="1:26" ht="15.75" customHeight="1" x14ac:dyDescent="0.25">
      <c r="A15" s="3" t="s">
        <v>14</v>
      </c>
      <c r="B15" s="9">
        <f>B42+B43</f>
        <v>1474.5430699999999</v>
      </c>
      <c r="C15" s="9">
        <f>C42+C43</f>
        <v>320</v>
      </c>
      <c r="D15" s="9">
        <f>D42+D43</f>
        <v>384</v>
      </c>
      <c r="E15" s="9">
        <f t="shared" ref="D15:G15" si="3">E42+E43</f>
        <v>460.8</v>
      </c>
      <c r="F15" s="9">
        <f t="shared" si="3"/>
        <v>553.06666666666661</v>
      </c>
      <c r="G15" s="9">
        <f t="shared" si="3"/>
        <v>664</v>
      </c>
      <c r="H15" s="9">
        <f t="shared" ref="H15:I15" si="4">H42+H43</f>
        <v>796.8</v>
      </c>
      <c r="I15" s="9">
        <f t="shared" si="4"/>
        <v>956.26666666666665</v>
      </c>
    </row>
    <row r="16" spans="1:26" ht="15.75" customHeight="1" x14ac:dyDescent="0.3">
      <c r="A16" s="3" t="s">
        <v>15</v>
      </c>
      <c r="B16" s="21">
        <f>B53</f>
        <v>3000</v>
      </c>
      <c r="C16" s="21">
        <f t="shared" ref="C16:I16" si="5">C53</f>
        <v>3000</v>
      </c>
      <c r="D16" s="21">
        <f t="shared" si="5"/>
        <v>3000</v>
      </c>
      <c r="E16" s="21">
        <f t="shared" si="5"/>
        <v>3000</v>
      </c>
      <c r="F16" s="21">
        <f t="shared" si="5"/>
        <v>3000</v>
      </c>
      <c r="G16" s="21">
        <f t="shared" si="5"/>
        <v>3000</v>
      </c>
      <c r="H16" s="21">
        <f t="shared" si="5"/>
        <v>3000</v>
      </c>
      <c r="I16" s="21">
        <f t="shared" si="5"/>
        <v>3000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16</v>
      </c>
      <c r="B17" s="9">
        <f t="shared" ref="B17:H17" si="6">B36*B58</f>
        <v>0</v>
      </c>
      <c r="C17" s="9">
        <f t="shared" si="6"/>
        <v>2856.4337349397588</v>
      </c>
      <c r="D17" s="9">
        <f t="shared" si="6"/>
        <v>3427.7204819277108</v>
      </c>
      <c r="E17" s="9">
        <f t="shared" si="6"/>
        <v>4113.264578313253</v>
      </c>
      <c r="F17" s="9">
        <f t="shared" si="6"/>
        <v>4936.8696385542162</v>
      </c>
      <c r="G17" s="9">
        <f t="shared" si="6"/>
        <v>5927.0999999999995</v>
      </c>
      <c r="H17" s="9">
        <f t="shared" si="6"/>
        <v>7112.5199999999995</v>
      </c>
      <c r="I17" s="9">
        <f>I36*I58</f>
        <v>8535.9761445783133</v>
      </c>
    </row>
    <row r="18" spans="1:26" ht="15.75" customHeight="1" x14ac:dyDescent="0.25">
      <c r="A18" s="3" t="s">
        <v>43</v>
      </c>
      <c r="B18" s="9">
        <f>B50</f>
        <v>7696.71</v>
      </c>
      <c r="C18" s="9"/>
      <c r="D18" s="9"/>
      <c r="E18" s="9"/>
      <c r="F18" s="9"/>
      <c r="G18" s="9"/>
      <c r="H18" s="9"/>
      <c r="I18" s="9"/>
    </row>
    <row r="19" spans="1:26" ht="15.75" customHeight="1" x14ac:dyDescent="0.3">
      <c r="A19" s="3" t="s">
        <v>36</v>
      </c>
      <c r="B19" s="9">
        <f>B41</f>
        <v>2351.0197200000002</v>
      </c>
      <c r="C19" s="9"/>
      <c r="D19" s="9"/>
      <c r="E19" s="9"/>
      <c r="F19" s="9"/>
      <c r="G19" s="9"/>
      <c r="H19" s="9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19</v>
      </c>
      <c r="B20" s="11">
        <f t="shared" ref="B20:I20" si="7">SUM(B15:B19)</f>
        <v>14522.272789999999</v>
      </c>
      <c r="C20" s="11">
        <f t="shared" si="7"/>
        <v>6176.4337349397592</v>
      </c>
      <c r="D20" s="11">
        <f t="shared" si="7"/>
        <v>6811.7204819277104</v>
      </c>
      <c r="E20" s="11">
        <f t="shared" si="7"/>
        <v>7574.0645783132532</v>
      </c>
      <c r="F20" s="11">
        <f t="shared" si="7"/>
        <v>8489.9363052208828</v>
      </c>
      <c r="G20" s="11">
        <f t="shared" si="7"/>
        <v>9591.0999999999985</v>
      </c>
      <c r="H20" s="11">
        <f t="shared" si="7"/>
        <v>10909.32</v>
      </c>
      <c r="I20" s="11">
        <f t="shared" si="7"/>
        <v>12492.24281124498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12"/>
      <c r="C21" s="12"/>
      <c r="D21" s="12"/>
      <c r="E21" s="12"/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20</v>
      </c>
      <c r="B22" s="9">
        <f t="shared" ref="B22:I22" si="8">B12-B20</f>
        <v>-14522.272789999999</v>
      </c>
      <c r="C22" s="9">
        <f t="shared" si="8"/>
        <v>5823.5662650602408</v>
      </c>
      <c r="D22" s="9">
        <f t="shared" si="8"/>
        <v>7588.2795180722896</v>
      </c>
      <c r="E22" s="9">
        <f t="shared" si="8"/>
        <v>9705.9354216867468</v>
      </c>
      <c r="F22" s="9">
        <f t="shared" si="8"/>
        <v>12250.063694779117</v>
      </c>
      <c r="G22" s="9">
        <f t="shared" si="8"/>
        <v>15308.900000000001</v>
      </c>
      <c r="H22" s="9">
        <f t="shared" si="8"/>
        <v>18970.68</v>
      </c>
      <c r="I22" s="9">
        <f t="shared" si="8"/>
        <v>23367.757188755022</v>
      </c>
    </row>
    <row r="23" spans="1:26" ht="15.75" customHeight="1" thickBot="1" x14ac:dyDescent="0.35">
      <c r="A23" s="2" t="s">
        <v>21</v>
      </c>
      <c r="B23" s="13">
        <f>B22</f>
        <v>-14522.272789999999</v>
      </c>
      <c r="C23" s="9">
        <f t="shared" ref="C23:I23" si="9">C22/(1+$C$4)^C8</f>
        <v>5624.9696793197572</v>
      </c>
      <c r="D23" s="9">
        <f t="shared" si="9"/>
        <v>7203.442042516419</v>
      </c>
      <c r="E23" s="9">
        <f t="shared" si="9"/>
        <v>9055.2350060567023</v>
      </c>
      <c r="F23" s="9">
        <f t="shared" si="9"/>
        <v>11232.236970681206</v>
      </c>
      <c r="G23" s="9">
        <f t="shared" si="9"/>
        <v>13795.501056554744</v>
      </c>
      <c r="H23" s="9">
        <f t="shared" si="9"/>
        <v>16801.264661309779</v>
      </c>
      <c r="I23" s="9">
        <f t="shared" si="9"/>
        <v>20339.566294308126</v>
      </c>
    </row>
    <row r="24" spans="1:26" ht="13.5" thickBot="1" x14ac:dyDescent="0.35">
      <c r="A24" s="2" t="s">
        <v>22</v>
      </c>
      <c r="B24" s="14">
        <f>SUM(B23:I23)</f>
        <v>69529.942920746733</v>
      </c>
      <c r="C24" s="10"/>
      <c r="D24" s="10"/>
      <c r="E24" s="10"/>
      <c r="F24" s="10"/>
      <c r="G24" s="10"/>
      <c r="H24" s="10"/>
      <c r="I24" s="10"/>
    </row>
    <row r="26" spans="1:26" ht="13" x14ac:dyDescent="0.3">
      <c r="A26" s="2"/>
    </row>
    <row r="27" spans="1:26" ht="13" x14ac:dyDescent="0.3">
      <c r="A27" s="2" t="s">
        <v>23</v>
      </c>
    </row>
    <row r="28" spans="1:26" ht="12.5" x14ac:dyDescent="0.25">
      <c r="A28" s="3" t="s">
        <v>54</v>
      </c>
      <c r="B28" s="15">
        <v>1</v>
      </c>
      <c r="E28" s="3" t="s">
        <v>24</v>
      </c>
      <c r="F28" s="3">
        <v>1.33</v>
      </c>
    </row>
    <row r="29" spans="1:26" ht="12.5" x14ac:dyDescent="0.25">
      <c r="A29" s="3" t="s">
        <v>25</v>
      </c>
      <c r="B29" s="15">
        <v>20</v>
      </c>
      <c r="C29" s="3" t="s">
        <v>26</v>
      </c>
    </row>
    <row r="30" spans="1:26" ht="12.5" x14ac:dyDescent="0.25">
      <c r="A30" s="3" t="s">
        <v>55</v>
      </c>
      <c r="B30" s="15">
        <v>0.22800000000000001</v>
      </c>
      <c r="C30" s="3" t="s">
        <v>44</v>
      </c>
      <c r="D30" s="3" t="s">
        <v>45</v>
      </c>
    </row>
    <row r="31" spans="1:26" ht="12.5" x14ac:dyDescent="0.25">
      <c r="A31" s="3" t="s">
        <v>67</v>
      </c>
      <c r="B31">
        <v>0.14299999999999999</v>
      </c>
      <c r="C31" s="3" t="s">
        <v>44</v>
      </c>
    </row>
    <row r="32" spans="1:26" ht="12.5" x14ac:dyDescent="0.25">
      <c r="A32" s="3" t="s">
        <v>68</v>
      </c>
      <c r="B32" s="3">
        <v>5.6000000000000001E-2</v>
      </c>
      <c r="C32" s="3" t="s">
        <v>44</v>
      </c>
      <c r="D32" s="3"/>
      <c r="E32" s="3"/>
      <c r="F32" s="3"/>
      <c r="G32" s="3"/>
      <c r="H32" s="3"/>
      <c r="I32" s="3"/>
    </row>
    <row r="33" spans="1:10" ht="12.5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10" ht="12.5" x14ac:dyDescent="0.25">
      <c r="A34" s="3" t="s">
        <v>63</v>
      </c>
      <c r="B34" s="15">
        <v>200</v>
      </c>
    </row>
    <row r="35" spans="1:10" ht="12.5" x14ac:dyDescent="0.25">
      <c r="A35" s="3" t="s">
        <v>62</v>
      </c>
      <c r="B35" s="16">
        <v>0.2</v>
      </c>
      <c r="J35" t="s">
        <v>66</v>
      </c>
    </row>
    <row r="36" spans="1:10" ht="12.5" x14ac:dyDescent="0.25">
      <c r="A36" s="3" t="s">
        <v>28</v>
      </c>
      <c r="B36" s="18">
        <v>0</v>
      </c>
      <c r="C36" s="18">
        <f>B34*3</f>
        <v>600</v>
      </c>
      <c r="D36" s="18">
        <f>_xlfn.CEILING.MATH(C36*(1+$B$35))</f>
        <v>720</v>
      </c>
      <c r="E36" s="18">
        <f t="shared" ref="E36:I36" si="10">_xlfn.CEILING.MATH(D36*(1+$B$35))</f>
        <v>864</v>
      </c>
      <c r="F36" s="18">
        <f t="shared" si="10"/>
        <v>1037</v>
      </c>
      <c r="G36" s="18">
        <f t="shared" si="10"/>
        <v>1245</v>
      </c>
      <c r="H36" s="18">
        <f t="shared" si="10"/>
        <v>1494</v>
      </c>
      <c r="I36" s="18">
        <f t="shared" si="10"/>
        <v>1793</v>
      </c>
      <c r="J36" s="20">
        <f>SUM(B36:I36)</f>
        <v>7753</v>
      </c>
    </row>
    <row r="37" spans="1:10" ht="12.5" x14ac:dyDescent="0.25">
      <c r="A37" s="3" t="s">
        <v>29</v>
      </c>
      <c r="B37" s="18">
        <f>SUM(B36:I36)</f>
        <v>7753</v>
      </c>
      <c r="C37">
        <v>0</v>
      </c>
      <c r="D37">
        <v>0</v>
      </c>
      <c r="E37">
        <v>0</v>
      </c>
      <c r="F37" s="3">
        <f t="shared" ref="F37:H37" si="11">E37</f>
        <v>0</v>
      </c>
      <c r="G37" s="3">
        <f t="shared" si="11"/>
        <v>0</v>
      </c>
      <c r="H37" s="3">
        <f t="shared" si="11"/>
        <v>0</v>
      </c>
      <c r="I37">
        <v>0</v>
      </c>
    </row>
    <row r="39" spans="1:10" ht="12.5" x14ac:dyDescent="0.25">
      <c r="A39" s="3" t="s">
        <v>46</v>
      </c>
    </row>
    <row r="41" spans="1:10" ht="12.5" x14ac:dyDescent="0.25">
      <c r="A41" s="3" t="s">
        <v>36</v>
      </c>
      <c r="B41" s="17">
        <f>B37*B30*F28</f>
        <v>2351.0197200000002</v>
      </c>
      <c r="C41">
        <f t="shared" ref="C41:I41" si="12">C37*$B$30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</row>
    <row r="42" spans="1:10" ht="12.5" x14ac:dyDescent="0.25">
      <c r="A42" s="3" t="s">
        <v>47</v>
      </c>
      <c r="B42" s="19">
        <f>B31*B37*F28</f>
        <v>1474.5430699999999</v>
      </c>
    </row>
    <row r="43" spans="1:10" ht="12.5" x14ac:dyDescent="0.25">
      <c r="A43" s="3" t="s">
        <v>48</v>
      </c>
      <c r="C43">
        <f>C36*(2/60)*16</f>
        <v>320</v>
      </c>
      <c r="D43">
        <f>D36*(2/60)*16</f>
        <v>384</v>
      </c>
      <c r="E43" s="19">
        <f t="shared" ref="E43:J43" si="13">E36*(2/60)*16</f>
        <v>460.8</v>
      </c>
      <c r="F43">
        <f t="shared" si="13"/>
        <v>553.06666666666661</v>
      </c>
      <c r="G43" s="19">
        <f t="shared" si="13"/>
        <v>664</v>
      </c>
      <c r="H43">
        <f t="shared" si="13"/>
        <v>796.8</v>
      </c>
      <c r="I43">
        <f t="shared" si="13"/>
        <v>956.26666666666665</v>
      </c>
    </row>
    <row r="44" spans="1:10" ht="12.5" x14ac:dyDescent="0.25">
      <c r="A44" s="3" t="s">
        <v>49</v>
      </c>
      <c r="C44" s="3"/>
    </row>
    <row r="45" spans="1:10" ht="12.5" x14ac:dyDescent="0.25">
      <c r="C45" s="3"/>
    </row>
    <row r="46" spans="1:10" ht="12.5" x14ac:dyDescent="0.25">
      <c r="A46" s="3" t="s">
        <v>50</v>
      </c>
      <c r="B46">
        <f>B37*B32*F28</f>
        <v>577.44344000000001</v>
      </c>
      <c r="C46" s="3"/>
    </row>
    <row r="47" spans="1:10" ht="12.5" x14ac:dyDescent="0.25">
      <c r="A47" s="3" t="s">
        <v>37</v>
      </c>
      <c r="B47">
        <v>400</v>
      </c>
      <c r="C47" s="3">
        <v>400</v>
      </c>
      <c r="D47">
        <f t="shared" ref="D47:I47" si="14">C47</f>
        <v>400</v>
      </c>
      <c r="E47">
        <f t="shared" si="14"/>
        <v>400</v>
      </c>
      <c r="F47">
        <f t="shared" si="14"/>
        <v>400</v>
      </c>
      <c r="G47">
        <f t="shared" si="14"/>
        <v>400</v>
      </c>
      <c r="H47">
        <f t="shared" si="14"/>
        <v>400</v>
      </c>
      <c r="I47">
        <f t="shared" si="14"/>
        <v>400</v>
      </c>
    </row>
    <row r="48" spans="1:10" ht="12.5" x14ac:dyDescent="0.25">
      <c r="A48" s="3" t="s">
        <v>51</v>
      </c>
    </row>
    <row r="49" spans="1:9" ht="12.5" x14ac:dyDescent="0.25">
      <c r="A49" s="3" t="s">
        <v>43</v>
      </c>
      <c r="B49" s="3">
        <v>5787</v>
      </c>
      <c r="C49" s="3" t="s">
        <v>44</v>
      </c>
    </row>
    <row r="50" spans="1:9" ht="12.5" x14ac:dyDescent="0.25">
      <c r="A50" s="3"/>
      <c r="B50">
        <f>F28*B49</f>
        <v>7696.71</v>
      </c>
      <c r="C50" s="3" t="s">
        <v>26</v>
      </c>
    </row>
    <row r="52" spans="1:9" ht="12.5" x14ac:dyDescent="0.25">
      <c r="A52" s="3" t="s">
        <v>15</v>
      </c>
    </row>
    <row r="53" spans="1:9" ht="12.5" x14ac:dyDescent="0.25">
      <c r="A53" s="3" t="s">
        <v>39</v>
      </c>
      <c r="B53">
        <v>3000</v>
      </c>
      <c r="C53">
        <v>3000</v>
      </c>
      <c r="D53">
        <v>3000</v>
      </c>
      <c r="E53">
        <v>3000</v>
      </c>
      <c r="F53">
        <v>3000</v>
      </c>
      <c r="G53">
        <v>3000</v>
      </c>
      <c r="H53">
        <v>3000</v>
      </c>
      <c r="I53">
        <v>3000</v>
      </c>
    </row>
    <row r="55" spans="1:9" ht="12.5" x14ac:dyDescent="0.25">
      <c r="A55" s="3" t="s">
        <v>40</v>
      </c>
      <c r="B55" s="3">
        <v>4.58</v>
      </c>
    </row>
    <row r="56" spans="1:9" ht="12.5" x14ac:dyDescent="0.25">
      <c r="A56" s="3" t="s">
        <v>41</v>
      </c>
      <c r="B56" s="3">
        <v>30</v>
      </c>
      <c r="C56" s="3">
        <v>30</v>
      </c>
      <c r="D56" s="3">
        <v>30</v>
      </c>
      <c r="E56" s="3">
        <v>30</v>
      </c>
      <c r="F56" s="3">
        <v>30</v>
      </c>
      <c r="G56" s="3">
        <v>30</v>
      </c>
      <c r="H56" s="3">
        <v>30</v>
      </c>
      <c r="I56" s="3">
        <v>30</v>
      </c>
    </row>
    <row r="58" spans="1:9" ht="12.5" x14ac:dyDescent="0.25">
      <c r="A58" s="3" t="s">
        <v>42</v>
      </c>
      <c r="B58" s="19">
        <f t="shared" ref="B58:I58" si="15">($B$55)+(B56/166)</f>
        <v>4.7607228915662647</v>
      </c>
      <c r="C58" s="19">
        <f t="shared" si="15"/>
        <v>4.7607228915662647</v>
      </c>
      <c r="D58" s="19">
        <f t="shared" si="15"/>
        <v>4.7607228915662647</v>
      </c>
      <c r="E58" s="19">
        <f t="shared" si="15"/>
        <v>4.7607228915662647</v>
      </c>
      <c r="F58" s="19">
        <f t="shared" si="15"/>
        <v>4.7607228915662647</v>
      </c>
      <c r="G58" s="19">
        <f t="shared" si="15"/>
        <v>4.7607228915662647</v>
      </c>
      <c r="H58" s="19">
        <f t="shared" si="15"/>
        <v>4.7607228915662647</v>
      </c>
      <c r="I58" s="19">
        <f t="shared" si="15"/>
        <v>4.7607228915662647</v>
      </c>
    </row>
    <row r="59" spans="1:9" ht="12.5" x14ac:dyDescent="0.25">
      <c r="A59" s="3" t="s">
        <v>52</v>
      </c>
    </row>
  </sheetData>
  <printOptions horizontalCentered="1" gridLines="1"/>
  <pageMargins left="0.7" right="0.7" top="0.75" bottom="0.75" header="0" footer="0"/>
  <pageSetup scale="92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59"/>
  <sheetViews>
    <sheetView workbookViewId="0">
      <selection activeCell="A2" sqref="A2"/>
    </sheetView>
  </sheetViews>
  <sheetFormatPr defaultColWidth="12.6328125" defaultRowHeight="15.75" customHeight="1" x14ac:dyDescent="0.25"/>
  <cols>
    <col min="1" max="1" width="21.26953125" customWidth="1"/>
  </cols>
  <sheetData>
    <row r="1" spans="1:26" ht="15.75" customHeight="1" x14ac:dyDescent="0.4">
      <c r="A1" s="1" t="s">
        <v>81</v>
      </c>
      <c r="B1" s="2"/>
      <c r="C1" s="2"/>
      <c r="D1" s="2"/>
      <c r="E1" s="2"/>
    </row>
    <row r="2" spans="1:26" ht="15.75" customHeight="1" x14ac:dyDescent="0.3">
      <c r="B2" s="2"/>
      <c r="C2" s="2"/>
      <c r="D2" s="2"/>
      <c r="E2" s="2"/>
      <c r="F2" s="2"/>
    </row>
    <row r="3" spans="1:26" ht="15.75" customHeight="1" x14ac:dyDescent="0.3">
      <c r="A3" s="3" t="s">
        <v>0</v>
      </c>
      <c r="B3" s="2"/>
      <c r="C3" s="4">
        <v>7.0000000000000007E-2</v>
      </c>
      <c r="D3" s="3" t="s">
        <v>1</v>
      </c>
      <c r="E3" s="2"/>
      <c r="F3" s="2"/>
    </row>
    <row r="4" spans="1:26" ht="15.75" customHeight="1" x14ac:dyDescent="0.3">
      <c r="A4" s="3" t="s">
        <v>2</v>
      </c>
      <c r="B4" s="2"/>
      <c r="C4" s="4">
        <f>C3/4</f>
        <v>1.7500000000000002E-2</v>
      </c>
      <c r="D4" s="3" t="s">
        <v>3</v>
      </c>
      <c r="E4" s="2"/>
      <c r="F4" s="2"/>
    </row>
    <row r="5" spans="1:26" ht="15.75" customHeight="1" x14ac:dyDescent="0.3">
      <c r="B5" s="2"/>
      <c r="C5" s="2"/>
      <c r="D5" s="2"/>
      <c r="E5" s="2"/>
      <c r="F5" s="2"/>
    </row>
    <row r="6" spans="1:26" ht="15.75" customHeight="1" x14ac:dyDescent="0.3">
      <c r="B6" s="5" t="s">
        <v>4</v>
      </c>
      <c r="C6" s="5"/>
      <c r="D6" s="5"/>
      <c r="E6" s="5"/>
      <c r="F6" s="6" t="s">
        <v>5</v>
      </c>
      <c r="G6" s="7"/>
      <c r="H6" s="7"/>
      <c r="I6" s="7"/>
    </row>
    <row r="7" spans="1:26" ht="15.75" customHeight="1" x14ac:dyDescent="0.25">
      <c r="B7" s="3" t="s">
        <v>6</v>
      </c>
      <c r="C7" s="3" t="s">
        <v>7</v>
      </c>
      <c r="D7" s="3" t="s">
        <v>8</v>
      </c>
      <c r="E7" s="3" t="s">
        <v>9</v>
      </c>
      <c r="F7" s="3" t="s">
        <v>6</v>
      </c>
      <c r="G7" s="3" t="s">
        <v>7</v>
      </c>
      <c r="H7" s="3" t="s">
        <v>8</v>
      </c>
      <c r="I7" s="3" t="s">
        <v>9</v>
      </c>
    </row>
    <row r="8" spans="1:26" ht="15.75" customHeight="1" x14ac:dyDescent="0.25">
      <c r="A8" s="3" t="s">
        <v>10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</row>
    <row r="9" spans="1:26" ht="15.75" customHeight="1" x14ac:dyDescent="0.3">
      <c r="A9" s="8" t="s">
        <v>11</v>
      </c>
    </row>
    <row r="10" spans="1:26" ht="15.75" customHeight="1" x14ac:dyDescent="0.25">
      <c r="A10" s="22" t="s">
        <v>69</v>
      </c>
      <c r="B10" s="9">
        <f>B36*$B$29</f>
        <v>0</v>
      </c>
      <c r="C10" s="9">
        <f t="shared" ref="C10:D10" si="0">C36*$B$29</f>
        <v>12000</v>
      </c>
      <c r="D10" s="9">
        <f>D36*$B$29</f>
        <v>12600</v>
      </c>
      <c r="E10" s="9">
        <f>E36*$B$29</f>
        <v>13240</v>
      </c>
      <c r="F10" s="9">
        <f t="shared" ref="F10:G10" si="1">F36*$B$29</f>
        <v>13920</v>
      </c>
      <c r="G10" s="9">
        <f t="shared" si="1"/>
        <v>14620</v>
      </c>
      <c r="H10" s="9">
        <f>H36*$B$29</f>
        <v>15360</v>
      </c>
      <c r="I10" s="9">
        <f>I36*$B$29</f>
        <v>16140</v>
      </c>
    </row>
    <row r="11" spans="1:26" ht="15.75" customHeight="1" x14ac:dyDescent="0.25">
      <c r="B11" s="10"/>
      <c r="C11" s="10"/>
      <c r="D11" s="10"/>
      <c r="E11" s="10"/>
      <c r="F11" s="10"/>
      <c r="G11" s="10"/>
      <c r="H11" s="10"/>
      <c r="I11" s="10"/>
    </row>
    <row r="12" spans="1:26" ht="15.75" customHeight="1" x14ac:dyDescent="0.3">
      <c r="A12" s="2" t="s">
        <v>12</v>
      </c>
      <c r="B12" s="11">
        <f t="shared" ref="B12:I12" si="2">B10</f>
        <v>0</v>
      </c>
      <c r="C12" s="11">
        <f t="shared" si="2"/>
        <v>12000</v>
      </c>
      <c r="D12" s="11">
        <f t="shared" si="2"/>
        <v>12600</v>
      </c>
      <c r="E12" s="11">
        <f t="shared" si="2"/>
        <v>13240</v>
      </c>
      <c r="F12" s="11">
        <f t="shared" si="2"/>
        <v>13920</v>
      </c>
      <c r="G12" s="11">
        <f t="shared" si="2"/>
        <v>14620</v>
      </c>
      <c r="H12" s="11">
        <f t="shared" si="2"/>
        <v>15360</v>
      </c>
      <c r="I12" s="11">
        <f t="shared" si="2"/>
        <v>16140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1:26" ht="15.75" customHeight="1" x14ac:dyDescent="0.3">
      <c r="A14" s="8" t="s">
        <v>13</v>
      </c>
      <c r="B14" s="10"/>
      <c r="C14" s="10"/>
      <c r="D14" s="10"/>
      <c r="E14" s="10"/>
      <c r="F14" s="10"/>
      <c r="G14" s="10"/>
      <c r="H14" s="10"/>
      <c r="I14" s="10"/>
    </row>
    <row r="15" spans="1:26" ht="15.75" customHeight="1" x14ac:dyDescent="0.25">
      <c r="A15" s="3" t="s">
        <v>14</v>
      </c>
      <c r="B15" s="9">
        <f>B42+B43</f>
        <v>930.78985999999998</v>
      </c>
      <c r="C15" s="9">
        <f>C42+C43</f>
        <v>320</v>
      </c>
      <c r="D15" s="9">
        <f>D42+D43</f>
        <v>336</v>
      </c>
      <c r="E15" s="9">
        <f t="shared" ref="E15:I15" si="3">E42+E43</f>
        <v>353.06666666666666</v>
      </c>
      <c r="F15" s="9">
        <f t="shared" si="3"/>
        <v>371.2</v>
      </c>
      <c r="G15" s="9">
        <f t="shared" si="3"/>
        <v>389.86666666666667</v>
      </c>
      <c r="H15" s="9">
        <f t="shared" si="3"/>
        <v>409.6</v>
      </c>
      <c r="I15" s="9">
        <f t="shared" si="3"/>
        <v>430.4</v>
      </c>
    </row>
    <row r="16" spans="1:26" ht="15.75" customHeight="1" x14ac:dyDescent="0.3">
      <c r="A16" s="3" t="s">
        <v>15</v>
      </c>
      <c r="B16" s="21">
        <f>B53</f>
        <v>0</v>
      </c>
      <c r="C16" s="21">
        <f t="shared" ref="C16:I16" si="4">C53</f>
        <v>0</v>
      </c>
      <c r="D16" s="21">
        <f t="shared" si="4"/>
        <v>0</v>
      </c>
      <c r="E16" s="21">
        <f t="shared" si="4"/>
        <v>0</v>
      </c>
      <c r="F16" s="21">
        <f t="shared" si="4"/>
        <v>0</v>
      </c>
      <c r="G16" s="21">
        <f t="shared" si="4"/>
        <v>0</v>
      </c>
      <c r="H16" s="21">
        <f t="shared" si="4"/>
        <v>0</v>
      </c>
      <c r="I16" s="21">
        <f t="shared" si="4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16</v>
      </c>
      <c r="B17" s="9">
        <f t="shared" ref="B17:H17" si="5">B36*B58</f>
        <v>0</v>
      </c>
      <c r="C17" s="9">
        <f t="shared" si="5"/>
        <v>2856.4337349397588</v>
      </c>
      <c r="D17" s="9">
        <f t="shared" si="5"/>
        <v>2999.2554216867466</v>
      </c>
      <c r="E17" s="9">
        <f t="shared" si="5"/>
        <v>3151.5985542168673</v>
      </c>
      <c r="F17" s="9">
        <f t="shared" si="5"/>
        <v>3313.4631325301202</v>
      </c>
      <c r="G17" s="9">
        <f t="shared" si="5"/>
        <v>3480.0884337349394</v>
      </c>
      <c r="H17" s="9">
        <f t="shared" si="5"/>
        <v>3656.2351807228915</v>
      </c>
      <c r="I17" s="9">
        <f>I36*I58</f>
        <v>3841.9033734939758</v>
      </c>
    </row>
    <row r="18" spans="1:26" ht="15.75" customHeight="1" x14ac:dyDescent="0.25">
      <c r="A18" s="3" t="s">
        <v>43</v>
      </c>
      <c r="B18" s="9">
        <f>B50</f>
        <v>7696.71</v>
      </c>
      <c r="C18" s="9"/>
      <c r="D18" s="9"/>
      <c r="E18" s="9"/>
      <c r="F18" s="9"/>
      <c r="G18" s="9"/>
      <c r="H18" s="9"/>
      <c r="I18" s="9"/>
    </row>
    <row r="19" spans="1:26" ht="15.75" customHeight="1" x14ac:dyDescent="0.3">
      <c r="A19" s="3" t="s">
        <v>36</v>
      </c>
      <c r="B19" s="9">
        <f>B41</f>
        <v>1484.0565600000002</v>
      </c>
      <c r="C19" s="9"/>
      <c r="D19" s="9"/>
      <c r="E19" s="9"/>
      <c r="F19" s="9"/>
      <c r="G19" s="9"/>
      <c r="H19" s="9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19</v>
      </c>
      <c r="B20" s="11">
        <f t="shared" ref="B20:I20" si="6">SUM(B15:B19)</f>
        <v>10111.556420000001</v>
      </c>
      <c r="C20" s="11">
        <f t="shared" si="6"/>
        <v>3176.4337349397588</v>
      </c>
      <c r="D20" s="11">
        <f t="shared" si="6"/>
        <v>3335.2554216867466</v>
      </c>
      <c r="E20" s="11">
        <f t="shared" si="6"/>
        <v>3504.6652208835339</v>
      </c>
      <c r="F20" s="11">
        <f t="shared" si="6"/>
        <v>3684.66313253012</v>
      </c>
      <c r="G20" s="11">
        <f t="shared" si="6"/>
        <v>3869.9551004016062</v>
      </c>
      <c r="H20" s="11">
        <f t="shared" si="6"/>
        <v>4065.8351807228914</v>
      </c>
      <c r="I20" s="11">
        <f t="shared" si="6"/>
        <v>4272.3033734939754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12"/>
      <c r="C21" s="12"/>
      <c r="D21" s="12"/>
      <c r="E21" s="12"/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20</v>
      </c>
      <c r="B22" s="9">
        <f t="shared" ref="B22:I22" si="7">B12-B20</f>
        <v>-10111.556420000001</v>
      </c>
      <c r="C22" s="9">
        <f t="shared" si="7"/>
        <v>8823.5662650602408</v>
      </c>
      <c r="D22" s="9">
        <f t="shared" si="7"/>
        <v>9264.7445783132534</v>
      </c>
      <c r="E22" s="9">
        <f t="shared" si="7"/>
        <v>9735.334779116467</v>
      </c>
      <c r="F22" s="9">
        <f t="shared" si="7"/>
        <v>10235.33686746988</v>
      </c>
      <c r="G22" s="9">
        <f t="shared" si="7"/>
        <v>10750.044899598393</v>
      </c>
      <c r="H22" s="9">
        <f t="shared" si="7"/>
        <v>11294.164819277108</v>
      </c>
      <c r="I22" s="9">
        <f t="shared" si="7"/>
        <v>11867.696626506025</v>
      </c>
    </row>
    <row r="23" spans="1:26" ht="15.75" customHeight="1" x14ac:dyDescent="0.3">
      <c r="A23" s="2" t="s">
        <v>21</v>
      </c>
      <c r="B23" s="13">
        <f>B22</f>
        <v>-10111.556420000001</v>
      </c>
      <c r="C23" s="9">
        <f t="shared" ref="C23:I23" si="8">C22/(1+$C$4)^C8</f>
        <v>8522.6629947034908</v>
      </c>
      <c r="D23" s="9">
        <f t="shared" si="8"/>
        <v>8794.8856456399662</v>
      </c>
      <c r="E23" s="9">
        <f t="shared" si="8"/>
        <v>9082.6633866286902</v>
      </c>
      <c r="F23" s="9">
        <f t="shared" si="8"/>
        <v>9384.9086857539405</v>
      </c>
      <c r="G23" s="9">
        <f t="shared" si="8"/>
        <v>9687.3227841595781</v>
      </c>
      <c r="H23" s="9">
        <f t="shared" si="8"/>
        <v>10002.606773037583</v>
      </c>
      <c r="I23" s="9">
        <f t="shared" si="8"/>
        <v>10329.780489661814</v>
      </c>
    </row>
    <row r="24" spans="1:26" ht="13" x14ac:dyDescent="0.3">
      <c r="A24" s="2" t="s">
        <v>22</v>
      </c>
      <c r="B24" s="14">
        <f>SUM(B23:I23)</f>
        <v>55693.27433958507</v>
      </c>
      <c r="C24" s="10"/>
      <c r="D24" s="10"/>
      <c r="E24" s="10"/>
      <c r="F24" s="10"/>
      <c r="G24" s="10"/>
      <c r="H24" s="10"/>
      <c r="I24" s="10"/>
    </row>
    <row r="26" spans="1:26" ht="13" x14ac:dyDescent="0.3">
      <c r="A26" s="2"/>
    </row>
    <row r="27" spans="1:26" ht="13" x14ac:dyDescent="0.3">
      <c r="A27" s="2" t="s">
        <v>23</v>
      </c>
    </row>
    <row r="28" spans="1:26" ht="12.5" x14ac:dyDescent="0.25">
      <c r="A28" s="3" t="s">
        <v>54</v>
      </c>
      <c r="B28" s="15">
        <v>1</v>
      </c>
      <c r="E28" s="3" t="s">
        <v>24</v>
      </c>
      <c r="F28" s="3">
        <v>1.33</v>
      </c>
    </row>
    <row r="29" spans="1:26" ht="12.5" x14ac:dyDescent="0.25">
      <c r="A29" s="3" t="s">
        <v>25</v>
      </c>
      <c r="B29" s="15">
        <v>20</v>
      </c>
      <c r="C29" s="3" t="s">
        <v>26</v>
      </c>
    </row>
    <row r="30" spans="1:26" ht="12.5" x14ac:dyDescent="0.25">
      <c r="A30" s="3" t="s">
        <v>55</v>
      </c>
      <c r="B30" s="15">
        <v>0.22800000000000001</v>
      </c>
      <c r="C30" s="3" t="s">
        <v>44</v>
      </c>
      <c r="D30" s="3" t="s">
        <v>45</v>
      </c>
    </row>
    <row r="31" spans="1:26" ht="12.5" x14ac:dyDescent="0.25">
      <c r="A31" s="3" t="s">
        <v>67</v>
      </c>
      <c r="B31">
        <v>0.14299999999999999</v>
      </c>
      <c r="C31" s="3" t="s">
        <v>44</v>
      </c>
    </row>
    <row r="32" spans="1:26" ht="12.5" x14ac:dyDescent="0.25">
      <c r="A32" s="3" t="s">
        <v>68</v>
      </c>
      <c r="B32" s="3">
        <v>5.6000000000000001E-2</v>
      </c>
      <c r="C32" s="3" t="s">
        <v>44</v>
      </c>
      <c r="D32" s="3"/>
      <c r="E32" s="3"/>
      <c r="F32" s="3"/>
      <c r="G32" s="3"/>
      <c r="H32" s="3"/>
      <c r="I32" s="3"/>
    </row>
    <row r="33" spans="1:10" ht="12.5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10" ht="12.5" x14ac:dyDescent="0.25">
      <c r="A34" s="3" t="s">
        <v>63</v>
      </c>
      <c r="B34" s="15">
        <v>200</v>
      </c>
    </row>
    <row r="35" spans="1:10" ht="12.5" x14ac:dyDescent="0.25">
      <c r="A35" s="3" t="s">
        <v>62</v>
      </c>
      <c r="B35" s="16">
        <v>0.05</v>
      </c>
      <c r="J35" t="s">
        <v>66</v>
      </c>
    </row>
    <row r="36" spans="1:10" ht="12.5" x14ac:dyDescent="0.25">
      <c r="A36" s="3" t="s">
        <v>28</v>
      </c>
      <c r="B36" s="18">
        <v>0</v>
      </c>
      <c r="C36" s="18">
        <f>B34*3</f>
        <v>600</v>
      </c>
      <c r="D36" s="18">
        <f>_xlfn.CEILING.MATH(C36*(1+$B$35))</f>
        <v>630</v>
      </c>
      <c r="E36" s="18">
        <f t="shared" ref="E36:I36" si="9">_xlfn.CEILING.MATH(D36*(1+$B$35))</f>
        <v>662</v>
      </c>
      <c r="F36" s="18">
        <f t="shared" si="9"/>
        <v>696</v>
      </c>
      <c r="G36" s="18">
        <f t="shared" si="9"/>
        <v>731</v>
      </c>
      <c r="H36" s="18">
        <f t="shared" si="9"/>
        <v>768</v>
      </c>
      <c r="I36" s="18">
        <f t="shared" si="9"/>
        <v>807</v>
      </c>
      <c r="J36" s="20">
        <f>SUM(B36:I36)</f>
        <v>4894</v>
      </c>
    </row>
    <row r="37" spans="1:10" ht="12.5" x14ac:dyDescent="0.25">
      <c r="A37" s="3" t="s">
        <v>29</v>
      </c>
      <c r="B37" s="18">
        <f>SUM(B36:I36)</f>
        <v>4894</v>
      </c>
      <c r="C37">
        <v>0</v>
      </c>
      <c r="D37">
        <v>0</v>
      </c>
      <c r="E37">
        <v>0</v>
      </c>
      <c r="F37" s="3">
        <f t="shared" ref="F37:H37" si="10">E37</f>
        <v>0</v>
      </c>
      <c r="G37" s="3">
        <f t="shared" si="10"/>
        <v>0</v>
      </c>
      <c r="H37" s="3">
        <f t="shared" si="10"/>
        <v>0</v>
      </c>
      <c r="I37">
        <v>0</v>
      </c>
    </row>
    <row r="39" spans="1:10" ht="12.5" x14ac:dyDescent="0.25">
      <c r="A39" s="3" t="s">
        <v>46</v>
      </c>
    </row>
    <row r="41" spans="1:10" ht="12.5" x14ac:dyDescent="0.25">
      <c r="A41" s="3" t="s">
        <v>36</v>
      </c>
      <c r="B41" s="17">
        <f>B37*B30*F28</f>
        <v>1484.0565600000002</v>
      </c>
      <c r="C41">
        <f t="shared" ref="C41:I41" si="11">C37*$B$30</f>
        <v>0</v>
      </c>
      <c r="D41">
        <f t="shared" si="11"/>
        <v>0</v>
      </c>
      <c r="E41">
        <f t="shared" si="11"/>
        <v>0</v>
      </c>
      <c r="F41">
        <f t="shared" si="11"/>
        <v>0</v>
      </c>
      <c r="G41">
        <f t="shared" si="11"/>
        <v>0</v>
      </c>
      <c r="H41">
        <f t="shared" si="11"/>
        <v>0</v>
      </c>
      <c r="I41">
        <f t="shared" si="11"/>
        <v>0</v>
      </c>
    </row>
    <row r="42" spans="1:10" ht="12.5" x14ac:dyDescent="0.25">
      <c r="A42" s="3" t="s">
        <v>47</v>
      </c>
      <c r="B42" s="19">
        <f>B31*B37*F28</f>
        <v>930.78985999999998</v>
      </c>
    </row>
    <row r="43" spans="1:10" ht="12.5" x14ac:dyDescent="0.25">
      <c r="A43" s="3" t="s">
        <v>48</v>
      </c>
      <c r="C43">
        <f>C36*(2/60)*16</f>
        <v>320</v>
      </c>
      <c r="D43">
        <f>D36*(2/60)*16</f>
        <v>336</v>
      </c>
      <c r="E43" s="19">
        <f t="shared" ref="D43:I43" si="12">E36*(2/60)*16</f>
        <v>353.06666666666666</v>
      </c>
      <c r="F43">
        <f t="shared" si="12"/>
        <v>371.2</v>
      </c>
      <c r="G43" s="19">
        <f t="shared" si="12"/>
        <v>389.86666666666667</v>
      </c>
      <c r="H43">
        <f t="shared" si="12"/>
        <v>409.6</v>
      </c>
      <c r="I43">
        <f t="shared" si="12"/>
        <v>430.4</v>
      </c>
    </row>
    <row r="44" spans="1:10" ht="12.5" x14ac:dyDescent="0.25">
      <c r="A44" s="3" t="s">
        <v>49</v>
      </c>
      <c r="C44" s="3"/>
    </row>
    <row r="45" spans="1:10" ht="12.5" x14ac:dyDescent="0.25">
      <c r="C45" s="3"/>
    </row>
    <row r="46" spans="1:10" ht="12.5" x14ac:dyDescent="0.25">
      <c r="A46" s="3" t="s">
        <v>50</v>
      </c>
      <c r="B46">
        <f>B37*B32*F28</f>
        <v>364.50512000000003</v>
      </c>
      <c r="C46" s="3"/>
    </row>
    <row r="47" spans="1:10" ht="12.5" x14ac:dyDescent="0.25">
      <c r="A47" s="3" t="s">
        <v>37</v>
      </c>
      <c r="B47">
        <v>400</v>
      </c>
      <c r="C47" s="3">
        <v>400</v>
      </c>
      <c r="D47">
        <f t="shared" ref="D47:I47" si="13">C47</f>
        <v>400</v>
      </c>
      <c r="E47">
        <f t="shared" si="13"/>
        <v>400</v>
      </c>
      <c r="F47">
        <f t="shared" si="13"/>
        <v>400</v>
      </c>
      <c r="G47">
        <f t="shared" si="13"/>
        <v>400</v>
      </c>
      <c r="H47">
        <f t="shared" si="13"/>
        <v>400</v>
      </c>
      <c r="I47">
        <f t="shared" si="13"/>
        <v>400</v>
      </c>
    </row>
    <row r="48" spans="1:10" ht="12.5" x14ac:dyDescent="0.25">
      <c r="A48" s="3" t="s">
        <v>51</v>
      </c>
    </row>
    <row r="49" spans="1:9" ht="12.5" x14ac:dyDescent="0.25">
      <c r="A49" s="3" t="s">
        <v>43</v>
      </c>
      <c r="B49" s="3">
        <v>5787</v>
      </c>
      <c r="C49" s="3" t="s">
        <v>44</v>
      </c>
    </row>
    <row r="50" spans="1:9" ht="12.5" x14ac:dyDescent="0.25">
      <c r="A50" s="3"/>
      <c r="B50">
        <f>F28*B49</f>
        <v>7696.71</v>
      </c>
      <c r="C50" s="3" t="s">
        <v>26</v>
      </c>
    </row>
    <row r="52" spans="1:9" ht="12.5" x14ac:dyDescent="0.25">
      <c r="A52" s="3" t="s">
        <v>15</v>
      </c>
    </row>
    <row r="53" spans="1:9" ht="12.5" x14ac:dyDescent="0.25">
      <c r="A53" s="3" t="s">
        <v>39</v>
      </c>
      <c r="D53" s="3"/>
      <c r="H53" s="3"/>
    </row>
    <row r="55" spans="1:9" ht="12.5" x14ac:dyDescent="0.25">
      <c r="A55" s="3" t="s">
        <v>40</v>
      </c>
      <c r="B55" s="3">
        <v>4.58</v>
      </c>
    </row>
    <row r="56" spans="1:9" ht="12.5" x14ac:dyDescent="0.25">
      <c r="A56" s="3" t="s">
        <v>41</v>
      </c>
      <c r="B56" s="3">
        <v>30</v>
      </c>
      <c r="C56" s="3">
        <v>30</v>
      </c>
      <c r="D56" s="3">
        <v>30</v>
      </c>
      <c r="E56" s="3">
        <v>30</v>
      </c>
      <c r="F56" s="3">
        <v>30</v>
      </c>
      <c r="G56" s="3">
        <v>30</v>
      </c>
      <c r="H56" s="3">
        <v>30</v>
      </c>
      <c r="I56" s="3">
        <v>30</v>
      </c>
    </row>
    <row r="58" spans="1:9" ht="12.5" x14ac:dyDescent="0.25">
      <c r="A58" s="3" t="s">
        <v>42</v>
      </c>
      <c r="B58" s="19">
        <f t="shared" ref="B58:I58" si="14">($B$55)+(B56/166)</f>
        <v>4.7607228915662647</v>
      </c>
      <c r="C58" s="19">
        <f t="shared" si="14"/>
        <v>4.7607228915662647</v>
      </c>
      <c r="D58" s="19">
        <f t="shared" si="14"/>
        <v>4.7607228915662647</v>
      </c>
      <c r="E58" s="19">
        <f t="shared" si="14"/>
        <v>4.7607228915662647</v>
      </c>
      <c r="F58" s="19">
        <f t="shared" si="14"/>
        <v>4.7607228915662647</v>
      </c>
      <c r="G58" s="19">
        <f t="shared" si="14"/>
        <v>4.7607228915662647</v>
      </c>
      <c r="H58" s="19">
        <f t="shared" si="14"/>
        <v>4.7607228915662647</v>
      </c>
      <c r="I58" s="19">
        <f t="shared" si="14"/>
        <v>4.7607228915662647</v>
      </c>
    </row>
    <row r="59" spans="1:9" ht="12.5" x14ac:dyDescent="0.25">
      <c r="A59" s="3" t="s">
        <v>52</v>
      </c>
    </row>
  </sheetData>
  <printOptions horizontalCentered="1" gridLines="1"/>
  <pageMargins left="0.7" right="0.7" top="0.75" bottom="0.75" header="0" footer="0"/>
  <pageSetup scale="92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Chalk Roller 3D printed w ads</vt:lpstr>
      <vt:lpstr>Chalk Roller 3D printed</vt:lpstr>
      <vt:lpstr>Chalk Roller Inj Mold w ads</vt:lpstr>
      <vt:lpstr>Chalk Roller Inj Mold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Bartella</cp:lastModifiedBy>
  <cp:lastPrinted>2025-04-06T20:47:11Z</cp:lastPrinted>
  <dcterms:modified xsi:type="dcterms:W3CDTF">2025-04-06T20:51:14Z</dcterms:modified>
</cp:coreProperties>
</file>